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C5BDCC9A-46FA-4E99-897F-00DD302D832E}" xr6:coauthVersionLast="44" xr6:coauthVersionMax="44" xr10:uidLastSave="{00000000-0000-0000-0000-000000000000}"/>
  <workbookProtection workbookAlgorithmName="SHA-512" workbookHashValue="Lv7BaPgcYtS4X7P8qiD8wROo5qN93f6OYP5c/H9zFbvdFBZh6nSCfTOvDplQ87z1veJZyD/In3AfINA++NtGOg==" workbookSaltValue="2Wq5zYeJupNWcHDj1RJ4CA==" workbookSpinCount="100000" lockStructure="1"/>
  <bookViews>
    <workbookView xWindow="588" yWindow="960" windowWidth="20616" windowHeight="58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K1827" i="94" s="1"/>
  <c r="M1827" i="94" s="1"/>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s="1"/>
  <c r="K1941" i="94"/>
  <c r="G1923" i="94"/>
  <c r="O1922"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K1826" i="94"/>
  <c r="M1826" i="94" s="1"/>
  <c r="K1824" i="94"/>
  <c r="K1822" i="94"/>
  <c r="K1820" i="94"/>
  <c r="M1820" i="94" s="1"/>
  <c r="K1818" i="94"/>
  <c r="F1812" i="94"/>
  <c r="Q1781" i="94"/>
  <c r="Q1780" i="94"/>
  <c r="Q1769" i="94"/>
  <c r="L1769" i="94"/>
  <c r="J1769" i="94"/>
  <c r="Q1754" i="94"/>
  <c r="Q1753" i="94"/>
  <c r="F1748" i="94"/>
  <c r="Q1747" i="94"/>
  <c r="Q1746" i="94"/>
  <c r="J1730" i="94"/>
  <c r="Q1711" i="94"/>
  <c r="K1707" i="94"/>
  <c r="O1691" i="94"/>
  <c r="P1688" i="94" s="1"/>
  <c r="J1691" i="94"/>
  <c r="F1691" i="94"/>
  <c r="P1683" i="94" s="1"/>
  <c r="P1684" i="94"/>
  <c r="P1665" i="94"/>
  <c r="M1661" i="94"/>
  <c r="B1661" i="94"/>
  <c r="A1656" i="94"/>
  <c r="Q276" i="72"/>
  <c r="U1826" i="94" l="1"/>
  <c r="K1825" i="94"/>
  <c r="M1825" i="94" s="1"/>
  <c r="M1818" i="94"/>
  <c r="A1818" i="94" s="1"/>
  <c r="M1925"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S1820" i="94"/>
  <c r="L1786" i="94"/>
  <c r="F1756" i="94"/>
  <c r="L1975" i="94"/>
  <c r="L2036" i="94"/>
  <c r="I1839" i="94"/>
  <c r="H1746" i="94"/>
  <c r="L1774" i="94"/>
  <c r="I1841" i="94"/>
  <c r="I1840" i="94"/>
  <c r="K1836" i="94"/>
  <c r="Q1974" i="94"/>
  <c r="L1978" i="94"/>
  <c r="Q1981" i="94"/>
  <c r="R2070" i="94"/>
  <c r="L1869" i="94"/>
  <c r="Q1869" i="94"/>
  <c r="S1827" i="94"/>
  <c r="U1827"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5" i="94" l="1"/>
  <c r="S1825" i="94"/>
  <c r="S1823" i="94"/>
  <c r="S1818" i="94"/>
  <c r="S1822" i="94"/>
  <c r="S1821" i="94"/>
  <c r="A1821" i="94"/>
  <c r="U1823" i="94"/>
  <c r="A1825" i="94"/>
  <c r="U1818" i="94"/>
  <c r="U1824" i="94"/>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H1342" i="94"/>
  <c r="K1342" i="94"/>
  <c r="F1342" i="94"/>
  <c r="L1342" i="94"/>
  <c r="N1218" i="94"/>
  <c r="N1222" i="94"/>
  <c r="AD562" i="94"/>
  <c r="AG562"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H982" i="94"/>
  <c r="H984" i="94" s="1"/>
  <c r="L979" i="94"/>
  <c r="K979" i="94"/>
  <c r="J979" i="94"/>
  <c r="I979" i="94"/>
  <c r="H979" i="94"/>
  <c r="H980" i="94" s="1"/>
  <c r="L978" i="94"/>
  <c r="L980" i="94" s="1"/>
  <c r="K978" i="94"/>
  <c r="J978" i="94"/>
  <c r="I978" i="94"/>
  <c r="I980" i="94" s="1"/>
  <c r="H978" i="94"/>
  <c r="Q974" i="94"/>
  <c r="P974" i="94"/>
  <c r="O974" i="94"/>
  <c r="N974" i="94"/>
  <c r="M974" i="94"/>
  <c r="L974" i="94"/>
  <c r="K974" i="94"/>
  <c r="J974" i="94"/>
  <c r="I974" i="94"/>
  <c r="H974" i="94"/>
  <c r="Q973" i="94"/>
  <c r="Q975" i="94" s="1"/>
  <c r="P973" i="94"/>
  <c r="P975" i="94" s="1"/>
  <c r="O973" i="94"/>
  <c r="N973" i="94"/>
  <c r="M973" i="94"/>
  <c r="L973" i="94"/>
  <c r="K973" i="94"/>
  <c r="J973" i="94"/>
  <c r="I973" i="94"/>
  <c r="I975" i="94" s="1"/>
  <c r="H973" i="94"/>
  <c r="H975" i="94" s="1"/>
  <c r="Q970" i="94"/>
  <c r="P970" i="94"/>
  <c r="O970" i="94"/>
  <c r="O971" i="94" s="1"/>
  <c r="N970" i="94"/>
  <c r="M970" i="94"/>
  <c r="L970" i="94"/>
  <c r="K970" i="94"/>
  <c r="K971" i="94" s="1"/>
  <c r="J970" i="94"/>
  <c r="I970" i="94"/>
  <c r="H970" i="94"/>
  <c r="Q969" i="94"/>
  <c r="Q971" i="94" s="1"/>
  <c r="P969" i="94"/>
  <c r="O969" i="94"/>
  <c r="N969" i="94"/>
  <c r="M969" i="94"/>
  <c r="M971" i="94" s="1"/>
  <c r="L969" i="94"/>
  <c r="L971" i="94" s="1"/>
  <c r="K969" i="94"/>
  <c r="J969" i="94"/>
  <c r="I969" i="94"/>
  <c r="H969" i="94"/>
  <c r="Q965" i="94"/>
  <c r="P965" i="94"/>
  <c r="O965" i="94"/>
  <c r="N965" i="94"/>
  <c r="M965" i="94"/>
  <c r="L965" i="94"/>
  <c r="K965" i="94"/>
  <c r="K966" i="94" s="1"/>
  <c r="J965" i="94"/>
  <c r="I965" i="94"/>
  <c r="H965" i="94"/>
  <c r="Q964" i="94"/>
  <c r="Q966" i="94" s="1"/>
  <c r="P964" i="94"/>
  <c r="P966" i="94" s="1"/>
  <c r="O964" i="94"/>
  <c r="N964" i="94"/>
  <c r="M964" i="94"/>
  <c r="M966" i="94" s="1"/>
  <c r="L964" i="94"/>
  <c r="K964" i="94"/>
  <c r="J964" i="94"/>
  <c r="I964" i="94"/>
  <c r="I966" i="94" s="1"/>
  <c r="H964" i="94"/>
  <c r="H966" i="94" s="1"/>
  <c r="Q961" i="94"/>
  <c r="P961" i="94"/>
  <c r="O961" i="94"/>
  <c r="O962" i="94" s="1"/>
  <c r="N961" i="94"/>
  <c r="M961" i="94"/>
  <c r="L961" i="94"/>
  <c r="K961" i="94"/>
  <c r="J961" i="94"/>
  <c r="I961" i="94"/>
  <c r="H961" i="94"/>
  <c r="Q960" i="94"/>
  <c r="P960" i="94"/>
  <c r="O960" i="94"/>
  <c r="N960" i="94"/>
  <c r="M960" i="94"/>
  <c r="L960" i="94"/>
  <c r="L962" i="94" s="1"/>
  <c r="K960" i="94"/>
  <c r="J960" i="94"/>
  <c r="I960" i="94"/>
  <c r="H960" i="94"/>
  <c r="Q956" i="94"/>
  <c r="P956" i="94"/>
  <c r="O956" i="94"/>
  <c r="N956" i="94"/>
  <c r="M956" i="94"/>
  <c r="L956" i="94"/>
  <c r="K956" i="94"/>
  <c r="J956" i="94"/>
  <c r="I956" i="94"/>
  <c r="H956" i="94"/>
  <c r="Q955" i="94"/>
  <c r="Q957" i="94" s="1"/>
  <c r="P955" i="94"/>
  <c r="P957" i="94" s="1"/>
  <c r="O955" i="94"/>
  <c r="N955" i="94"/>
  <c r="M955" i="94"/>
  <c r="L955" i="94"/>
  <c r="K955" i="94"/>
  <c r="J955" i="94"/>
  <c r="I955" i="94"/>
  <c r="I957" i="94" s="1"/>
  <c r="H955" i="94"/>
  <c r="H957" i="94" s="1"/>
  <c r="I951" i="94"/>
  <c r="J951" i="94"/>
  <c r="K951" i="94"/>
  <c r="L951" i="94"/>
  <c r="M951" i="94"/>
  <c r="N951" i="94"/>
  <c r="O951" i="94"/>
  <c r="P951" i="94"/>
  <c r="Q951" i="94"/>
  <c r="I952" i="94"/>
  <c r="J952" i="94"/>
  <c r="K952" i="94"/>
  <c r="L952" i="94"/>
  <c r="M952" i="94"/>
  <c r="N952" i="94"/>
  <c r="N953" i="94" s="1"/>
  <c r="O952" i="94"/>
  <c r="O953" i="94" s="1"/>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MZ780" i="94" s="1"/>
  <c r="N781" i="94"/>
  <c r="O781" i="94"/>
  <c r="P781" i="94"/>
  <c r="Q781" i="94"/>
  <c r="N782" i="94"/>
  <c r="O782" i="94"/>
  <c r="P782" i="94"/>
  <c r="Q782" i="94"/>
  <c r="MZ782" i="94" s="1"/>
  <c r="N783" i="94"/>
  <c r="O783" i="94"/>
  <c r="P783" i="94"/>
  <c r="Q783" i="94"/>
  <c r="N784" i="94"/>
  <c r="O784" i="94"/>
  <c r="P784" i="94"/>
  <c r="Q784" i="94"/>
  <c r="ND784" i="94" s="1"/>
  <c r="N785" i="94"/>
  <c r="O785" i="94"/>
  <c r="P785" i="94"/>
  <c r="Q785" i="94"/>
  <c r="N786" i="94"/>
  <c r="O786" i="94"/>
  <c r="P786" i="94"/>
  <c r="Q786" i="94"/>
  <c r="ND786" i="94" s="1"/>
  <c r="N787" i="94"/>
  <c r="O787" i="94"/>
  <c r="P787" i="94"/>
  <c r="Q787" i="94"/>
  <c r="N788" i="94"/>
  <c r="O788" i="94"/>
  <c r="P788" i="94"/>
  <c r="Q788" i="94"/>
  <c r="LH788" i="94" s="1"/>
  <c r="N789" i="94"/>
  <c r="O789" i="94"/>
  <c r="P789" i="94"/>
  <c r="Q789" i="94"/>
  <c r="N790" i="94"/>
  <c r="O790" i="94"/>
  <c r="P790" i="94"/>
  <c r="Q790" i="94"/>
  <c r="KZ790" i="94" s="1"/>
  <c r="N791" i="94"/>
  <c r="O791" i="94"/>
  <c r="P791" i="94"/>
  <c r="Q791" i="94"/>
  <c r="N792" i="94"/>
  <c r="O792" i="94"/>
  <c r="P792" i="94"/>
  <c r="Q792" i="94"/>
  <c r="NB792" i="94" s="1"/>
  <c r="N793" i="94"/>
  <c r="O793" i="94"/>
  <c r="P793" i="94"/>
  <c r="Q793" i="94"/>
  <c r="N794" i="94"/>
  <c r="O794" i="94"/>
  <c r="P794" i="94"/>
  <c r="Q794" i="94"/>
  <c r="LC794" i="94" s="1"/>
  <c r="N795" i="94"/>
  <c r="O795" i="94"/>
  <c r="P795" i="94"/>
  <c r="Q795" i="94"/>
  <c r="N796" i="94"/>
  <c r="O796" i="94"/>
  <c r="P796" i="94"/>
  <c r="Q796" i="94"/>
  <c r="KC796" i="94" s="1"/>
  <c r="N797" i="94"/>
  <c r="O797" i="94"/>
  <c r="P797" i="94"/>
  <c r="Q797" i="94"/>
  <c r="N798" i="94"/>
  <c r="O798" i="94"/>
  <c r="P798" i="94"/>
  <c r="Q798" i="94"/>
  <c r="LG798" i="94" s="1"/>
  <c r="N799" i="94"/>
  <c r="O799" i="94"/>
  <c r="P799" i="94"/>
  <c r="Q799" i="94"/>
  <c r="N800" i="94"/>
  <c r="O800" i="94"/>
  <c r="P800" i="94"/>
  <c r="Q800" i="94"/>
  <c r="IT800" i="94" s="1"/>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JW812" i="94" s="1"/>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BY787" i="94" s="1"/>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FB784" i="94" s="1"/>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GU804" i="94" s="1"/>
  <c r="D804" i="94"/>
  <c r="E804" i="94"/>
  <c r="F804" i="94"/>
  <c r="G804" i="94"/>
  <c r="H804" i="94"/>
  <c r="I804" i="94"/>
  <c r="B805" i="94"/>
  <c r="C805" i="94"/>
  <c r="D805" i="94"/>
  <c r="E805" i="94"/>
  <c r="F805" i="94"/>
  <c r="G805" i="94"/>
  <c r="H805" i="94"/>
  <c r="I805" i="94"/>
  <c r="B806" i="94"/>
  <c r="C806" i="94"/>
  <c r="EL806" i="94" s="1"/>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FS809" i="94" s="1"/>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HH779" i="94" s="1"/>
  <c r="O779" i="94"/>
  <c r="KD779" i="94" s="1"/>
  <c r="N779" i="94"/>
  <c r="K779" i="94"/>
  <c r="J779" i="94"/>
  <c r="I779" i="94"/>
  <c r="H779" i="94"/>
  <c r="G779" i="94"/>
  <c r="F779" i="94"/>
  <c r="E779" i="94"/>
  <c r="D779" i="94"/>
  <c r="C779" i="94"/>
  <c r="B779" i="94"/>
  <c r="F775" i="94"/>
  <c r="G774" i="94"/>
  <c r="S986" i="94"/>
  <c r="L984" i="94"/>
  <c r="S981" i="94"/>
  <c r="T977" i="94"/>
  <c r="J975" i="94"/>
  <c r="S972" i="94"/>
  <c r="T968" i="94"/>
  <c r="S963" i="94"/>
  <c r="Q962" i="94"/>
  <c r="M962" i="94"/>
  <c r="T959" i="94"/>
  <c r="S954" i="94"/>
  <c r="M953" i="94"/>
  <c r="L953" i="94"/>
  <c r="S950" i="94"/>
  <c r="S949" i="94"/>
  <c r="S947" i="94"/>
  <c r="S927" i="94"/>
  <c r="S917" i="94"/>
  <c r="S916" i="94"/>
  <c r="L916" i="94"/>
  <c r="S895" i="94"/>
  <c r="S881" i="94"/>
  <c r="S872" i="94"/>
  <c r="S871" i="94"/>
  <c r="L871" i="94"/>
  <c r="S861" i="94"/>
  <c r="S838" i="94"/>
  <c r="S822" i="94"/>
  <c r="L822" i="94"/>
  <c r="NE817" i="94"/>
  <c r="EY787" i="94"/>
  <c r="EX787" i="94"/>
  <c r="IP784" i="94"/>
  <c r="HI783" i="94"/>
  <c r="GK783" i="94"/>
  <c r="MH782" i="94"/>
  <c r="MG782" i="94"/>
  <c r="HF782" i="94"/>
  <c r="HE782" i="94"/>
  <c r="EP782" i="94"/>
  <c r="EO782" i="94"/>
  <c r="LU781" i="94"/>
  <c r="LT781" i="94"/>
  <c r="DW781" i="94"/>
  <c r="DR781" i="94"/>
  <c r="AU781" i="94"/>
  <c r="AT781" i="94"/>
  <c r="NA780" i="94"/>
  <c r="LV780" i="94"/>
  <c r="LS780" i="94"/>
  <c r="JS780" i="94"/>
  <c r="IA780" i="94"/>
  <c r="HZ780" i="94"/>
  <c r="HF780" i="94"/>
  <c r="HC780" i="94"/>
  <c r="GL780" i="94"/>
  <c r="GH780" i="94"/>
  <c r="FO780" i="94"/>
  <c r="FN780" i="94"/>
  <c r="ET780" i="94"/>
  <c r="EQ780" i="94"/>
  <c r="DZ780" i="94"/>
  <c r="DV780" i="94"/>
  <c r="DC780" i="94"/>
  <c r="DB780" i="94"/>
  <c r="CH780" i="94"/>
  <c r="CE780" i="94"/>
  <c r="BN780" i="94"/>
  <c r="BJ780" i="94"/>
  <c r="AQ780" i="94"/>
  <c r="AP780" i="94"/>
  <c r="LS779" i="94"/>
  <c r="JG779" i="94"/>
  <c r="GX779" i="94"/>
  <c r="GR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NA779" i="94" l="1"/>
  <c r="NC779" i="94"/>
  <c r="AP799" i="94"/>
  <c r="AF799" i="94"/>
  <c r="GF799" i="94"/>
  <c r="GD799" i="94"/>
  <c r="FI799" i="94"/>
  <c r="FB799" i="94"/>
  <c r="ED799" i="94"/>
  <c r="AX799" i="94"/>
  <c r="MD794" i="94"/>
  <c r="KE794" i="94"/>
  <c r="IA794" i="94"/>
  <c r="FL794" i="94"/>
  <c r="DU794" i="94"/>
  <c r="CF794" i="94"/>
  <c r="AM794" i="94"/>
  <c r="LV794" i="94"/>
  <c r="JR794" i="94"/>
  <c r="HN794" i="94"/>
  <c r="FI794" i="94"/>
  <c r="DO794" i="94"/>
  <c r="BY794" i="94"/>
  <c r="AJ794" i="94"/>
  <c r="LT794" i="94"/>
  <c r="JP794" i="94"/>
  <c r="HM794" i="94"/>
  <c r="FD794" i="94"/>
  <c r="DM794" i="94"/>
  <c r="BX794" i="94"/>
  <c r="AE794" i="94"/>
  <c r="LK794" i="94"/>
  <c r="JH794" i="94"/>
  <c r="GL794" i="94"/>
  <c r="ET794" i="94"/>
  <c r="DD794" i="94"/>
  <c r="BK794" i="94"/>
  <c r="LF794" i="94"/>
  <c r="IY794" i="94"/>
  <c r="GH794" i="94"/>
  <c r="ES794" i="94"/>
  <c r="CY794" i="94"/>
  <c r="BI794" i="94"/>
  <c r="KX794" i="94"/>
  <c r="IT794" i="94"/>
  <c r="GB794" i="94"/>
  <c r="EK794" i="94"/>
  <c r="CV794" i="94"/>
  <c r="BC794" i="94"/>
  <c r="IL794" i="94"/>
  <c r="BA794" i="94"/>
  <c r="IB794" i="94"/>
  <c r="AR794" i="94"/>
  <c r="FZ794" i="94"/>
  <c r="EJ794" i="94"/>
  <c r="MH794" i="94"/>
  <c r="DW794" i="94"/>
  <c r="CQ794" i="94"/>
  <c r="CG794" i="94"/>
  <c r="KN794" i="94"/>
  <c r="KQ792" i="94"/>
  <c r="GC792" i="94"/>
  <c r="EL792" i="94"/>
  <c r="CW792" i="94"/>
  <c r="BI792" i="94"/>
  <c r="AC792" i="94"/>
  <c r="JK792" i="94"/>
  <c r="GA792" i="94"/>
  <c r="EK792" i="94"/>
  <c r="CR792" i="94"/>
  <c r="BF792" i="94"/>
  <c r="Z792" i="94"/>
  <c r="IC792" i="94"/>
  <c r="FR792" i="94"/>
  <c r="DX792" i="94"/>
  <c r="CH792" i="94"/>
  <c r="AX792" i="94"/>
  <c r="NC792" i="94"/>
  <c r="IB792" i="94"/>
  <c r="FM792" i="94"/>
  <c r="DV792" i="94"/>
  <c r="CG792" i="94"/>
  <c r="AV792" i="94"/>
  <c r="ML792" i="94"/>
  <c r="HQ792" i="94"/>
  <c r="FJ792" i="94"/>
  <c r="DP792" i="94"/>
  <c r="BZ792" i="94"/>
  <c r="AS792" i="94"/>
  <c r="LZ792" i="94"/>
  <c r="HN792" i="94"/>
  <c r="FE792" i="94"/>
  <c r="DN792" i="94"/>
  <c r="BY792" i="94"/>
  <c r="AP792" i="94"/>
  <c r="GO792" i="94"/>
  <c r="AH792" i="94"/>
  <c r="GK792" i="94"/>
  <c r="AF792" i="94"/>
  <c r="ET792" i="94"/>
  <c r="DE792" i="94"/>
  <c r="CZ792" i="94"/>
  <c r="LX792" i="94"/>
  <c r="LK792" i="94"/>
  <c r="ES792" i="94"/>
  <c r="BN792" i="94"/>
  <c r="BL792" i="94"/>
  <c r="FJ789" i="94"/>
  <c r="FB789" i="94"/>
  <c r="ED789" i="94"/>
  <c r="BV789" i="94"/>
  <c r="LV785" i="94"/>
  <c r="GJ785" i="94"/>
  <c r="FY785" i="94"/>
  <c r="FQ785" i="94"/>
  <c r="FI785" i="94"/>
  <c r="FA785" i="94"/>
  <c r="ES785" i="94"/>
  <c r="EK785" i="94"/>
  <c r="EC785" i="94"/>
  <c r="DU785" i="94"/>
  <c r="DM785" i="94"/>
  <c r="DE785" i="94"/>
  <c r="CW785" i="94"/>
  <c r="CO785" i="94"/>
  <c r="CG785" i="94"/>
  <c r="BY785" i="94"/>
  <c r="BQ785" i="94"/>
  <c r="BI785" i="94"/>
  <c r="BA785" i="94"/>
  <c r="AS785" i="94"/>
  <c r="AK785" i="94"/>
  <c r="AC785" i="94"/>
  <c r="LU785" i="94"/>
  <c r="GF785" i="94"/>
  <c r="FX785" i="94"/>
  <c r="FP785" i="94"/>
  <c r="FH785" i="94"/>
  <c r="EZ785" i="94"/>
  <c r="ER785" i="94"/>
  <c r="EJ785" i="94"/>
  <c r="EB785" i="94"/>
  <c r="DT785" i="94"/>
  <c r="DL785" i="94"/>
  <c r="DD785" i="94"/>
  <c r="CV785" i="94"/>
  <c r="CN785" i="94"/>
  <c r="CF785" i="94"/>
  <c r="BX785" i="94"/>
  <c r="BP785" i="94"/>
  <c r="BH785" i="94"/>
  <c r="AZ785" i="94"/>
  <c r="AZ817" i="94" s="1"/>
  <c r="N830" i="94" s="1"/>
  <c r="N854" i="94" s="1"/>
  <c r="AR785" i="94"/>
  <c r="AJ785" i="94"/>
  <c r="AB785" i="94"/>
  <c r="LT785" i="94"/>
  <c r="GE785" i="94"/>
  <c r="FW785" i="94"/>
  <c r="FO785" i="94"/>
  <c r="FG785" i="94"/>
  <c r="EY785" i="94"/>
  <c r="EQ785" i="94"/>
  <c r="EI785" i="94"/>
  <c r="EA785" i="94"/>
  <c r="DS785" i="94"/>
  <c r="DK785" i="94"/>
  <c r="DC785" i="94"/>
  <c r="CU785" i="94"/>
  <c r="CM785" i="94"/>
  <c r="CE785" i="94"/>
  <c r="BW785" i="94"/>
  <c r="BO785" i="94"/>
  <c r="BG785" i="94"/>
  <c r="AY785" i="94"/>
  <c r="AQ785" i="94"/>
  <c r="AI785" i="94"/>
  <c r="AA785" i="94"/>
  <c r="LZ785" i="94"/>
  <c r="LR785" i="94"/>
  <c r="GC785" i="94"/>
  <c r="FU785" i="94"/>
  <c r="FM785" i="94"/>
  <c r="FE785" i="94"/>
  <c r="EW785" i="94"/>
  <c r="EO785" i="94"/>
  <c r="EG785" i="94"/>
  <c r="DY785" i="94"/>
  <c r="DQ785" i="94"/>
  <c r="DI785" i="94"/>
  <c r="DA785" i="94"/>
  <c r="CS785" i="94"/>
  <c r="CK785" i="94"/>
  <c r="CC785" i="94"/>
  <c r="BU785" i="94"/>
  <c r="BM785" i="94"/>
  <c r="BE785" i="94"/>
  <c r="AW785" i="94"/>
  <c r="AO785" i="94"/>
  <c r="AG785" i="94"/>
  <c r="Y785" i="94"/>
  <c r="LY785" i="94"/>
  <c r="LQ785" i="94"/>
  <c r="GB785" i="94"/>
  <c r="FT785" i="94"/>
  <c r="FL785" i="94"/>
  <c r="FD785" i="94"/>
  <c r="EV785" i="94"/>
  <c r="EN785" i="94"/>
  <c r="EF785" i="94"/>
  <c r="DX785" i="94"/>
  <c r="DP785" i="94"/>
  <c r="DH785" i="94"/>
  <c r="CZ785" i="94"/>
  <c r="CR785" i="94"/>
  <c r="CJ785" i="94"/>
  <c r="CB785" i="94"/>
  <c r="BT785" i="94"/>
  <c r="BL785" i="94"/>
  <c r="BD785" i="94"/>
  <c r="AV785" i="94"/>
  <c r="AN785" i="94"/>
  <c r="AF785" i="94"/>
  <c r="X785" i="94"/>
  <c r="LX785" i="94"/>
  <c r="FV785" i="94"/>
  <c r="FB785" i="94"/>
  <c r="EE785" i="94"/>
  <c r="DJ785" i="94"/>
  <c r="CP785" i="94"/>
  <c r="BS785" i="94"/>
  <c r="AX785" i="94"/>
  <c r="AD785" i="94"/>
  <c r="LW785" i="94"/>
  <c r="FS785" i="94"/>
  <c r="EX785" i="94"/>
  <c r="ED785" i="94"/>
  <c r="DG785" i="94"/>
  <c r="CL785" i="94"/>
  <c r="BR785" i="94"/>
  <c r="AU785" i="94"/>
  <c r="Z785" i="94"/>
  <c r="LS785" i="94"/>
  <c r="FR785" i="94"/>
  <c r="EU785" i="94"/>
  <c r="DZ785" i="94"/>
  <c r="DF785" i="94"/>
  <c r="CI785" i="94"/>
  <c r="BN785" i="94"/>
  <c r="AT785" i="94"/>
  <c r="IC785" i="94"/>
  <c r="FN785" i="94"/>
  <c r="ET785" i="94"/>
  <c r="DW785" i="94"/>
  <c r="DB785" i="94"/>
  <c r="CH785" i="94"/>
  <c r="BK785" i="94"/>
  <c r="AP785" i="94"/>
  <c r="HP785" i="94"/>
  <c r="FK785" i="94"/>
  <c r="EP785" i="94"/>
  <c r="DV785" i="94"/>
  <c r="CY785" i="94"/>
  <c r="CD785" i="94"/>
  <c r="BJ785" i="94"/>
  <c r="AM785" i="94"/>
  <c r="GD785" i="94"/>
  <c r="FJ785" i="94"/>
  <c r="EM785" i="94"/>
  <c r="DR785" i="94"/>
  <c r="CX785" i="94"/>
  <c r="CA785" i="94"/>
  <c r="BF785" i="94"/>
  <c r="AL785" i="94"/>
  <c r="DO785" i="94"/>
  <c r="AH785" i="94"/>
  <c r="FZ785" i="94"/>
  <c r="CQ785" i="94"/>
  <c r="ML785" i="94"/>
  <c r="DN785" i="94"/>
  <c r="AE785" i="94"/>
  <c r="GA785" i="94"/>
  <c r="CT785" i="94"/>
  <c r="FF785" i="94"/>
  <c r="BZ785" i="94"/>
  <c r="FC785" i="94"/>
  <c r="BV785" i="94"/>
  <c r="MJ783" i="94"/>
  <c r="LT783" i="94"/>
  <c r="GF783" i="94"/>
  <c r="FT783" i="94"/>
  <c r="FL783" i="94"/>
  <c r="FD783" i="94"/>
  <c r="EV783" i="94"/>
  <c r="EN783" i="94"/>
  <c r="EF783" i="94"/>
  <c r="BH783" i="94"/>
  <c r="AZ783" i="94"/>
  <c r="AR783" i="94"/>
  <c r="AJ783" i="94"/>
  <c r="AB783" i="94"/>
  <c r="MB783" i="94"/>
  <c r="LS783" i="94"/>
  <c r="GE783" i="94"/>
  <c r="FS783" i="94"/>
  <c r="FK783" i="94"/>
  <c r="FC783" i="94"/>
  <c r="EU783" i="94"/>
  <c r="EM783" i="94"/>
  <c r="EE783" i="94"/>
  <c r="BG783" i="94"/>
  <c r="AY783" i="94"/>
  <c r="AQ783" i="94"/>
  <c r="AI783" i="94"/>
  <c r="AA783" i="94"/>
  <c r="LZ783" i="94"/>
  <c r="LR783" i="94"/>
  <c r="GD783" i="94"/>
  <c r="FR783" i="94"/>
  <c r="FJ783" i="94"/>
  <c r="FB783" i="94"/>
  <c r="ET783" i="94"/>
  <c r="EL783" i="94"/>
  <c r="ED783" i="94"/>
  <c r="BF783" i="94"/>
  <c r="AX783" i="94"/>
  <c r="AP783" i="94"/>
  <c r="AH783" i="94"/>
  <c r="Z783" i="94"/>
  <c r="LY783" i="94"/>
  <c r="LQ783" i="94"/>
  <c r="GC783" i="94"/>
  <c r="FQ783" i="94"/>
  <c r="FI783" i="94"/>
  <c r="FA783" i="94"/>
  <c r="ES783" i="94"/>
  <c r="EK783" i="94"/>
  <c r="DO783" i="94"/>
  <c r="LX783" i="94"/>
  <c r="IA783" i="94"/>
  <c r="GB783" i="94"/>
  <c r="FP783" i="94"/>
  <c r="FH783" i="94"/>
  <c r="EZ783" i="94"/>
  <c r="ER783" i="94"/>
  <c r="EJ783" i="94"/>
  <c r="CI783" i="94"/>
  <c r="BD783" i="94"/>
  <c r="AV783" i="94"/>
  <c r="AN783" i="94"/>
  <c r="AF783" i="94"/>
  <c r="X783" i="94"/>
  <c r="LW783" i="94"/>
  <c r="HQ783" i="94"/>
  <c r="FZ783" i="94"/>
  <c r="FO783" i="94"/>
  <c r="FG783" i="94"/>
  <c r="EY783" i="94"/>
  <c r="EQ783" i="94"/>
  <c r="EI783" i="94"/>
  <c r="BK783" i="94"/>
  <c r="BC783" i="94"/>
  <c r="AU783" i="94"/>
  <c r="AM783" i="94"/>
  <c r="AE783" i="94"/>
  <c r="FV783" i="94"/>
  <c r="EP783" i="94"/>
  <c r="BA783" i="94"/>
  <c r="AD783" i="94"/>
  <c r="EG783" i="94"/>
  <c r="AS783" i="94"/>
  <c r="FU783" i="94"/>
  <c r="EO783" i="94"/>
  <c r="AW783" i="94"/>
  <c r="AC783" i="94"/>
  <c r="FN783" i="94"/>
  <c r="EH783" i="94"/>
  <c r="AT783" i="94"/>
  <c r="Y783" i="94"/>
  <c r="FM783" i="94"/>
  <c r="LV783" i="94"/>
  <c r="FF783" i="94"/>
  <c r="BJ783" i="94"/>
  <c r="AO783" i="94"/>
  <c r="LU783" i="94"/>
  <c r="FE783" i="94"/>
  <c r="BI783" i="94"/>
  <c r="AL783" i="94"/>
  <c r="MN782" i="94"/>
  <c r="MF782" i="94"/>
  <c r="LX782" i="94"/>
  <c r="LO782" i="94"/>
  <c r="KU782" i="94"/>
  <c r="JZ782" i="94"/>
  <c r="JC782" i="94"/>
  <c r="II782" i="94"/>
  <c r="HX782" i="94"/>
  <c r="HP782" i="94"/>
  <c r="HH782" i="94"/>
  <c r="GZ782" i="94"/>
  <c r="GR782" i="94"/>
  <c r="GJ782" i="94"/>
  <c r="GB782" i="94"/>
  <c r="FP782" i="94"/>
  <c r="FH782" i="94"/>
  <c r="EZ782" i="94"/>
  <c r="ER782" i="94"/>
  <c r="EJ782" i="94"/>
  <c r="DJ782" i="94"/>
  <c r="BF782" i="94"/>
  <c r="AX782" i="94"/>
  <c r="AP782" i="94"/>
  <c r="AH782" i="94"/>
  <c r="Z782" i="94"/>
  <c r="MM782" i="94"/>
  <c r="ME782" i="94"/>
  <c r="LW782" i="94"/>
  <c r="LN782" i="94"/>
  <c r="KQ782" i="94"/>
  <c r="JW782" i="94"/>
  <c r="JB782" i="94"/>
  <c r="IE782" i="94"/>
  <c r="HW782" i="94"/>
  <c r="HO782" i="94"/>
  <c r="HG782" i="94"/>
  <c r="GY782" i="94"/>
  <c r="GQ782" i="94"/>
  <c r="GI782" i="94"/>
  <c r="GA782" i="94"/>
  <c r="FO782" i="94"/>
  <c r="FG782" i="94"/>
  <c r="EY782" i="94"/>
  <c r="EQ782" i="94"/>
  <c r="EI782" i="94"/>
  <c r="CL782" i="94"/>
  <c r="BE782" i="94"/>
  <c r="AW782" i="94"/>
  <c r="AO782" i="94"/>
  <c r="AG782" i="94"/>
  <c r="Y782" i="94"/>
  <c r="ML782" i="94"/>
  <c r="MD782" i="94"/>
  <c r="LV782" i="94"/>
  <c r="LK782" i="94"/>
  <c r="KP782" i="94"/>
  <c r="JS782" i="94"/>
  <c r="IY782" i="94"/>
  <c r="MJ782" i="94"/>
  <c r="MB782" i="94"/>
  <c r="LT782" i="94"/>
  <c r="LF782" i="94"/>
  <c r="KI782" i="94"/>
  <c r="JO782" i="94"/>
  <c r="IT782" i="94"/>
  <c r="IB782" i="94"/>
  <c r="HT782" i="94"/>
  <c r="HL782" i="94"/>
  <c r="HD782" i="94"/>
  <c r="GV782" i="94"/>
  <c r="GN782" i="94"/>
  <c r="GF782" i="94"/>
  <c r="FT782" i="94"/>
  <c r="FL782" i="94"/>
  <c r="FD782" i="94"/>
  <c r="EV782" i="94"/>
  <c r="EN782" i="94"/>
  <c r="EF782" i="94"/>
  <c r="BJ782" i="94"/>
  <c r="BB782" i="94"/>
  <c r="AT782" i="94"/>
  <c r="AL782" i="94"/>
  <c r="AD782" i="94"/>
  <c r="ND782" i="94"/>
  <c r="MI782" i="94"/>
  <c r="MA782" i="94"/>
  <c r="LS782" i="94"/>
  <c r="LC782" i="94"/>
  <c r="KH782" i="94"/>
  <c r="JK782" i="94"/>
  <c r="IQ782" i="94"/>
  <c r="IA782" i="94"/>
  <c r="HS782" i="94"/>
  <c r="HK782" i="94"/>
  <c r="HC782" i="94"/>
  <c r="GU782" i="94"/>
  <c r="GM782" i="94"/>
  <c r="GE782" i="94"/>
  <c r="FS782" i="94"/>
  <c r="FK782" i="94"/>
  <c r="FC782" i="94"/>
  <c r="EU782" i="94"/>
  <c r="EM782" i="94"/>
  <c r="EE782" i="94"/>
  <c r="BI782" i="94"/>
  <c r="BA782" i="94"/>
  <c r="AS782" i="94"/>
  <c r="AK782" i="94"/>
  <c r="AC782" i="94"/>
  <c r="MC782" i="94"/>
  <c r="KX782" i="94"/>
  <c r="IM782" i="94"/>
  <c r="HR782" i="94"/>
  <c r="HB782" i="94"/>
  <c r="GL782" i="94"/>
  <c r="FR782" i="94"/>
  <c r="FB782" i="94"/>
  <c r="EL782" i="94"/>
  <c r="BH782" i="94"/>
  <c r="AR782" i="94"/>
  <c r="AB782" i="94"/>
  <c r="KA782" i="94"/>
  <c r="IC782" i="94"/>
  <c r="GW782" i="94"/>
  <c r="FM782" i="94"/>
  <c r="EW782" i="94"/>
  <c r="AM782" i="94"/>
  <c r="LZ782" i="94"/>
  <c r="KM782" i="94"/>
  <c r="IL782" i="94"/>
  <c r="HQ782" i="94"/>
  <c r="HA782" i="94"/>
  <c r="GK782" i="94"/>
  <c r="FQ782" i="94"/>
  <c r="FA782" i="94"/>
  <c r="EK782" i="94"/>
  <c r="BG782" i="94"/>
  <c r="AQ782" i="94"/>
  <c r="AA782" i="94"/>
  <c r="NA782" i="94"/>
  <c r="HM782" i="94"/>
  <c r="EG782" i="94"/>
  <c r="LY782" i="94"/>
  <c r="KE782" i="94"/>
  <c r="ID782" i="94"/>
  <c r="HN782" i="94"/>
  <c r="GX782" i="94"/>
  <c r="GH782" i="94"/>
  <c r="FN782" i="94"/>
  <c r="EX782" i="94"/>
  <c r="EH782" i="94"/>
  <c r="BD782" i="94"/>
  <c r="AN782" i="94"/>
  <c r="X782" i="94"/>
  <c r="LU782" i="94"/>
  <c r="GG782" i="94"/>
  <c r="BC782" i="94"/>
  <c r="MO782" i="94"/>
  <c r="LR782" i="94"/>
  <c r="JR782" i="94"/>
  <c r="HZ782" i="94"/>
  <c r="HJ782" i="94"/>
  <c r="GT782" i="94"/>
  <c r="GD782" i="94"/>
  <c r="FJ782" i="94"/>
  <c r="ET782" i="94"/>
  <c r="ED782" i="94"/>
  <c r="AZ782" i="94"/>
  <c r="AJ782" i="94"/>
  <c r="MK782" i="94"/>
  <c r="LQ782" i="94"/>
  <c r="JJ782" i="94"/>
  <c r="HY782" i="94"/>
  <c r="HI782" i="94"/>
  <c r="GS782" i="94"/>
  <c r="GC782" i="94"/>
  <c r="FI782" i="94"/>
  <c r="ES782" i="94"/>
  <c r="DR782" i="94"/>
  <c r="AY782" i="94"/>
  <c r="AI782" i="94"/>
  <c r="LW781" i="94"/>
  <c r="HZ781" i="94"/>
  <c r="GC781" i="94"/>
  <c r="FQ781" i="94"/>
  <c r="FI781" i="94"/>
  <c r="FA781" i="94"/>
  <c r="ES781" i="94"/>
  <c r="EK781" i="94"/>
  <c r="DZ781" i="94"/>
  <c r="DG781" i="94"/>
  <c r="CJ781" i="94"/>
  <c r="BN781" i="94"/>
  <c r="LV781" i="94"/>
  <c r="HU781" i="94"/>
  <c r="GB781" i="94"/>
  <c r="FP781" i="94"/>
  <c r="FH781" i="94"/>
  <c r="EZ781" i="94"/>
  <c r="ER781" i="94"/>
  <c r="EJ781" i="94"/>
  <c r="DX781" i="94"/>
  <c r="DB781" i="94"/>
  <c r="MC781" i="94"/>
  <c r="LS781" i="94"/>
  <c r="GG781" i="94"/>
  <c r="FU781" i="94"/>
  <c r="FM781" i="94"/>
  <c r="FE781" i="94"/>
  <c r="EW781" i="94"/>
  <c r="EO781" i="94"/>
  <c r="EG781" i="94"/>
  <c r="DP781" i="94"/>
  <c r="CT781" i="94"/>
  <c r="CA781" i="94"/>
  <c r="LZ781" i="94"/>
  <c r="LR781" i="94"/>
  <c r="GF781" i="94"/>
  <c r="FT781" i="94"/>
  <c r="FL781" i="94"/>
  <c r="FD781" i="94"/>
  <c r="EV781" i="94"/>
  <c r="EN781" i="94"/>
  <c r="EF781" i="94"/>
  <c r="DO781" i="94"/>
  <c r="LQ781" i="94"/>
  <c r="FS781" i="94"/>
  <c r="FC781" i="94"/>
  <c r="EM781" i="94"/>
  <c r="DJ781" i="94"/>
  <c r="CD781" i="94"/>
  <c r="BI781" i="94"/>
  <c r="BA781" i="94"/>
  <c r="AS781" i="94"/>
  <c r="AK781" i="94"/>
  <c r="AC781" i="94"/>
  <c r="MK781" i="94"/>
  <c r="FN781" i="94"/>
  <c r="EH781" i="94"/>
  <c r="BT781" i="94"/>
  <c r="AX781" i="94"/>
  <c r="AP781" i="94"/>
  <c r="JE781" i="94"/>
  <c r="FR781" i="94"/>
  <c r="FB781" i="94"/>
  <c r="EL781" i="94"/>
  <c r="DH781" i="94"/>
  <c r="CB781" i="94"/>
  <c r="BH781" i="94"/>
  <c r="AZ781" i="94"/>
  <c r="AR781" i="94"/>
  <c r="AJ781" i="94"/>
  <c r="AB781" i="94"/>
  <c r="GO781" i="94"/>
  <c r="CY781" i="94"/>
  <c r="HM781" i="94"/>
  <c r="FO781" i="94"/>
  <c r="EY781" i="94"/>
  <c r="EI781" i="94"/>
  <c r="CZ781" i="94"/>
  <c r="BV781" i="94"/>
  <c r="BG781" i="94"/>
  <c r="AY781" i="94"/>
  <c r="AQ781" i="94"/>
  <c r="AI781" i="94"/>
  <c r="AA781" i="94"/>
  <c r="EX781" i="94"/>
  <c r="BF781" i="94"/>
  <c r="LY781" i="94"/>
  <c r="GE781" i="94"/>
  <c r="FK781" i="94"/>
  <c r="EU781" i="94"/>
  <c r="EE781" i="94"/>
  <c r="CR781" i="94"/>
  <c r="BS781" i="94"/>
  <c r="BE781" i="94"/>
  <c r="AW781" i="94"/>
  <c r="AO781" i="94"/>
  <c r="AG781" i="94"/>
  <c r="Y781" i="94"/>
  <c r="LX781" i="94"/>
  <c r="GD781" i="94"/>
  <c r="FJ781" i="94"/>
  <c r="ET781" i="94"/>
  <c r="ED781" i="94"/>
  <c r="CQ781" i="94"/>
  <c r="BL781" i="94"/>
  <c r="BD781" i="94"/>
  <c r="AV781" i="94"/>
  <c r="AN781" i="94"/>
  <c r="AF781" i="94"/>
  <c r="X781" i="94"/>
  <c r="MO780" i="94"/>
  <c r="MG780" i="94"/>
  <c r="LY780" i="94"/>
  <c r="LQ780" i="94"/>
  <c r="KX780" i="94"/>
  <c r="KA780" i="94"/>
  <c r="JG780" i="94"/>
  <c r="IL780" i="94"/>
  <c r="HY780" i="94"/>
  <c r="HQ780" i="94"/>
  <c r="HI780" i="94"/>
  <c r="HA780" i="94"/>
  <c r="GS780" i="94"/>
  <c r="GK780" i="94"/>
  <c r="GC780" i="94"/>
  <c r="FU780" i="94"/>
  <c r="FM780" i="94"/>
  <c r="FE780" i="94"/>
  <c r="EW780" i="94"/>
  <c r="EO780" i="94"/>
  <c r="EG780" i="94"/>
  <c r="DY780" i="94"/>
  <c r="DQ780" i="94"/>
  <c r="DI780" i="94"/>
  <c r="DA780" i="94"/>
  <c r="CS780" i="94"/>
  <c r="CK780" i="94"/>
  <c r="CC780" i="94"/>
  <c r="BU780" i="94"/>
  <c r="BM780" i="94"/>
  <c r="BE780" i="94"/>
  <c r="AW780" i="94"/>
  <c r="AO780" i="94"/>
  <c r="AG780" i="94"/>
  <c r="Y780" i="94"/>
  <c r="MN780" i="94"/>
  <c r="MF780" i="94"/>
  <c r="LX780" i="94"/>
  <c r="LO780" i="94"/>
  <c r="KU780" i="94"/>
  <c r="JZ780" i="94"/>
  <c r="JC780" i="94"/>
  <c r="II780" i="94"/>
  <c r="HX780" i="94"/>
  <c r="HP780" i="94"/>
  <c r="HH780" i="94"/>
  <c r="GZ780" i="94"/>
  <c r="GR780" i="94"/>
  <c r="GJ780" i="94"/>
  <c r="GB780" i="94"/>
  <c r="FT780" i="94"/>
  <c r="FL780" i="94"/>
  <c r="FD780" i="94"/>
  <c r="EV780" i="94"/>
  <c r="EN780" i="94"/>
  <c r="EF780" i="94"/>
  <c r="DX780" i="94"/>
  <c r="DP780" i="94"/>
  <c r="DH780" i="94"/>
  <c r="CZ780" i="94"/>
  <c r="CR780" i="94"/>
  <c r="CJ780" i="94"/>
  <c r="CB780" i="94"/>
  <c r="BT780" i="94"/>
  <c r="BL780" i="94"/>
  <c r="BD780" i="94"/>
  <c r="AV780" i="94"/>
  <c r="AN780" i="94"/>
  <c r="AF780" i="94"/>
  <c r="X780" i="94"/>
  <c r="MM780" i="94"/>
  <c r="ME780" i="94"/>
  <c r="LW780" i="94"/>
  <c r="LN780" i="94"/>
  <c r="KQ780" i="94"/>
  <c r="JW780" i="94"/>
  <c r="JB780" i="94"/>
  <c r="IE780" i="94"/>
  <c r="HW780" i="94"/>
  <c r="HO780" i="94"/>
  <c r="HG780" i="94"/>
  <c r="GY780" i="94"/>
  <c r="GQ780" i="94"/>
  <c r="GI780" i="94"/>
  <c r="GA780" i="94"/>
  <c r="FS780" i="94"/>
  <c r="FK780" i="94"/>
  <c r="FC780" i="94"/>
  <c r="EU780" i="94"/>
  <c r="EM780" i="94"/>
  <c r="EE780" i="94"/>
  <c r="DW780" i="94"/>
  <c r="DO780" i="94"/>
  <c r="DG780" i="94"/>
  <c r="CY780" i="94"/>
  <c r="CQ780" i="94"/>
  <c r="CI780" i="94"/>
  <c r="CA780" i="94"/>
  <c r="BS780" i="94"/>
  <c r="BK780" i="94"/>
  <c r="BC780" i="94"/>
  <c r="AU780" i="94"/>
  <c r="AM780" i="94"/>
  <c r="AE780" i="94"/>
  <c r="MK780" i="94"/>
  <c r="MC780" i="94"/>
  <c r="LU780" i="94"/>
  <c r="LG780" i="94"/>
  <c r="KM780" i="94"/>
  <c r="JR780" i="94"/>
  <c r="IU780" i="94"/>
  <c r="IC780" i="94"/>
  <c r="HU780" i="94"/>
  <c r="HM780" i="94"/>
  <c r="HE780" i="94"/>
  <c r="GW780" i="94"/>
  <c r="GO780" i="94"/>
  <c r="GG780" i="94"/>
  <c r="FY780" i="94"/>
  <c r="FQ780" i="94"/>
  <c r="FI780" i="94"/>
  <c r="FA780" i="94"/>
  <c r="ES780" i="94"/>
  <c r="EK780" i="94"/>
  <c r="EC780" i="94"/>
  <c r="DU780" i="94"/>
  <c r="DM780" i="94"/>
  <c r="DE780" i="94"/>
  <c r="CW780" i="94"/>
  <c r="CO780" i="94"/>
  <c r="CG780" i="94"/>
  <c r="BY780" i="94"/>
  <c r="BQ780" i="94"/>
  <c r="BI780" i="94"/>
  <c r="BA780" i="94"/>
  <c r="AS780" i="94"/>
  <c r="AK780" i="94"/>
  <c r="AC780" i="94"/>
  <c r="MJ780" i="94"/>
  <c r="MB780" i="94"/>
  <c r="LT780" i="94"/>
  <c r="LF780" i="94"/>
  <c r="KI780" i="94"/>
  <c r="JO780" i="94"/>
  <c r="IT780" i="94"/>
  <c r="IB780" i="94"/>
  <c r="HT780" i="94"/>
  <c r="HL780" i="94"/>
  <c r="HD780" i="94"/>
  <c r="GV780" i="94"/>
  <c r="GN780" i="94"/>
  <c r="GF780" i="94"/>
  <c r="FX780" i="94"/>
  <c r="FP780" i="94"/>
  <c r="FH780" i="94"/>
  <c r="EZ780" i="94"/>
  <c r="ER780" i="94"/>
  <c r="EJ780" i="94"/>
  <c r="EB780" i="94"/>
  <c r="DT780" i="94"/>
  <c r="DL780" i="94"/>
  <c r="DD780" i="94"/>
  <c r="CV780" i="94"/>
  <c r="CN780" i="94"/>
  <c r="CF780" i="94"/>
  <c r="BX780" i="94"/>
  <c r="BP780" i="94"/>
  <c r="BH780" i="94"/>
  <c r="AZ780" i="94"/>
  <c r="AR780" i="94"/>
  <c r="AJ780" i="94"/>
  <c r="AB780" i="94"/>
  <c r="JU779" i="94"/>
  <c r="Z780" i="94"/>
  <c r="AT780" i="94"/>
  <c r="BO780" i="94"/>
  <c r="CL780" i="94"/>
  <c r="DF780" i="94"/>
  <c r="EA780" i="94"/>
  <c r="EX780" i="94"/>
  <c r="FR780" i="94"/>
  <c r="GM780" i="94"/>
  <c r="HJ780" i="94"/>
  <c r="ID780" i="94"/>
  <c r="KH780" i="94"/>
  <c r="LZ780" i="94"/>
  <c r="Z781" i="94"/>
  <c r="BB781" i="94"/>
  <c r="EP781" i="94"/>
  <c r="AE782" i="94"/>
  <c r="FE782" i="94"/>
  <c r="HU782" i="94"/>
  <c r="AG783" i="94"/>
  <c r="AQ784" i="94"/>
  <c r="BB785" i="94"/>
  <c r="FQ794" i="94"/>
  <c r="IX784" i="94"/>
  <c r="CG801" i="94"/>
  <c r="BJ801" i="94"/>
  <c r="LR801" i="94"/>
  <c r="ID801" i="94"/>
  <c r="DU801" i="94"/>
  <c r="FB791" i="94"/>
  <c r="AS791" i="94"/>
  <c r="EX791" i="94"/>
  <c r="AO791" i="94"/>
  <c r="LQ791" i="94"/>
  <c r="EL791" i="94"/>
  <c r="AE791" i="94"/>
  <c r="HG791" i="94"/>
  <c r="EJ791" i="94"/>
  <c r="AB791" i="94"/>
  <c r="GC791" i="94"/>
  <c r="EF791" i="94"/>
  <c r="X791" i="94"/>
  <c r="FT791" i="94"/>
  <c r="BK791" i="94"/>
  <c r="FI791" i="94"/>
  <c r="AZ791" i="94"/>
  <c r="AW791" i="94"/>
  <c r="FF791" i="94"/>
  <c r="IA779" i="94"/>
  <c r="AA780" i="94"/>
  <c r="AX780" i="94"/>
  <c r="BR780" i="94"/>
  <c r="CM780" i="94"/>
  <c r="DJ780" i="94"/>
  <c r="ED780" i="94"/>
  <c r="EY780" i="94"/>
  <c r="FV780" i="94"/>
  <c r="GP780" i="94"/>
  <c r="HK780" i="94"/>
  <c r="IM780" i="94"/>
  <c r="KP780" i="94"/>
  <c r="MA780" i="94"/>
  <c r="AD781" i="94"/>
  <c r="BC781" i="94"/>
  <c r="EQ781" i="94"/>
  <c r="AF782" i="94"/>
  <c r="FF782" i="94"/>
  <c r="HV782" i="94"/>
  <c r="AK783" i="94"/>
  <c r="AT784" i="94"/>
  <c r="BC785" i="94"/>
  <c r="KM794" i="94"/>
  <c r="LI779" i="94"/>
  <c r="LM779" i="94"/>
  <c r="KM779" i="94"/>
  <c r="JP779" i="94"/>
  <c r="IT779" i="94"/>
  <c r="LJ779" i="94"/>
  <c r="KL779" i="94"/>
  <c r="JK779" i="94"/>
  <c r="IQ779" i="94"/>
  <c r="LE779" i="94"/>
  <c r="KH779" i="94"/>
  <c r="JJ779" i="94"/>
  <c r="IM779" i="94"/>
  <c r="LA779" i="94"/>
  <c r="KC779" i="94"/>
  <c r="JC779" i="94"/>
  <c r="II779" i="94"/>
  <c r="KV779" i="94"/>
  <c r="JY779" i="94"/>
  <c r="JB779" i="94"/>
  <c r="IE779" i="94"/>
  <c r="II796" i="94"/>
  <c r="EA796" i="94"/>
  <c r="AV796" i="94"/>
  <c r="IA796" i="94"/>
  <c r="DK796" i="94"/>
  <c r="AG796" i="94"/>
  <c r="MH796" i="94"/>
  <c r="HQ796" i="94"/>
  <c r="DI796" i="94"/>
  <c r="AF796" i="94"/>
  <c r="MG796" i="94"/>
  <c r="GM796" i="94"/>
  <c r="CR796" i="94"/>
  <c r="KU796" i="94"/>
  <c r="GL796" i="94"/>
  <c r="CE796" i="94"/>
  <c r="KS796" i="94"/>
  <c r="FU796" i="94"/>
  <c r="CB796" i="94"/>
  <c r="BO796" i="94"/>
  <c r="AW796" i="94"/>
  <c r="JV796" i="94"/>
  <c r="IX796" i="94"/>
  <c r="FO796" i="94"/>
  <c r="EH796" i="94"/>
  <c r="LW787" i="94"/>
  <c r="GN787" i="94"/>
  <c r="FU787" i="94"/>
  <c r="FM787" i="94"/>
  <c r="FE787" i="94"/>
  <c r="EW787" i="94"/>
  <c r="EO787" i="94"/>
  <c r="EG787" i="94"/>
  <c r="BJ787" i="94"/>
  <c r="BB787" i="94"/>
  <c r="AT787" i="94"/>
  <c r="AL787" i="94"/>
  <c r="AD787" i="94"/>
  <c r="LV787" i="94"/>
  <c r="GF787" i="94"/>
  <c r="FT787" i="94"/>
  <c r="FL787" i="94"/>
  <c r="FD787" i="94"/>
  <c r="EV787" i="94"/>
  <c r="EN787" i="94"/>
  <c r="EF787" i="94"/>
  <c r="BI787" i="94"/>
  <c r="BA787" i="94"/>
  <c r="AS787" i="94"/>
  <c r="AK787" i="94"/>
  <c r="AC787" i="94"/>
  <c r="LU787" i="94"/>
  <c r="GE787" i="94"/>
  <c r="FS787" i="94"/>
  <c r="FK787" i="94"/>
  <c r="FC787" i="94"/>
  <c r="EU787" i="94"/>
  <c r="EM787" i="94"/>
  <c r="EE787" i="94"/>
  <c r="BH787" i="94"/>
  <c r="AZ787" i="94"/>
  <c r="AR787" i="94"/>
  <c r="AJ787" i="94"/>
  <c r="AB787" i="94"/>
  <c r="LT787" i="94"/>
  <c r="GD787" i="94"/>
  <c r="FR787" i="94"/>
  <c r="FJ787" i="94"/>
  <c r="FB787" i="94"/>
  <c r="ET787" i="94"/>
  <c r="EL787" i="94"/>
  <c r="ED787" i="94"/>
  <c r="BG787" i="94"/>
  <c r="AY787" i="94"/>
  <c r="AQ787" i="94"/>
  <c r="AI787" i="94"/>
  <c r="AA787" i="94"/>
  <c r="LS787" i="94"/>
  <c r="GC787" i="94"/>
  <c r="FQ787" i="94"/>
  <c r="FI787" i="94"/>
  <c r="FA787" i="94"/>
  <c r="ES787" i="94"/>
  <c r="EK787" i="94"/>
  <c r="DM787" i="94"/>
  <c r="BF787" i="94"/>
  <c r="AX787" i="94"/>
  <c r="AP787" i="94"/>
  <c r="AH787" i="94"/>
  <c r="Z787" i="94"/>
  <c r="LZ787" i="94"/>
  <c r="LR787" i="94"/>
  <c r="GB787" i="94"/>
  <c r="FP787" i="94"/>
  <c r="FH787" i="94"/>
  <c r="EZ787" i="94"/>
  <c r="ER787" i="94"/>
  <c r="EJ787" i="94"/>
  <c r="DE787" i="94"/>
  <c r="BE787" i="94"/>
  <c r="AW787" i="94"/>
  <c r="AO787" i="94"/>
  <c r="AG787" i="94"/>
  <c r="Y787" i="94"/>
  <c r="FY787" i="94"/>
  <c r="EQ787" i="94"/>
  <c r="AV787" i="94"/>
  <c r="FV787" i="94"/>
  <c r="EP787" i="94"/>
  <c r="AU787" i="94"/>
  <c r="FO787" i="94"/>
  <c r="EI787" i="94"/>
  <c r="AN787" i="94"/>
  <c r="LY787" i="94"/>
  <c r="FG787" i="94"/>
  <c r="CG787" i="94"/>
  <c r="AF787" i="94"/>
  <c r="LX787" i="94"/>
  <c r="FF787" i="94"/>
  <c r="BK787" i="94"/>
  <c r="AE787" i="94"/>
  <c r="EH787" i="94"/>
  <c r="BD787" i="94"/>
  <c r="BC787" i="94"/>
  <c r="LQ787" i="94"/>
  <c r="AM787" i="94"/>
  <c r="HT787" i="94"/>
  <c r="X787" i="94"/>
  <c r="FN787" i="94"/>
  <c r="KQ779" i="94"/>
  <c r="AY780" i="94"/>
  <c r="CP780" i="94"/>
  <c r="EH780" i="94"/>
  <c r="FB780" i="94"/>
  <c r="GT780" i="94"/>
  <c r="HN780" i="94"/>
  <c r="IQ780" i="94"/>
  <c r="KY780" i="94"/>
  <c r="AE781" i="94"/>
  <c r="BJ781" i="94"/>
  <c r="FF781" i="94"/>
  <c r="AU782" i="94"/>
  <c r="FU782" i="94"/>
  <c r="IU782" i="94"/>
  <c r="BB783" i="94"/>
  <c r="EH785" i="94"/>
  <c r="JS779" i="94"/>
  <c r="NB779" i="94"/>
  <c r="ND780" i="94"/>
  <c r="HW779" i="94"/>
  <c r="GP779" i="94"/>
  <c r="HQ779" i="94"/>
  <c r="GJ779" i="94"/>
  <c r="HN779" i="94"/>
  <c r="GH779" i="94"/>
  <c r="MJ779" i="94"/>
  <c r="HF779" i="94"/>
  <c r="MD779" i="94"/>
  <c r="GZ779" i="94"/>
  <c r="LO802" i="94"/>
  <c r="GG802" i="94"/>
  <c r="FK802" i="94"/>
  <c r="BZ802" i="94"/>
  <c r="BI802" i="94"/>
  <c r="LP802" i="94"/>
  <c r="EJ795" i="94"/>
  <c r="ED795" i="94"/>
  <c r="BU795" i="94"/>
  <c r="FT795" i="94"/>
  <c r="AW795" i="94"/>
  <c r="FR795" i="94"/>
  <c r="AV795" i="94"/>
  <c r="FI795" i="94"/>
  <c r="AI795" i="94"/>
  <c r="FD795" i="94"/>
  <c r="AH795" i="94"/>
  <c r="ER795" i="94"/>
  <c r="LY786" i="94"/>
  <c r="LQ786" i="94"/>
  <c r="IF786" i="94"/>
  <c r="GD786" i="94"/>
  <c r="FV786" i="94"/>
  <c r="FN786" i="94"/>
  <c r="FF786" i="94"/>
  <c r="EW786" i="94"/>
  <c r="EO786" i="94"/>
  <c r="EG786" i="94"/>
  <c r="DY786" i="94"/>
  <c r="DQ786" i="94"/>
  <c r="DI786" i="94"/>
  <c r="DA786" i="94"/>
  <c r="CS786" i="94"/>
  <c r="CK786" i="94"/>
  <c r="CC786" i="94"/>
  <c r="BU786" i="94"/>
  <c r="LX786" i="94"/>
  <c r="LH786" i="94"/>
  <c r="ID786" i="94"/>
  <c r="GC786" i="94"/>
  <c r="FU786" i="94"/>
  <c r="FM786" i="94"/>
  <c r="FE786" i="94"/>
  <c r="EV786" i="94"/>
  <c r="EN786" i="94"/>
  <c r="EF786" i="94"/>
  <c r="DX786" i="94"/>
  <c r="DP786" i="94"/>
  <c r="DH786" i="94"/>
  <c r="CZ786" i="94"/>
  <c r="CR786" i="94"/>
  <c r="CJ786" i="94"/>
  <c r="CB786" i="94"/>
  <c r="BT786" i="94"/>
  <c r="LW786" i="94"/>
  <c r="KR786" i="94"/>
  <c r="IC786" i="94"/>
  <c r="GB786" i="94"/>
  <c r="FT786" i="94"/>
  <c r="FL786" i="94"/>
  <c r="LV786" i="94"/>
  <c r="KN786" i="94"/>
  <c r="IB786" i="94"/>
  <c r="GA786" i="94"/>
  <c r="FS786" i="94"/>
  <c r="FK786" i="94"/>
  <c r="FC786" i="94"/>
  <c r="ET786" i="94"/>
  <c r="EL786" i="94"/>
  <c r="ED786" i="94"/>
  <c r="DV786" i="94"/>
  <c r="DN786" i="94"/>
  <c r="DF786" i="94"/>
  <c r="CX786" i="94"/>
  <c r="CP786" i="94"/>
  <c r="CH786" i="94"/>
  <c r="BZ786" i="94"/>
  <c r="BR786" i="94"/>
  <c r="LU786" i="94"/>
  <c r="KB786" i="94"/>
  <c r="IA786" i="94"/>
  <c r="FZ786" i="94"/>
  <c r="FR786" i="94"/>
  <c r="FJ786" i="94"/>
  <c r="FB786" i="94"/>
  <c r="ES786" i="94"/>
  <c r="EK786" i="94"/>
  <c r="EC786" i="94"/>
  <c r="DU786" i="94"/>
  <c r="DM786" i="94"/>
  <c r="DE786" i="94"/>
  <c r="CW786" i="94"/>
  <c r="CO786" i="94"/>
  <c r="CG786" i="94"/>
  <c r="BY786" i="94"/>
  <c r="BQ786" i="94"/>
  <c r="LT786" i="94"/>
  <c r="JL786" i="94"/>
  <c r="HZ786" i="94"/>
  <c r="FY786" i="94"/>
  <c r="FQ786" i="94"/>
  <c r="FI786" i="94"/>
  <c r="FA786" i="94"/>
  <c r="ER786" i="94"/>
  <c r="EJ786" i="94"/>
  <c r="EB786" i="94"/>
  <c r="DT786" i="94"/>
  <c r="DL786" i="94"/>
  <c r="DD786" i="94"/>
  <c r="CV786" i="94"/>
  <c r="CN786" i="94"/>
  <c r="CF786" i="94"/>
  <c r="BX786" i="94"/>
  <c r="LS786" i="94"/>
  <c r="FP786" i="94"/>
  <c r="EQ786" i="94"/>
  <c r="DW786" i="94"/>
  <c r="DB786" i="94"/>
  <c r="CE786" i="94"/>
  <c r="BN786" i="94"/>
  <c r="BF786" i="94"/>
  <c r="AX786" i="94"/>
  <c r="AP786" i="94"/>
  <c r="AH786" i="94"/>
  <c r="Z786" i="94"/>
  <c r="LR786" i="94"/>
  <c r="FO786" i="94"/>
  <c r="EP786" i="94"/>
  <c r="DS786" i="94"/>
  <c r="CY786" i="94"/>
  <c r="CD786" i="94"/>
  <c r="BM786" i="94"/>
  <c r="BE786" i="94"/>
  <c r="AW786" i="94"/>
  <c r="AO786" i="94"/>
  <c r="AG786" i="94"/>
  <c r="Y786" i="94"/>
  <c r="JH786" i="94"/>
  <c r="FH786" i="94"/>
  <c r="EM786" i="94"/>
  <c r="DR786" i="94"/>
  <c r="CU786" i="94"/>
  <c r="CA786" i="94"/>
  <c r="BL786" i="94"/>
  <c r="BD786" i="94"/>
  <c r="AV786" i="94"/>
  <c r="AN786" i="94"/>
  <c r="AF786" i="94"/>
  <c r="X786" i="94"/>
  <c r="GF786" i="94"/>
  <c r="FD786" i="94"/>
  <c r="EH786" i="94"/>
  <c r="DK786" i="94"/>
  <c r="CQ786" i="94"/>
  <c r="BV786" i="94"/>
  <c r="BJ786" i="94"/>
  <c r="BB786" i="94"/>
  <c r="AT786" i="94"/>
  <c r="AL786" i="94"/>
  <c r="AD786" i="94"/>
  <c r="GE786" i="94"/>
  <c r="EZ786" i="94"/>
  <c r="EE786" i="94"/>
  <c r="DJ786" i="94"/>
  <c r="CM786" i="94"/>
  <c r="BS786" i="94"/>
  <c r="BI786" i="94"/>
  <c r="BA786" i="94"/>
  <c r="AS786" i="94"/>
  <c r="AK786" i="94"/>
  <c r="AC786" i="94"/>
  <c r="FW786" i="94"/>
  <c r="DG786" i="94"/>
  <c r="BK786" i="94"/>
  <c r="AQ786" i="94"/>
  <c r="FG786" i="94"/>
  <c r="DC786" i="94"/>
  <c r="BH786" i="94"/>
  <c r="AM786" i="94"/>
  <c r="EX786" i="94"/>
  <c r="CT786" i="94"/>
  <c r="BG786" i="94"/>
  <c r="AJ786" i="94"/>
  <c r="EU786" i="94"/>
  <c r="CL786" i="94"/>
  <c r="BC786" i="94"/>
  <c r="AI786" i="94"/>
  <c r="EI786" i="94"/>
  <c r="CI786" i="94"/>
  <c r="AZ786" i="94"/>
  <c r="AE786" i="94"/>
  <c r="LZ786" i="94"/>
  <c r="EA786" i="94"/>
  <c r="BW786" i="94"/>
  <c r="AY786" i="94"/>
  <c r="AB786" i="94"/>
  <c r="IV786" i="94"/>
  <c r="AA786" i="94"/>
  <c r="FX786" i="94"/>
  <c r="DZ786" i="94"/>
  <c r="DO786" i="94"/>
  <c r="BP786" i="94"/>
  <c r="BO786" i="94"/>
  <c r="ID779" i="94"/>
  <c r="AD780" i="94"/>
  <c r="BV780" i="94"/>
  <c r="DK780" i="94"/>
  <c r="FW780" i="94"/>
  <c r="CP784" i="94"/>
  <c r="IL779" i="94"/>
  <c r="KU779" i="94"/>
  <c r="AH780" i="94"/>
  <c r="BB780" i="94"/>
  <c r="BW780" i="94"/>
  <c r="CT780" i="94"/>
  <c r="DN780" i="94"/>
  <c r="EI780" i="94"/>
  <c r="FF780" i="94"/>
  <c r="FZ780" i="94"/>
  <c r="GU780" i="94"/>
  <c r="HR780" i="94"/>
  <c r="IY780" i="94"/>
  <c r="LC780" i="94"/>
  <c r="MH780" i="94"/>
  <c r="AH781" i="94"/>
  <c r="BK781" i="94"/>
  <c r="FG781" i="94"/>
  <c r="AV782" i="94"/>
  <c r="FV782" i="94"/>
  <c r="JG782" i="94"/>
  <c r="BE783" i="94"/>
  <c r="CQ784" i="94"/>
  <c r="EL785" i="94"/>
  <c r="HW798" i="94"/>
  <c r="AJ798" i="94"/>
  <c r="HH798" i="94"/>
  <c r="AC798" i="94"/>
  <c r="LY798" i="94"/>
  <c r="GZ798" i="94"/>
  <c r="LX798" i="94"/>
  <c r="GK798" i="94"/>
  <c r="LA798" i="94"/>
  <c r="FG798" i="94"/>
  <c r="JT798" i="94"/>
  <c r="FF798" i="94"/>
  <c r="EJ798" i="94"/>
  <c r="EI798" i="94"/>
  <c r="IU798" i="94"/>
  <c r="JM798" i="94"/>
  <c r="MM788" i="94"/>
  <c r="MK788" i="94"/>
  <c r="LU788" i="94"/>
  <c r="JD788" i="94"/>
  <c r="HS788" i="94"/>
  <c r="HC788" i="94"/>
  <c r="GM788" i="94"/>
  <c r="FW788" i="94"/>
  <c r="FG788" i="94"/>
  <c r="EQ788" i="94"/>
  <c r="EA788" i="94"/>
  <c r="DM788" i="94"/>
  <c r="CY788" i="94"/>
  <c r="CM788" i="94"/>
  <c r="BZ788" i="94"/>
  <c r="BN788" i="94"/>
  <c r="BB788" i="94"/>
  <c r="AR788" i="94"/>
  <c r="AJ788" i="94"/>
  <c r="AB788" i="94"/>
  <c r="MG788" i="94"/>
  <c r="LQ788" i="94"/>
  <c r="IR788" i="94"/>
  <c r="HR788" i="94"/>
  <c r="HB788" i="94"/>
  <c r="GL788" i="94"/>
  <c r="FV788" i="94"/>
  <c r="FF788" i="94"/>
  <c r="EP788" i="94"/>
  <c r="DZ788" i="94"/>
  <c r="DK788" i="94"/>
  <c r="CX788" i="94"/>
  <c r="CL788" i="94"/>
  <c r="BY788" i="94"/>
  <c r="BK788" i="94"/>
  <c r="BA788" i="94"/>
  <c r="AQ788" i="94"/>
  <c r="AI788" i="94"/>
  <c r="AA788" i="94"/>
  <c r="MF788" i="94"/>
  <c r="LP788" i="94"/>
  <c r="ID788" i="94"/>
  <c r="HN788" i="94"/>
  <c r="GX788" i="94"/>
  <c r="GH788" i="94"/>
  <c r="FR788" i="94"/>
  <c r="FB788" i="94"/>
  <c r="EL788" i="94"/>
  <c r="DV788" i="94"/>
  <c r="DJ788" i="94"/>
  <c r="CW788" i="94"/>
  <c r="CI788" i="94"/>
  <c r="BW788" i="94"/>
  <c r="BJ788" i="94"/>
  <c r="AZ788" i="94"/>
  <c r="AP788" i="94"/>
  <c r="AH788" i="94"/>
  <c r="Z788" i="94"/>
  <c r="MD788" i="94"/>
  <c r="LD788" i="94"/>
  <c r="IC788" i="94"/>
  <c r="HM788" i="94"/>
  <c r="GW788" i="94"/>
  <c r="GG788" i="94"/>
  <c r="FQ788" i="94"/>
  <c r="FA788" i="94"/>
  <c r="EK788" i="94"/>
  <c r="DU788" i="94"/>
  <c r="DG788" i="94"/>
  <c r="CU788" i="94"/>
  <c r="CH788" i="94"/>
  <c r="BV788" i="94"/>
  <c r="BI788" i="94"/>
  <c r="AY788" i="94"/>
  <c r="AO788" i="94"/>
  <c r="AG788" i="94"/>
  <c r="Y788" i="94"/>
  <c r="MC788" i="94"/>
  <c r="KN788" i="94"/>
  <c r="IA788" i="94"/>
  <c r="HK788" i="94"/>
  <c r="GU788" i="94"/>
  <c r="GE788" i="94"/>
  <c r="FO788" i="94"/>
  <c r="EY788" i="94"/>
  <c r="EI788" i="94"/>
  <c r="DS788" i="94"/>
  <c r="DF788" i="94"/>
  <c r="CT788" i="94"/>
  <c r="CG788" i="94"/>
  <c r="BS788" i="94"/>
  <c r="BH788" i="94"/>
  <c r="AX788" i="94"/>
  <c r="AN788" i="94"/>
  <c r="AF788" i="94"/>
  <c r="X788" i="94"/>
  <c r="NB788" i="94"/>
  <c r="LY788" i="94"/>
  <c r="KJ788" i="94"/>
  <c r="HZ788" i="94"/>
  <c r="HJ788" i="94"/>
  <c r="GT788" i="94"/>
  <c r="GD788" i="94"/>
  <c r="FN788" i="94"/>
  <c r="EX788" i="94"/>
  <c r="EH788" i="94"/>
  <c r="DR788" i="94"/>
  <c r="DE788" i="94"/>
  <c r="CQ788" i="94"/>
  <c r="CE788" i="94"/>
  <c r="BR788" i="94"/>
  <c r="BG788" i="94"/>
  <c r="AU788" i="94"/>
  <c r="AM788" i="94"/>
  <c r="AE788" i="94"/>
  <c r="LX788" i="94"/>
  <c r="GP788" i="94"/>
  <c r="ED788" i="94"/>
  <c r="CD788" i="94"/>
  <c r="AL788" i="94"/>
  <c r="LV788" i="94"/>
  <c r="GO788" i="94"/>
  <c r="EC788" i="94"/>
  <c r="CA788" i="94"/>
  <c r="AK788" i="94"/>
  <c r="JX788" i="94"/>
  <c r="FZ788" i="94"/>
  <c r="DO788" i="94"/>
  <c r="BQ788" i="94"/>
  <c r="AD788" i="94"/>
  <c r="HV788" i="94"/>
  <c r="FJ788" i="94"/>
  <c r="DC788" i="94"/>
  <c r="BF788" i="94"/>
  <c r="HU788" i="94"/>
  <c r="FI788" i="94"/>
  <c r="DB788" i="94"/>
  <c r="BC788" i="94"/>
  <c r="HE788" i="94"/>
  <c r="AT788" i="94"/>
  <c r="FY788" i="94"/>
  <c r="AS788" i="94"/>
  <c r="ET788" i="94"/>
  <c r="AC788" i="94"/>
  <c r="ES788" i="94"/>
  <c r="MO788" i="94"/>
  <c r="DN788" i="94"/>
  <c r="ML788" i="94"/>
  <c r="CP788" i="94"/>
  <c r="HF788" i="94"/>
  <c r="JH788" i="94"/>
  <c r="CO788" i="94"/>
  <c r="BO788" i="94"/>
  <c r="MD780" i="94"/>
  <c r="IU779" i="94"/>
  <c r="LD779" i="94"/>
  <c r="AI780" i="94"/>
  <c r="BF780" i="94"/>
  <c r="BZ780" i="94"/>
  <c r="CU780" i="94"/>
  <c r="DR780" i="94"/>
  <c r="EL780" i="94"/>
  <c r="FG780" i="94"/>
  <c r="GD780" i="94"/>
  <c r="GX780" i="94"/>
  <c r="HS780" i="94"/>
  <c r="JJ780" i="94"/>
  <c r="LK780" i="94"/>
  <c r="MI780" i="94"/>
  <c r="AL781" i="94"/>
  <c r="CI781" i="94"/>
  <c r="FV781" i="94"/>
  <c r="BK782" i="94"/>
  <c r="GO782" i="94"/>
  <c r="KY782" i="94"/>
  <c r="EW783" i="94"/>
  <c r="AR786" i="94"/>
  <c r="KE780" i="94"/>
  <c r="FH800" i="94"/>
  <c r="AY800" i="94"/>
  <c r="EZ800" i="94"/>
  <c r="AX800" i="94"/>
  <c r="NC800" i="94"/>
  <c r="EB800" i="94"/>
  <c r="KO800" i="94"/>
  <c r="DR800" i="94"/>
  <c r="KN800" i="94"/>
  <c r="DJ800" i="94"/>
  <c r="IS800" i="94"/>
  <c r="CU800" i="94"/>
  <c r="GM800" i="94"/>
  <c r="GC800" i="94"/>
  <c r="BV800" i="94"/>
  <c r="BP800" i="94"/>
  <c r="AH797" i="94"/>
  <c r="AB797" i="94"/>
  <c r="ID797" i="94"/>
  <c r="FV797" i="94"/>
  <c r="EX797" i="94"/>
  <c r="EN797" i="94"/>
  <c r="EF797" i="94"/>
  <c r="BG797" i="94"/>
  <c r="EQ793" i="94"/>
  <c r="BN793" i="94"/>
  <c r="EE793" i="94"/>
  <c r="AY793" i="94"/>
  <c r="EA793" i="94"/>
  <c r="AX793" i="94"/>
  <c r="LV793" i="94"/>
  <c r="DJ793" i="94"/>
  <c r="LU793" i="94"/>
  <c r="CY793" i="94"/>
  <c r="FW793" i="94"/>
  <c r="CT793" i="94"/>
  <c r="FV793" i="94"/>
  <c r="CI793" i="94"/>
  <c r="BO793" i="94"/>
  <c r="EU793" i="94"/>
  <c r="JX790" i="94"/>
  <c r="GP790" i="94"/>
  <c r="EK790" i="94"/>
  <c r="X790" i="94"/>
  <c r="ID790" i="94"/>
  <c r="GD790" i="94"/>
  <c r="BH790" i="94"/>
  <c r="HZ790" i="94"/>
  <c r="FU790" i="94"/>
  <c r="BD790" i="94"/>
  <c r="HR790" i="94"/>
  <c r="FP790" i="94"/>
  <c r="AZ790" i="94"/>
  <c r="HQ790" i="94"/>
  <c r="FM790" i="94"/>
  <c r="AV790" i="94"/>
  <c r="MK790" i="94"/>
  <c r="HB790" i="94"/>
  <c r="EZ790" i="94"/>
  <c r="AJ790" i="94"/>
  <c r="HA790" i="94"/>
  <c r="GT790" i="94"/>
  <c r="EW790" i="94"/>
  <c r="AF790" i="94"/>
  <c r="AB790" i="94"/>
  <c r="LU790" i="94"/>
  <c r="LQ790" i="94"/>
  <c r="EO790" i="94"/>
  <c r="MO784" i="94"/>
  <c r="MG784" i="94"/>
  <c r="LY784" i="94"/>
  <c r="LQ784" i="94"/>
  <c r="KU784" i="94"/>
  <c r="KA784" i="94"/>
  <c r="JF784" i="94"/>
  <c r="II784" i="94"/>
  <c r="HY784" i="94"/>
  <c r="HQ784" i="94"/>
  <c r="HI784" i="94"/>
  <c r="HA784" i="94"/>
  <c r="GS784" i="94"/>
  <c r="GK784" i="94"/>
  <c r="GC784" i="94"/>
  <c r="FU784" i="94"/>
  <c r="FM784" i="94"/>
  <c r="FE784" i="94"/>
  <c r="EW784" i="94"/>
  <c r="EO784" i="94"/>
  <c r="EG784" i="94"/>
  <c r="DY784" i="94"/>
  <c r="DQ784" i="94"/>
  <c r="DI784" i="94"/>
  <c r="DA784" i="94"/>
  <c r="CS784" i="94"/>
  <c r="MN784" i="94"/>
  <c r="MF784" i="94"/>
  <c r="LX784" i="94"/>
  <c r="LO784" i="94"/>
  <c r="KT784" i="94"/>
  <c r="JW784" i="94"/>
  <c r="JC784" i="94"/>
  <c r="IH784" i="94"/>
  <c r="HX784" i="94"/>
  <c r="HP784" i="94"/>
  <c r="HH784" i="94"/>
  <c r="GZ784" i="94"/>
  <c r="GR784" i="94"/>
  <c r="GJ784" i="94"/>
  <c r="GB784" i="94"/>
  <c r="FT784" i="94"/>
  <c r="FL784" i="94"/>
  <c r="FD784" i="94"/>
  <c r="EV784" i="94"/>
  <c r="EN784" i="94"/>
  <c r="EF784" i="94"/>
  <c r="DX784" i="94"/>
  <c r="DP784" i="94"/>
  <c r="DH784" i="94"/>
  <c r="CZ784" i="94"/>
  <c r="CR784" i="94"/>
  <c r="CJ784" i="94"/>
  <c r="CB784" i="94"/>
  <c r="BT784" i="94"/>
  <c r="BL784" i="94"/>
  <c r="BD784" i="94"/>
  <c r="MM784" i="94"/>
  <c r="ME784" i="94"/>
  <c r="LW784" i="94"/>
  <c r="LK784" i="94"/>
  <c r="KQ784" i="94"/>
  <c r="JV784" i="94"/>
  <c r="IY784" i="94"/>
  <c r="IE784" i="94"/>
  <c r="HW784" i="94"/>
  <c r="HO784" i="94"/>
  <c r="HG784" i="94"/>
  <c r="GY784" i="94"/>
  <c r="GQ784" i="94"/>
  <c r="GI784" i="94"/>
  <c r="GA784" i="94"/>
  <c r="FS784" i="94"/>
  <c r="FK784" i="94"/>
  <c r="FC784" i="94"/>
  <c r="MK784" i="94"/>
  <c r="MC784" i="94"/>
  <c r="LU784" i="94"/>
  <c r="LG784" i="94"/>
  <c r="KL784" i="94"/>
  <c r="JO784" i="94"/>
  <c r="IU784" i="94"/>
  <c r="IC784" i="94"/>
  <c r="HU784" i="94"/>
  <c r="HM784" i="94"/>
  <c r="HE784" i="94"/>
  <c r="GW784" i="94"/>
  <c r="GO784" i="94"/>
  <c r="GG784" i="94"/>
  <c r="FY784" i="94"/>
  <c r="FQ784" i="94"/>
  <c r="FI784" i="94"/>
  <c r="FA784" i="94"/>
  <c r="ES784" i="94"/>
  <c r="EK784" i="94"/>
  <c r="EC784" i="94"/>
  <c r="DU784" i="94"/>
  <c r="DM784" i="94"/>
  <c r="DE784" i="94"/>
  <c r="CW784" i="94"/>
  <c r="CO784" i="94"/>
  <c r="CG784" i="94"/>
  <c r="BY784" i="94"/>
  <c r="BQ784" i="94"/>
  <c r="BI784" i="94"/>
  <c r="BA784" i="94"/>
  <c r="AS784" i="94"/>
  <c r="AK784" i="94"/>
  <c r="AC784" i="94"/>
  <c r="MJ784" i="94"/>
  <c r="MB784" i="94"/>
  <c r="LT784" i="94"/>
  <c r="LC784" i="94"/>
  <c r="KI784" i="94"/>
  <c r="JN784" i="94"/>
  <c r="IQ784" i="94"/>
  <c r="IB784" i="94"/>
  <c r="HT784" i="94"/>
  <c r="HL784" i="94"/>
  <c r="HD784" i="94"/>
  <c r="GV784" i="94"/>
  <c r="GN784" i="94"/>
  <c r="GF784" i="94"/>
  <c r="FX784" i="94"/>
  <c r="FP784" i="94"/>
  <c r="FH784" i="94"/>
  <c r="EZ784" i="94"/>
  <c r="ER784" i="94"/>
  <c r="EJ784" i="94"/>
  <c r="EB784" i="94"/>
  <c r="DT784" i="94"/>
  <c r="DL784" i="94"/>
  <c r="DD784" i="94"/>
  <c r="CV784" i="94"/>
  <c r="CN784" i="94"/>
  <c r="CF784" i="94"/>
  <c r="BX784" i="94"/>
  <c r="BP784" i="94"/>
  <c r="BH784" i="94"/>
  <c r="AZ784" i="94"/>
  <c r="AR784" i="94"/>
  <c r="AJ784" i="94"/>
  <c r="MA784" i="94"/>
  <c r="KM784" i="94"/>
  <c r="IM784" i="94"/>
  <c r="HK784" i="94"/>
  <c r="GP784" i="94"/>
  <c r="FV784" i="94"/>
  <c r="EY784" i="94"/>
  <c r="EI784" i="94"/>
  <c r="DS784" i="94"/>
  <c r="DC784" i="94"/>
  <c r="CM784" i="94"/>
  <c r="CA784" i="94"/>
  <c r="BN784" i="94"/>
  <c r="BB784" i="94"/>
  <c r="AP784" i="94"/>
  <c r="AF784" i="94"/>
  <c r="LZ784" i="94"/>
  <c r="KE784" i="94"/>
  <c r="ID784" i="94"/>
  <c r="HJ784" i="94"/>
  <c r="GM784" i="94"/>
  <c r="FR784" i="94"/>
  <c r="EX784" i="94"/>
  <c r="EH784" i="94"/>
  <c r="DR784" i="94"/>
  <c r="DB784" i="94"/>
  <c r="CL784" i="94"/>
  <c r="BZ784" i="94"/>
  <c r="BM784" i="94"/>
  <c r="AY784" i="94"/>
  <c r="AO784" i="94"/>
  <c r="AE784" i="94"/>
  <c r="NA784" i="94"/>
  <c r="LV784" i="94"/>
  <c r="KD784" i="94"/>
  <c r="IA784" i="94"/>
  <c r="HF784" i="94"/>
  <c r="GL784" i="94"/>
  <c r="FO784" i="94"/>
  <c r="EU784" i="94"/>
  <c r="EE784" i="94"/>
  <c r="DO784" i="94"/>
  <c r="CY784" i="94"/>
  <c r="CK784" i="94"/>
  <c r="BW784" i="94"/>
  <c r="BK784" i="94"/>
  <c r="AX784" i="94"/>
  <c r="AN784" i="94"/>
  <c r="AD784" i="94"/>
  <c r="MZ784" i="94"/>
  <c r="LS784" i="94"/>
  <c r="JS784" i="94"/>
  <c r="HZ784" i="94"/>
  <c r="HC784" i="94"/>
  <c r="GH784" i="94"/>
  <c r="FN784" i="94"/>
  <c r="ET784" i="94"/>
  <c r="ED784" i="94"/>
  <c r="DN784" i="94"/>
  <c r="CX784" i="94"/>
  <c r="CI784" i="94"/>
  <c r="BV784" i="94"/>
  <c r="BJ784" i="94"/>
  <c r="AW784" i="94"/>
  <c r="AM784" i="94"/>
  <c r="AB784" i="94"/>
  <c r="ML784" i="94"/>
  <c r="LR784" i="94"/>
  <c r="JK784" i="94"/>
  <c r="HV784" i="94"/>
  <c r="HB784" i="94"/>
  <c r="GE784" i="94"/>
  <c r="FJ784" i="94"/>
  <c r="EQ784" i="94"/>
  <c r="EA784" i="94"/>
  <c r="DK784" i="94"/>
  <c r="CU784" i="94"/>
  <c r="CH784" i="94"/>
  <c r="BU784" i="94"/>
  <c r="BG784" i="94"/>
  <c r="AV784" i="94"/>
  <c r="AL784" i="94"/>
  <c r="AA784" i="94"/>
  <c r="MI784" i="94"/>
  <c r="LJ784" i="94"/>
  <c r="JG784" i="94"/>
  <c r="HS784" i="94"/>
  <c r="GX784" i="94"/>
  <c r="GD784" i="94"/>
  <c r="FG784" i="94"/>
  <c r="EP784" i="94"/>
  <c r="DZ784" i="94"/>
  <c r="DJ784" i="94"/>
  <c r="CT784" i="94"/>
  <c r="CE784" i="94"/>
  <c r="BS784" i="94"/>
  <c r="BF784" i="94"/>
  <c r="AU784" i="94"/>
  <c r="AI784" i="94"/>
  <c r="Z784" i="94"/>
  <c r="HR784" i="94"/>
  <c r="EM784" i="94"/>
  <c r="CD784" i="94"/>
  <c r="AH784" i="94"/>
  <c r="DV784" i="94"/>
  <c r="BO784" i="94"/>
  <c r="HN784" i="94"/>
  <c r="EL784" i="94"/>
  <c r="CC784" i="94"/>
  <c r="AG784" i="94"/>
  <c r="MD784" i="94"/>
  <c r="X784" i="94"/>
  <c r="MH784" i="94"/>
  <c r="GU784" i="94"/>
  <c r="DW784" i="94"/>
  <c r="BR784" i="94"/>
  <c r="Y784" i="94"/>
  <c r="GT784" i="94"/>
  <c r="LB784" i="94"/>
  <c r="FZ784" i="94"/>
  <c r="DG784" i="94"/>
  <c r="BE784" i="94"/>
  <c r="KY784" i="94"/>
  <c r="FW784" i="94"/>
  <c r="DF784" i="94"/>
  <c r="BC784" i="94"/>
  <c r="IY779" i="94"/>
  <c r="LN779" i="94"/>
  <c r="AL780" i="94"/>
  <c r="BG780" i="94"/>
  <c r="CD780" i="94"/>
  <c r="CX780" i="94"/>
  <c r="DS780" i="94"/>
  <c r="EP780" i="94"/>
  <c r="FJ780" i="94"/>
  <c r="GE780" i="94"/>
  <c r="HB780" i="94"/>
  <c r="HV780" i="94"/>
  <c r="JK780" i="94"/>
  <c r="LR780" i="94"/>
  <c r="ML780" i="94"/>
  <c r="AM781" i="94"/>
  <c r="CL781" i="94"/>
  <c r="GA781" i="94"/>
  <c r="CD782" i="94"/>
  <c r="GP782" i="94"/>
  <c r="LG782" i="94"/>
  <c r="EX783" i="94"/>
  <c r="FF784" i="94"/>
  <c r="AU786" i="94"/>
  <c r="I971" i="94"/>
  <c r="M975" i="94"/>
  <c r="IJ779" i="94"/>
  <c r="IZ779" i="94"/>
  <c r="JQ779" i="94"/>
  <c r="KI779" i="94"/>
  <c r="LB779" i="94"/>
  <c r="MZ779" i="94"/>
  <c r="IJ780" i="94"/>
  <c r="IZ780" i="94"/>
  <c r="JP780" i="94"/>
  <c r="KF780" i="94"/>
  <c r="KV780" i="94"/>
  <c r="LL780" i="94"/>
  <c r="NB780" i="94"/>
  <c r="IJ782" i="94"/>
  <c r="IR782" i="94"/>
  <c r="IZ782" i="94"/>
  <c r="JH782" i="94"/>
  <c r="JP782" i="94"/>
  <c r="JX782" i="94"/>
  <c r="KF782" i="94"/>
  <c r="KN782" i="94"/>
  <c r="KV782" i="94"/>
  <c r="LD782" i="94"/>
  <c r="LL782" i="94"/>
  <c r="NB782" i="94"/>
  <c r="IF784" i="94"/>
  <c r="IN784" i="94"/>
  <c r="IV784" i="94"/>
  <c r="JD784" i="94"/>
  <c r="JL784" i="94"/>
  <c r="JT784" i="94"/>
  <c r="KB784" i="94"/>
  <c r="KJ784" i="94"/>
  <c r="KR784" i="94"/>
  <c r="KZ784" i="94"/>
  <c r="LH784" i="94"/>
  <c r="LP784" i="94"/>
  <c r="IZ786" i="94"/>
  <c r="KF786" i="94"/>
  <c r="LL786" i="94"/>
  <c r="CO787" i="94"/>
  <c r="IV788" i="94"/>
  <c r="KB788" i="94"/>
  <c r="KE792" i="94"/>
  <c r="IQ794" i="94"/>
  <c r="JJ794" i="94"/>
  <c r="KF794" i="94"/>
  <c r="IW798" i="94"/>
  <c r="MK816" i="94"/>
  <c r="IC816" i="94"/>
  <c r="HM816" i="94"/>
  <c r="GW816" i="94"/>
  <c r="GG816" i="94"/>
  <c r="FO816" i="94"/>
  <c r="EY816" i="94"/>
  <c r="EI816" i="94"/>
  <c r="DM816" i="94"/>
  <c r="CQ816" i="94"/>
  <c r="BY816" i="94"/>
  <c r="BI816" i="94"/>
  <c r="AS816" i="94"/>
  <c r="AC816" i="94"/>
  <c r="MI816" i="94"/>
  <c r="IB816" i="94"/>
  <c r="HL816" i="94"/>
  <c r="GV816" i="94"/>
  <c r="GF816" i="94"/>
  <c r="FN816" i="94"/>
  <c r="EX816" i="94"/>
  <c r="EH816" i="94"/>
  <c r="DL816" i="94"/>
  <c r="CO816" i="94"/>
  <c r="BX816" i="94"/>
  <c r="BH816" i="94"/>
  <c r="AR816" i="94"/>
  <c r="AB816" i="94"/>
  <c r="MF816" i="94"/>
  <c r="HZ816" i="94"/>
  <c r="HJ816" i="94"/>
  <c r="GT816" i="94"/>
  <c r="GD816" i="94"/>
  <c r="FL816" i="94"/>
  <c r="EV816" i="94"/>
  <c r="EF816" i="94"/>
  <c r="DI816" i="94"/>
  <c r="CM816" i="94"/>
  <c r="BV816" i="94"/>
  <c r="BF816" i="94"/>
  <c r="AP816" i="94"/>
  <c r="Z816" i="94"/>
  <c r="LY816" i="94"/>
  <c r="HV816" i="94"/>
  <c r="HF816" i="94"/>
  <c r="GP816" i="94"/>
  <c r="FX816" i="94"/>
  <c r="FH816" i="94"/>
  <c r="ER816" i="94"/>
  <c r="EB816" i="94"/>
  <c r="DC816" i="94"/>
  <c r="CI816" i="94"/>
  <c r="BR816" i="94"/>
  <c r="BB816" i="94"/>
  <c r="AL816" i="94"/>
  <c r="LX816" i="94"/>
  <c r="HU816" i="94"/>
  <c r="HE816" i="94"/>
  <c r="GO816" i="94"/>
  <c r="FW816" i="94"/>
  <c r="FG816" i="94"/>
  <c r="EQ816" i="94"/>
  <c r="EA816" i="94"/>
  <c r="DA816" i="94"/>
  <c r="CG816" i="94"/>
  <c r="BQ816" i="94"/>
  <c r="BA816" i="94"/>
  <c r="AK816" i="94"/>
  <c r="LV816" i="94"/>
  <c r="HT816" i="94"/>
  <c r="HD816" i="94"/>
  <c r="GN816" i="94"/>
  <c r="FV816" i="94"/>
  <c r="FF816" i="94"/>
  <c r="EP816" i="94"/>
  <c r="DY816" i="94"/>
  <c r="CZ816" i="94"/>
  <c r="CF816" i="94"/>
  <c r="BP816" i="94"/>
  <c r="AZ816" i="94"/>
  <c r="AJ816" i="94"/>
  <c r="HR816" i="94"/>
  <c r="FD816" i="94"/>
  <c r="CD816" i="94"/>
  <c r="HN816" i="94"/>
  <c r="EZ816" i="94"/>
  <c r="BZ816" i="94"/>
  <c r="HB816" i="94"/>
  <c r="EN816" i="94"/>
  <c r="BN816" i="94"/>
  <c r="GX816" i="94"/>
  <c r="EJ816" i="94"/>
  <c r="BJ816" i="94"/>
  <c r="GL816" i="94"/>
  <c r="DU816" i="94"/>
  <c r="AX816" i="94"/>
  <c r="ML816" i="94"/>
  <c r="GH816" i="94"/>
  <c r="DP816" i="94"/>
  <c r="AT816" i="94"/>
  <c r="CV816" i="94"/>
  <c r="CR816" i="94"/>
  <c r="AH816" i="94"/>
  <c r="AD816" i="94"/>
  <c r="LS816" i="94"/>
  <c r="ID816" i="94"/>
  <c r="FT816" i="94"/>
  <c r="FP816" i="94"/>
  <c r="LQ815" i="94"/>
  <c r="FL815" i="94"/>
  <c r="EV815" i="94"/>
  <c r="EF815" i="94"/>
  <c r="AX815" i="94"/>
  <c r="AH815" i="94"/>
  <c r="GC815" i="94"/>
  <c r="FH815" i="94"/>
  <c r="ER815" i="94"/>
  <c r="BJ815" i="94"/>
  <c r="AT815" i="94"/>
  <c r="AD815" i="94"/>
  <c r="GB815" i="94"/>
  <c r="FG815" i="94"/>
  <c r="EQ815" i="94"/>
  <c r="BI815" i="94"/>
  <c r="AS815" i="94"/>
  <c r="AC815" i="94"/>
  <c r="LZ815" i="94"/>
  <c r="FV815" i="94"/>
  <c r="FF815" i="94"/>
  <c r="EP815" i="94"/>
  <c r="BH815" i="94"/>
  <c r="AR815" i="94"/>
  <c r="AB815" i="94"/>
  <c r="LY815" i="94"/>
  <c r="FT815" i="94"/>
  <c r="FD815" i="94"/>
  <c r="EN815" i="94"/>
  <c r="BF815" i="94"/>
  <c r="AP815" i="94"/>
  <c r="Z815" i="94"/>
  <c r="LW815" i="94"/>
  <c r="FP815" i="94"/>
  <c r="EZ815" i="94"/>
  <c r="EJ815" i="94"/>
  <c r="BB815" i="94"/>
  <c r="AL815" i="94"/>
  <c r="LS815" i="94"/>
  <c r="BA815" i="94"/>
  <c r="LR815" i="94"/>
  <c r="AZ815" i="94"/>
  <c r="FO815" i="94"/>
  <c r="AK815" i="94"/>
  <c r="FN815" i="94"/>
  <c r="AJ815" i="94"/>
  <c r="EY815" i="94"/>
  <c r="EX815" i="94"/>
  <c r="EI815" i="94"/>
  <c r="EH815"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MB814" i="94"/>
  <c r="LQ814" i="94"/>
  <c r="HU814" i="94"/>
  <c r="HJ814" i="94"/>
  <c r="GY814" i="94"/>
  <c r="GO814" i="94"/>
  <c r="GD814" i="94"/>
  <c r="FN814" i="94"/>
  <c r="FD814" i="94"/>
  <c r="ET814" i="94"/>
  <c r="EL814" i="94"/>
  <c r="ED814" i="94"/>
  <c r="BD814" i="94"/>
  <c r="AV814" i="94"/>
  <c r="AN814" i="94"/>
  <c r="AF814" i="94"/>
  <c r="X814" i="94"/>
  <c r="MA814" i="94"/>
  <c r="ID814" i="94"/>
  <c r="HT814" i="94"/>
  <c r="HI814" i="94"/>
  <c r="GX814" i="94"/>
  <c r="GN814" i="94"/>
  <c r="GC814" i="94"/>
  <c r="FM814" i="94"/>
  <c r="FB814" i="94"/>
  <c r="ES814" i="94"/>
  <c r="EK814" i="94"/>
  <c r="BK814" i="94"/>
  <c r="BC814" i="94"/>
  <c r="AU814" i="94"/>
  <c r="AM814" i="94"/>
  <c r="AE814" i="94"/>
  <c r="MO814" i="94"/>
  <c r="LY814" i="94"/>
  <c r="IC814" i="94"/>
  <c r="HR814" i="94"/>
  <c r="HG814" i="94"/>
  <c r="GW814" i="94"/>
  <c r="GL814" i="94"/>
  <c r="FV814" i="94"/>
  <c r="FL814" i="94"/>
  <c r="FA814" i="94"/>
  <c r="ER814" i="94"/>
  <c r="EJ814" i="94"/>
  <c r="BJ814" i="94"/>
  <c r="BB814" i="94"/>
  <c r="AT814" i="94"/>
  <c r="AL814" i="94"/>
  <c r="AD814" i="94"/>
  <c r="IB814" i="94"/>
  <c r="GK814" i="94"/>
  <c r="EQ814" i="94"/>
  <c r="AS814" i="94"/>
  <c r="HZ814" i="94"/>
  <c r="GI814" i="94"/>
  <c r="EP814" i="94"/>
  <c r="AR814" i="94"/>
  <c r="HQ814" i="94"/>
  <c r="FU814" i="94"/>
  <c r="EI814" i="94"/>
  <c r="AK814" i="94"/>
  <c r="HO814" i="94"/>
  <c r="FT814" i="94"/>
  <c r="EH814" i="94"/>
  <c r="AJ814" i="94"/>
  <c r="MK814" i="94"/>
  <c r="HF814" i="94"/>
  <c r="FJ814" i="94"/>
  <c r="BI814" i="94"/>
  <c r="AC814" i="94"/>
  <c r="MJ814" i="94"/>
  <c r="HE814" i="94"/>
  <c r="FI814" i="94"/>
  <c r="BH814" i="94"/>
  <c r="AB814" i="94"/>
  <c r="GV814" i="94"/>
  <c r="GT814" i="94"/>
  <c r="EY814" i="94"/>
  <c r="EX814" i="94"/>
  <c r="BA814" i="94"/>
  <c r="AZ814" i="94"/>
  <c r="LX814" i="94"/>
  <c r="LV814" i="94"/>
  <c r="LR813" i="94"/>
  <c r="FQ813" i="94"/>
  <c r="FA813" i="94"/>
  <c r="EM813" i="94"/>
  <c r="CK813" i="94"/>
  <c r="AZ813" i="94"/>
  <c r="AL813" i="94"/>
  <c r="AA813" i="94"/>
  <c r="IA813" i="94"/>
  <c r="FO813" i="94"/>
  <c r="EY813" i="94"/>
  <c r="EL813" i="94"/>
  <c r="BJ813" i="94"/>
  <c r="AY813" i="94"/>
  <c r="AK813" i="94"/>
  <c r="Y813" i="94"/>
  <c r="GF813" i="94"/>
  <c r="FK813" i="94"/>
  <c r="EV813" i="94"/>
  <c r="EK813" i="94"/>
  <c r="BI813" i="94"/>
  <c r="AW813" i="94"/>
  <c r="AJ813" i="94"/>
  <c r="GE813" i="94"/>
  <c r="FJ813" i="94"/>
  <c r="EU813" i="94"/>
  <c r="EI813" i="94"/>
  <c r="BH813" i="94"/>
  <c r="AT813" i="94"/>
  <c r="AI813" i="94"/>
  <c r="LZ813" i="94"/>
  <c r="GD813" i="94"/>
  <c r="FI813" i="94"/>
  <c r="ET813" i="94"/>
  <c r="EF813" i="94"/>
  <c r="BG813" i="94"/>
  <c r="AS813" i="94"/>
  <c r="AG813" i="94"/>
  <c r="LX813" i="94"/>
  <c r="GB813" i="94"/>
  <c r="FG813" i="94"/>
  <c r="ES813" i="94"/>
  <c r="EE813" i="94"/>
  <c r="BE813" i="94"/>
  <c r="AR813" i="94"/>
  <c r="AD813" i="94"/>
  <c r="FS813" i="94"/>
  <c r="BB813" i="94"/>
  <c r="FR813" i="94"/>
  <c r="BA813" i="94"/>
  <c r="FC813" i="94"/>
  <c r="AQ813" i="94"/>
  <c r="FB813" i="94"/>
  <c r="AO813" i="94"/>
  <c r="EQ813" i="94"/>
  <c r="AC813" i="94"/>
  <c r="EN813" i="94"/>
  <c r="AB813" i="94"/>
  <c r="ED813" i="94"/>
  <c r="DQ813" i="94"/>
  <c r="LT813" i="94"/>
  <c r="LS813" i="94"/>
  <c r="MI812" i="94"/>
  <c r="MA812" i="94"/>
  <c r="LS812" i="94"/>
  <c r="IB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IA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MO812" i="94"/>
  <c r="MG812" i="94"/>
  <c r="LY812" i="94"/>
  <c r="LQ812" i="94"/>
  <c r="HZ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N812" i="94"/>
  <c r="MF812" i="94"/>
  <c r="LX812" i="94"/>
  <c r="LC812" i="94"/>
  <c r="HY812" i="94"/>
  <c r="HQ812" i="94"/>
  <c r="HI812" i="94"/>
  <c r="HA812" i="94"/>
  <c r="GS812" i="94"/>
  <c r="GK812" i="94"/>
  <c r="GC812" i="94"/>
  <c r="FT812" i="94"/>
  <c r="FL812" i="94"/>
  <c r="FD812" i="94"/>
  <c r="EV812" i="94"/>
  <c r="EN812" i="94"/>
  <c r="EF812" i="94"/>
  <c r="DX812" i="94"/>
  <c r="DP812" i="94"/>
  <c r="DH812" i="94"/>
  <c r="CZ812" i="94"/>
  <c r="CR812" i="94"/>
  <c r="CJ812" i="94"/>
  <c r="CB812" i="94"/>
  <c r="BT812" i="94"/>
  <c r="BL812" i="94"/>
  <c r="BD812" i="94"/>
  <c r="AV812" i="94"/>
  <c r="AN812" i="94"/>
  <c r="AF812" i="94"/>
  <c r="X812" i="94"/>
  <c r="MM812" i="94"/>
  <c r="ME812" i="94"/>
  <c r="LW812" i="94"/>
  <c r="JO812" i="94"/>
  <c r="HX812" i="94"/>
  <c r="HP812" i="94"/>
  <c r="HH812" i="94"/>
  <c r="GZ812" i="94"/>
  <c r="GR812" i="94"/>
  <c r="GJ812" i="94"/>
  <c r="GB812" i="94"/>
  <c r="FS812" i="94"/>
  <c r="FK812" i="94"/>
  <c r="FC812" i="94"/>
  <c r="EU812" i="94"/>
  <c r="EM812" i="94"/>
  <c r="EE812" i="94"/>
  <c r="DW812" i="94"/>
  <c r="DO812" i="94"/>
  <c r="DG812" i="94"/>
  <c r="CY812" i="94"/>
  <c r="CQ812" i="94"/>
  <c r="CI812" i="94"/>
  <c r="CA812" i="94"/>
  <c r="BS812" i="94"/>
  <c r="BK812" i="94"/>
  <c r="BC812" i="94"/>
  <c r="AU812" i="94"/>
  <c r="AM812" i="94"/>
  <c r="AE812" i="94"/>
  <c r="ML812" i="94"/>
  <c r="MD812" i="94"/>
  <c r="LV812" i="94"/>
  <c r="IQ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C812" i="94"/>
  <c r="HN812" i="94"/>
  <c r="GH812" i="94"/>
  <c r="FA812" i="94"/>
  <c r="DU812" i="94"/>
  <c r="CO812" i="94"/>
  <c r="BI812" i="94"/>
  <c r="AK812" i="94"/>
  <c r="MB812" i="94"/>
  <c r="HM812" i="94"/>
  <c r="GG812" i="94"/>
  <c r="EZ812" i="94"/>
  <c r="DT812" i="94"/>
  <c r="CN812" i="94"/>
  <c r="BH812" i="94"/>
  <c r="AJ812" i="94"/>
  <c r="LU812" i="94"/>
  <c r="HF812" i="94"/>
  <c r="FZ812" i="94"/>
  <c r="ES812" i="94"/>
  <c r="DM812" i="94"/>
  <c r="CG812" i="94"/>
  <c r="BA812" i="94"/>
  <c r="AH812" i="94"/>
  <c r="LT812" i="94"/>
  <c r="HE812" i="94"/>
  <c r="FY812" i="94"/>
  <c r="ER812" i="94"/>
  <c r="DL812" i="94"/>
  <c r="CF812" i="94"/>
  <c r="AZ812" i="94"/>
  <c r="AC812" i="94"/>
  <c r="ID812" i="94"/>
  <c r="GX812" i="94"/>
  <c r="FQ812" i="94"/>
  <c r="EK812" i="94"/>
  <c r="DE812" i="94"/>
  <c r="BY812" i="94"/>
  <c r="AX812" i="94"/>
  <c r="AB812" i="94"/>
  <c r="IC812" i="94"/>
  <c r="GW812" i="94"/>
  <c r="FP812" i="94"/>
  <c r="EJ812" i="94"/>
  <c r="DD812" i="94"/>
  <c r="BX812" i="94"/>
  <c r="AS812" i="94"/>
  <c r="Z812" i="94"/>
  <c r="FI812" i="94"/>
  <c r="AR812" i="94"/>
  <c r="FH812" i="94"/>
  <c r="AP812" i="94"/>
  <c r="MK812" i="94"/>
  <c r="EC812" i="94"/>
  <c r="MJ812" i="94"/>
  <c r="EB812" i="94"/>
  <c r="HV812" i="94"/>
  <c r="CW812" i="94"/>
  <c r="HU812" i="94"/>
  <c r="CV812" i="94"/>
  <c r="GP812" i="94"/>
  <c r="GO812" i="94"/>
  <c r="BQ812" i="94"/>
  <c r="BP812" i="94"/>
  <c r="LV811" i="94"/>
  <c r="GE811" i="94"/>
  <c r="FS811" i="94"/>
  <c r="LT811" i="94"/>
  <c r="GC811" i="94"/>
  <c r="FQ811" i="94"/>
  <c r="FI811" i="94"/>
  <c r="FA811" i="94"/>
  <c r="ES811" i="94"/>
  <c r="EK811" i="94"/>
  <c r="BK811" i="94"/>
  <c r="LS811" i="94"/>
  <c r="GB811" i="94"/>
  <c r="FP811" i="94"/>
  <c r="LZ811" i="94"/>
  <c r="LR811" i="94"/>
  <c r="FX811" i="94"/>
  <c r="FO811" i="94"/>
  <c r="LY811" i="94"/>
  <c r="LQ811" i="94"/>
  <c r="FV811" i="94"/>
  <c r="FN811" i="94"/>
  <c r="FF811" i="94"/>
  <c r="EX811" i="94"/>
  <c r="EP811" i="94"/>
  <c r="EH811" i="94"/>
  <c r="LU811" i="94"/>
  <c r="FL811" i="94"/>
  <c r="FB811" i="94"/>
  <c r="EQ811" i="94"/>
  <c r="EF811" i="94"/>
  <c r="BE811" i="94"/>
  <c r="AW811" i="94"/>
  <c r="AO811" i="94"/>
  <c r="AG811" i="94"/>
  <c r="Y811" i="94"/>
  <c r="HZ811" i="94"/>
  <c r="FK811" i="94"/>
  <c r="EZ811" i="94"/>
  <c r="EO811" i="94"/>
  <c r="EE811" i="94"/>
  <c r="BD811" i="94"/>
  <c r="AV811" i="94"/>
  <c r="AN811" i="94"/>
  <c r="AF811" i="94"/>
  <c r="X811" i="94"/>
  <c r="GF811" i="94"/>
  <c r="FJ811" i="94"/>
  <c r="EY811" i="94"/>
  <c r="EN811" i="94"/>
  <c r="ED811" i="94"/>
  <c r="BC811" i="94"/>
  <c r="AU811" i="94"/>
  <c r="AM811" i="94"/>
  <c r="AE811" i="94"/>
  <c r="GD811" i="94"/>
  <c r="FH811" i="94"/>
  <c r="EW811" i="94"/>
  <c r="EM811" i="94"/>
  <c r="BJ811" i="94"/>
  <c r="BB811" i="94"/>
  <c r="AT811" i="94"/>
  <c r="AL811" i="94"/>
  <c r="AD811" i="94"/>
  <c r="FU811" i="94"/>
  <c r="FG811" i="94"/>
  <c r="EV811" i="94"/>
  <c r="EL811" i="94"/>
  <c r="BI811" i="94"/>
  <c r="BA811" i="94"/>
  <c r="AS811" i="94"/>
  <c r="AK811" i="94"/>
  <c r="AC811" i="94"/>
  <c r="FT811" i="94"/>
  <c r="FE811" i="94"/>
  <c r="EU811" i="94"/>
  <c r="EJ811" i="94"/>
  <c r="BH811" i="94"/>
  <c r="AZ811" i="94"/>
  <c r="AR811" i="94"/>
  <c r="AJ811" i="94"/>
  <c r="AB811" i="94"/>
  <c r="ET811" i="94"/>
  <c r="AQ811" i="94"/>
  <c r="ER811" i="94"/>
  <c r="AP811" i="94"/>
  <c r="LX811" i="94"/>
  <c r="EI811" i="94"/>
  <c r="AI811" i="94"/>
  <c r="LW811" i="94"/>
  <c r="EG811" i="94"/>
  <c r="AH811" i="94"/>
  <c r="FR811" i="94"/>
  <c r="BG811" i="94"/>
  <c r="AA811" i="94"/>
  <c r="FM811" i="94"/>
  <c r="BF811" i="94"/>
  <c r="Z811" i="94"/>
  <c r="AY811" i="94"/>
  <c r="AX811" i="94"/>
  <c r="FD811" i="94"/>
  <c r="FC811" i="94"/>
  <c r="MJ810" i="94"/>
  <c r="MB810" i="94"/>
  <c r="LT810" i="94"/>
  <c r="IM810" i="94"/>
  <c r="HW810" i="94"/>
  <c r="HO810" i="94"/>
  <c r="HG810" i="94"/>
  <c r="GY810" i="94"/>
  <c r="GQ810" i="94"/>
  <c r="GI810" i="94"/>
  <c r="GA810" i="94"/>
  <c r="FS810" i="94"/>
  <c r="FK810" i="94"/>
  <c r="FC810" i="94"/>
  <c r="EU810" i="94"/>
  <c r="EM810" i="94"/>
  <c r="EE810" i="94"/>
  <c r="DW810" i="94"/>
  <c r="DO810" i="94"/>
  <c r="DG810" i="94"/>
  <c r="CY810" i="94"/>
  <c r="CQ810" i="94"/>
  <c r="CI810" i="94"/>
  <c r="CA810" i="94"/>
  <c r="BS810" i="94"/>
  <c r="BK810" i="94"/>
  <c r="MI810" i="94"/>
  <c r="MA810" i="94"/>
  <c r="LS810" i="94"/>
  <c r="ID810" i="94"/>
  <c r="HV810" i="94"/>
  <c r="HN810" i="94"/>
  <c r="HF810" i="94"/>
  <c r="GX810" i="94"/>
  <c r="GP810" i="94"/>
  <c r="GH810" i="94"/>
  <c r="FZ810" i="94"/>
  <c r="FR810" i="94"/>
  <c r="FJ810" i="94"/>
  <c r="FB810" i="94"/>
  <c r="ET810" i="94"/>
  <c r="EL810" i="94"/>
  <c r="ED810" i="94"/>
  <c r="DV810" i="94"/>
  <c r="DN810" i="94"/>
  <c r="DF810" i="94"/>
  <c r="CX810" i="94"/>
  <c r="CP810" i="94"/>
  <c r="CH810" i="94"/>
  <c r="BZ810" i="94"/>
  <c r="BR810" i="94"/>
  <c r="BJ810" i="94"/>
  <c r="BB810" i="94"/>
  <c r="AT810" i="94"/>
  <c r="AL810" i="94"/>
  <c r="AD810" i="94"/>
  <c r="NC810" i="94"/>
  <c r="MH810" i="94"/>
  <c r="LZ810" i="94"/>
  <c r="LR810" i="94"/>
  <c r="IC810" i="94"/>
  <c r="HU810" i="94"/>
  <c r="HM810" i="94"/>
  <c r="HE810" i="94"/>
  <c r="GW810" i="94"/>
  <c r="GO810" i="94"/>
  <c r="GG810" i="94"/>
  <c r="FY810" i="94"/>
  <c r="FQ810" i="94"/>
  <c r="FI810" i="94"/>
  <c r="FA810" i="94"/>
  <c r="ES810" i="94"/>
  <c r="EK810" i="94"/>
  <c r="EC810" i="94"/>
  <c r="DU810" i="94"/>
  <c r="DM810" i="94"/>
  <c r="DE810" i="94"/>
  <c r="CW810" i="94"/>
  <c r="CO810" i="94"/>
  <c r="CG810" i="94"/>
  <c r="BY810" i="94"/>
  <c r="BQ810" i="94"/>
  <c r="BI810" i="94"/>
  <c r="BA810" i="94"/>
  <c r="AS810" i="94"/>
  <c r="AK810" i="94"/>
  <c r="AC810" i="94"/>
  <c r="MO810" i="94"/>
  <c r="MG810" i="94"/>
  <c r="LY810" i="94"/>
  <c r="LQ810" i="94"/>
  <c r="IB810" i="94"/>
  <c r="HT810" i="94"/>
  <c r="HL810" i="94"/>
  <c r="HD810" i="94"/>
  <c r="GV810" i="94"/>
  <c r="GN810" i="94"/>
  <c r="GF810" i="94"/>
  <c r="FX810" i="94"/>
  <c r="FP810" i="94"/>
  <c r="FH810" i="94"/>
  <c r="EZ810" i="94"/>
  <c r="ER810" i="94"/>
  <c r="EJ810" i="94"/>
  <c r="EB810" i="94"/>
  <c r="DT810" i="94"/>
  <c r="DL810" i="94"/>
  <c r="DD810" i="94"/>
  <c r="CV810" i="94"/>
  <c r="CN810" i="94"/>
  <c r="CF810" i="94"/>
  <c r="BX810" i="94"/>
  <c r="BP810" i="94"/>
  <c r="BH810" i="94"/>
  <c r="AZ810" i="94"/>
  <c r="AR810" i="94"/>
  <c r="AJ810" i="94"/>
  <c r="AB810" i="94"/>
  <c r="MN810" i="94"/>
  <c r="MF810" i="94"/>
  <c r="LX810" i="94"/>
  <c r="LG810" i="94"/>
  <c r="IA810" i="94"/>
  <c r="HS810" i="94"/>
  <c r="HK810" i="94"/>
  <c r="HC810" i="94"/>
  <c r="GU810" i="94"/>
  <c r="GM810" i="94"/>
  <c r="GE810" i="94"/>
  <c r="FW810" i="94"/>
  <c r="FO810" i="94"/>
  <c r="FG810" i="94"/>
  <c r="EY810" i="94"/>
  <c r="EQ810" i="94"/>
  <c r="EI810" i="94"/>
  <c r="EA810" i="94"/>
  <c r="DS810" i="94"/>
  <c r="DK810" i="94"/>
  <c r="DC810" i="94"/>
  <c r="CU810" i="94"/>
  <c r="CM810" i="94"/>
  <c r="CE810" i="94"/>
  <c r="BW810" i="94"/>
  <c r="BO810" i="94"/>
  <c r="BG810" i="94"/>
  <c r="AY810" i="94"/>
  <c r="AQ810" i="94"/>
  <c r="AI810" i="94"/>
  <c r="AA810" i="94"/>
  <c r="MK810" i="94"/>
  <c r="KA810" i="94"/>
  <c r="HJ810" i="94"/>
  <c r="GR810" i="94"/>
  <c r="FU810" i="94"/>
  <c r="EX810" i="94"/>
  <c r="EF810" i="94"/>
  <c r="DI810" i="94"/>
  <c r="CL810" i="94"/>
  <c r="BT810" i="94"/>
  <c r="AX810" i="94"/>
  <c r="AH810" i="94"/>
  <c r="ME810" i="94"/>
  <c r="IU810" i="94"/>
  <c r="HI810" i="94"/>
  <c r="GL810" i="94"/>
  <c r="FT810" i="94"/>
  <c r="EW810" i="94"/>
  <c r="DZ810" i="94"/>
  <c r="DH810" i="94"/>
  <c r="CK810" i="94"/>
  <c r="BN810" i="94"/>
  <c r="AW810" i="94"/>
  <c r="AG810" i="94"/>
  <c r="MD810" i="94"/>
  <c r="HZ810" i="94"/>
  <c r="HH810" i="94"/>
  <c r="GK810" i="94"/>
  <c r="FN810" i="94"/>
  <c r="EV810" i="94"/>
  <c r="DY810" i="94"/>
  <c r="DB810" i="94"/>
  <c r="CJ810" i="94"/>
  <c r="BM810" i="94"/>
  <c r="AV810" i="94"/>
  <c r="AF810" i="94"/>
  <c r="MC810" i="94"/>
  <c r="HY810" i="94"/>
  <c r="HB810" i="94"/>
  <c r="GJ810" i="94"/>
  <c r="FM810" i="94"/>
  <c r="EP810" i="94"/>
  <c r="DX810" i="94"/>
  <c r="DA810" i="94"/>
  <c r="CD810" i="94"/>
  <c r="BL810" i="94"/>
  <c r="AU810" i="94"/>
  <c r="AE810" i="94"/>
  <c r="LW810" i="94"/>
  <c r="HX810" i="94"/>
  <c r="HA810" i="94"/>
  <c r="GD810" i="94"/>
  <c r="FL810" i="94"/>
  <c r="EO810" i="94"/>
  <c r="DR810" i="94"/>
  <c r="CZ810" i="94"/>
  <c r="CC810" i="94"/>
  <c r="BF810" i="94"/>
  <c r="AP810" i="94"/>
  <c r="Z810" i="94"/>
  <c r="LV810" i="94"/>
  <c r="HR810" i="94"/>
  <c r="GZ810" i="94"/>
  <c r="GC810" i="94"/>
  <c r="FF810" i="94"/>
  <c r="EN810" i="94"/>
  <c r="DQ810" i="94"/>
  <c r="CT810" i="94"/>
  <c r="CB810" i="94"/>
  <c r="BE810" i="94"/>
  <c r="AO810" i="94"/>
  <c r="Y810" i="94"/>
  <c r="GT810" i="94"/>
  <c r="DP810" i="94"/>
  <c r="AN810" i="94"/>
  <c r="GS810" i="94"/>
  <c r="DJ810" i="94"/>
  <c r="AM810" i="94"/>
  <c r="MM810" i="94"/>
  <c r="GB810" i="94"/>
  <c r="CS810" i="94"/>
  <c r="X810" i="94"/>
  <c r="ML810" i="94"/>
  <c r="FV810" i="94"/>
  <c r="CR810" i="94"/>
  <c r="LU810" i="94"/>
  <c r="FE810" i="94"/>
  <c r="BV810" i="94"/>
  <c r="KY810" i="94"/>
  <c r="FD810" i="94"/>
  <c r="BU810" i="94"/>
  <c r="HQ810" i="94"/>
  <c r="HP810" i="94"/>
  <c r="EH810" i="94"/>
  <c r="EG810" i="94"/>
  <c r="BD810" i="94"/>
  <c r="BC810" i="94"/>
  <c r="LY809" i="94"/>
  <c r="LQ809" i="94"/>
  <c r="FZ809" i="94"/>
  <c r="FR809" i="94"/>
  <c r="FJ809" i="94"/>
  <c r="FB809" i="94"/>
  <c r="ET809" i="94"/>
  <c r="EL809" i="94"/>
  <c r="ED809" i="94"/>
  <c r="DV809" i="94"/>
  <c r="DN809" i="94"/>
  <c r="DF809" i="94"/>
  <c r="CX809" i="94"/>
  <c r="CP809" i="94"/>
  <c r="CH809" i="94"/>
  <c r="BZ809" i="94"/>
  <c r="BR809" i="94"/>
  <c r="BJ809" i="94"/>
  <c r="BB809" i="94"/>
  <c r="AT809" i="94"/>
  <c r="AL809" i="94"/>
  <c r="AD809" i="94"/>
  <c r="LX809" i="94"/>
  <c r="IC809" i="94"/>
  <c r="FY809" i="94"/>
  <c r="FQ809" i="94"/>
  <c r="FI809" i="94"/>
  <c r="FA809" i="94"/>
  <c r="ES809" i="94"/>
  <c r="EK809" i="94"/>
  <c r="EC809" i="94"/>
  <c r="DU809" i="94"/>
  <c r="DM809" i="94"/>
  <c r="DE809" i="94"/>
  <c r="CW809" i="94"/>
  <c r="CO809" i="94"/>
  <c r="CG809" i="94"/>
  <c r="BY809" i="94"/>
  <c r="BQ809" i="94"/>
  <c r="BI809" i="94"/>
  <c r="BA809" i="94"/>
  <c r="AS809" i="94"/>
  <c r="AK809" i="94"/>
  <c r="AC809" i="94"/>
  <c r="LW809" i="94"/>
  <c r="GF809" i="94"/>
  <c r="LV809" i="94"/>
  <c r="LU809" i="94"/>
  <c r="GA809" i="94"/>
  <c r="FO809" i="94"/>
  <c r="FE809" i="94"/>
  <c r="EU809" i="94"/>
  <c r="EI809" i="94"/>
  <c r="DY809" i="94"/>
  <c r="DO809" i="94"/>
  <c r="DC809" i="94"/>
  <c r="CS809" i="94"/>
  <c r="CI809" i="94"/>
  <c r="BW809" i="94"/>
  <c r="BM809" i="94"/>
  <c r="BC809" i="94"/>
  <c r="AQ809" i="94"/>
  <c r="AG809" i="94"/>
  <c r="LT809" i="94"/>
  <c r="FX809" i="94"/>
  <c r="FN809" i="94"/>
  <c r="FD809" i="94"/>
  <c r="ER809" i="94"/>
  <c r="EH809" i="94"/>
  <c r="DX809" i="94"/>
  <c r="DL809" i="94"/>
  <c r="DB809" i="94"/>
  <c r="CR809" i="94"/>
  <c r="CF809" i="94"/>
  <c r="BV809" i="94"/>
  <c r="BL809" i="94"/>
  <c r="AZ809" i="94"/>
  <c r="AP809" i="94"/>
  <c r="AF809" i="94"/>
  <c r="LS809" i="94"/>
  <c r="FW809" i="94"/>
  <c r="FM809" i="94"/>
  <c r="FC809" i="94"/>
  <c r="EQ809" i="94"/>
  <c r="EG809" i="94"/>
  <c r="DW809" i="94"/>
  <c r="DK809" i="94"/>
  <c r="DA809" i="94"/>
  <c r="CQ809" i="94"/>
  <c r="CE809" i="94"/>
  <c r="BU809" i="94"/>
  <c r="BK809" i="94"/>
  <c r="AY809" i="94"/>
  <c r="AO809" i="94"/>
  <c r="AE809" i="94"/>
  <c r="LR809" i="94"/>
  <c r="FV809" i="94"/>
  <c r="FL809" i="94"/>
  <c r="EZ809" i="94"/>
  <c r="EP809" i="94"/>
  <c r="EF809" i="94"/>
  <c r="DT809" i="94"/>
  <c r="DJ809" i="94"/>
  <c r="CZ809" i="94"/>
  <c r="CN809" i="94"/>
  <c r="CD809" i="94"/>
  <c r="BT809" i="94"/>
  <c r="BH809" i="94"/>
  <c r="AX809" i="94"/>
  <c r="AN809" i="94"/>
  <c r="AB809" i="94"/>
  <c r="GE809" i="94"/>
  <c r="FU809" i="94"/>
  <c r="FK809" i="94"/>
  <c r="EY809" i="94"/>
  <c r="EO809" i="94"/>
  <c r="EE809" i="94"/>
  <c r="DS809" i="94"/>
  <c r="DI809" i="94"/>
  <c r="CY809" i="94"/>
  <c r="CM809" i="94"/>
  <c r="CC809" i="94"/>
  <c r="BS809" i="94"/>
  <c r="BG809" i="94"/>
  <c r="AW809" i="94"/>
  <c r="AM809" i="94"/>
  <c r="AA809" i="94"/>
  <c r="GD809" i="94"/>
  <c r="FT809" i="94"/>
  <c r="FH809" i="94"/>
  <c r="EX809" i="94"/>
  <c r="EN809" i="94"/>
  <c r="EB809" i="94"/>
  <c r="DR809" i="94"/>
  <c r="DH809" i="94"/>
  <c r="CV809" i="94"/>
  <c r="CL809" i="94"/>
  <c r="CB809" i="94"/>
  <c r="BP809" i="94"/>
  <c r="BF809" i="94"/>
  <c r="AV809" i="94"/>
  <c r="AJ809" i="94"/>
  <c r="Z809" i="94"/>
  <c r="FG809" i="94"/>
  <c r="DQ809" i="94"/>
  <c r="CA809" i="94"/>
  <c r="AI809" i="94"/>
  <c r="FF809" i="94"/>
  <c r="DP809" i="94"/>
  <c r="BX809" i="94"/>
  <c r="AH809" i="94"/>
  <c r="EW809" i="94"/>
  <c r="DG809" i="94"/>
  <c r="BO809" i="94"/>
  <c r="Y809" i="94"/>
  <c r="LZ809" i="94"/>
  <c r="EV809" i="94"/>
  <c r="DD809" i="94"/>
  <c r="BN809" i="94"/>
  <c r="X809" i="94"/>
  <c r="GC809" i="94"/>
  <c r="EM809" i="94"/>
  <c r="CU809" i="94"/>
  <c r="BE809" i="94"/>
  <c r="GB809" i="94"/>
  <c r="EJ809" i="94"/>
  <c r="CT809" i="94"/>
  <c r="BD809" i="94"/>
  <c r="EA809" i="94"/>
  <c r="DZ809" i="94"/>
  <c r="CK809" i="94"/>
  <c r="CJ809" i="94"/>
  <c r="AU809" i="94"/>
  <c r="AR809" i="94"/>
  <c r="FP809" i="94"/>
  <c r="MN808" i="94"/>
  <c r="MF808" i="94"/>
  <c r="LX808" i="94"/>
  <c r="LO808" i="94"/>
  <c r="MM808" i="94"/>
  <c r="ME808" i="94"/>
  <c r="LW808" i="94"/>
  <c r="LL808" i="94"/>
  <c r="MO808" i="94"/>
  <c r="MC808" i="94"/>
  <c r="LS808" i="94"/>
  <c r="KY808" i="94"/>
  <c r="KF808" i="94"/>
  <c r="JO808" i="94"/>
  <c r="JC808" i="94"/>
  <c r="IP808" i="94"/>
  <c r="IE808" i="94"/>
  <c r="HW808" i="94"/>
  <c r="HO808" i="94"/>
  <c r="HG808" i="94"/>
  <c r="GY808" i="94"/>
  <c r="GQ808" i="94"/>
  <c r="GI808" i="94"/>
  <c r="GA808" i="94"/>
  <c r="FS808" i="94"/>
  <c r="FK808" i="94"/>
  <c r="FC808" i="94"/>
  <c r="EU808" i="94"/>
  <c r="EM808" i="94"/>
  <c r="EE808" i="94"/>
  <c r="DW808" i="94"/>
  <c r="DO808" i="94"/>
  <c r="DG808" i="94"/>
  <c r="CY808" i="94"/>
  <c r="CQ808" i="94"/>
  <c r="CI808" i="94"/>
  <c r="CA808" i="94"/>
  <c r="BS808" i="94"/>
  <c r="BK808" i="94"/>
  <c r="BC808" i="94"/>
  <c r="AU808" i="94"/>
  <c r="AM808" i="94"/>
  <c r="AE808" i="94"/>
  <c r="ML808" i="94"/>
  <c r="MB808" i="94"/>
  <c r="LR808" i="94"/>
  <c r="KV808" i="94"/>
  <c r="KE808" i="94"/>
  <c r="JM808" i="94"/>
  <c r="IZ808" i="94"/>
  <c r="IO808" i="94"/>
  <c r="ID808" i="94"/>
  <c r="HV808" i="94"/>
  <c r="HN808" i="94"/>
  <c r="HF808" i="94"/>
  <c r="GX808" i="94"/>
  <c r="GP808" i="94"/>
  <c r="GH808" i="94"/>
  <c r="FZ808" i="94"/>
  <c r="FR808" i="94"/>
  <c r="FJ808" i="94"/>
  <c r="FB808" i="94"/>
  <c r="ET808" i="94"/>
  <c r="EL808" i="94"/>
  <c r="ED808" i="94"/>
  <c r="DV808" i="94"/>
  <c r="DN808" i="94"/>
  <c r="DF808" i="94"/>
  <c r="CX808" i="94"/>
  <c r="CP808" i="94"/>
  <c r="CH808" i="94"/>
  <c r="BZ808" i="94"/>
  <c r="BR808" i="94"/>
  <c r="BJ808" i="94"/>
  <c r="BB808" i="94"/>
  <c r="AT808" i="94"/>
  <c r="AL808" i="94"/>
  <c r="AD808" i="94"/>
  <c r="MK808" i="94"/>
  <c r="MA808" i="94"/>
  <c r="LQ808" i="94"/>
  <c r="KU808" i="94"/>
  <c r="KC808" i="94"/>
  <c r="JL808" i="94"/>
  <c r="IY808" i="94"/>
  <c r="IM808" i="94"/>
  <c r="IC808" i="94"/>
  <c r="HU808" i="94"/>
  <c r="HM808" i="94"/>
  <c r="HE808" i="94"/>
  <c r="GW808" i="94"/>
  <c r="GO808" i="94"/>
  <c r="GG808" i="94"/>
  <c r="FY808" i="94"/>
  <c r="FQ808" i="94"/>
  <c r="FI808" i="94"/>
  <c r="FA808" i="94"/>
  <c r="ES808" i="94"/>
  <c r="EK808" i="94"/>
  <c r="EC808" i="94"/>
  <c r="DU808" i="94"/>
  <c r="DM808" i="94"/>
  <c r="DE808" i="94"/>
  <c r="CW808" i="94"/>
  <c r="CO808" i="94"/>
  <c r="CG808" i="94"/>
  <c r="BY808" i="94"/>
  <c r="BQ808" i="94"/>
  <c r="BI808" i="94"/>
  <c r="BA808" i="94"/>
  <c r="AS808" i="94"/>
  <c r="AK808" i="94"/>
  <c r="AC808" i="94"/>
  <c r="MJ808" i="94"/>
  <c r="LZ808" i="94"/>
  <c r="LK808" i="94"/>
  <c r="KS808" i="94"/>
  <c r="KA808" i="94"/>
  <c r="JK808" i="94"/>
  <c r="IW808" i="94"/>
  <c r="IJ808" i="94"/>
  <c r="IB808" i="94"/>
  <c r="HT808" i="94"/>
  <c r="HL808" i="94"/>
  <c r="HD808" i="94"/>
  <c r="GV808" i="94"/>
  <c r="GN808" i="94"/>
  <c r="GF808" i="94"/>
  <c r="FX808" i="94"/>
  <c r="FP808" i="94"/>
  <c r="FH808" i="94"/>
  <c r="EZ808" i="94"/>
  <c r="ER808" i="94"/>
  <c r="EJ808" i="94"/>
  <c r="EB808" i="94"/>
  <c r="DT808" i="94"/>
  <c r="DL808" i="94"/>
  <c r="DD808" i="94"/>
  <c r="CV808" i="94"/>
  <c r="CN808" i="94"/>
  <c r="CF808" i="94"/>
  <c r="BX808" i="94"/>
  <c r="BP808" i="94"/>
  <c r="BH808" i="94"/>
  <c r="AZ808" i="94"/>
  <c r="AR808" i="94"/>
  <c r="AJ808" i="94"/>
  <c r="AB808" i="94"/>
  <c r="MI808" i="94"/>
  <c r="LY808" i="94"/>
  <c r="LI808" i="94"/>
  <c r="KQ808" i="94"/>
  <c r="JX808" i="94"/>
  <c r="JG808" i="94"/>
  <c r="IV808" i="94"/>
  <c r="II808" i="94"/>
  <c r="IA808" i="94"/>
  <c r="HS808" i="94"/>
  <c r="HK808" i="94"/>
  <c r="HC808" i="94"/>
  <c r="GU808" i="94"/>
  <c r="GM808" i="94"/>
  <c r="GE808" i="94"/>
  <c r="FW808" i="94"/>
  <c r="FO808" i="94"/>
  <c r="FG808" i="94"/>
  <c r="EY808" i="94"/>
  <c r="EQ808" i="94"/>
  <c r="EI808" i="94"/>
  <c r="EA808" i="94"/>
  <c r="DS808" i="94"/>
  <c r="DK808" i="94"/>
  <c r="DC808" i="94"/>
  <c r="CU808" i="94"/>
  <c r="CM808" i="94"/>
  <c r="CE808" i="94"/>
  <c r="BW808" i="94"/>
  <c r="BO808" i="94"/>
  <c r="BG808" i="94"/>
  <c r="AY808" i="94"/>
  <c r="AQ808" i="94"/>
  <c r="AI808" i="94"/>
  <c r="AA808" i="94"/>
  <c r="MH808" i="94"/>
  <c r="LV808" i="94"/>
  <c r="LG808" i="94"/>
  <c r="KN808" i="94"/>
  <c r="JU808" i="94"/>
  <c r="JF808" i="94"/>
  <c r="IU808" i="94"/>
  <c r="IH808" i="94"/>
  <c r="HZ808" i="94"/>
  <c r="HR808" i="94"/>
  <c r="HJ808" i="94"/>
  <c r="HB808" i="94"/>
  <c r="GT808" i="94"/>
  <c r="GL808" i="94"/>
  <c r="GD808" i="94"/>
  <c r="FV808" i="94"/>
  <c r="FN808" i="94"/>
  <c r="FF808" i="94"/>
  <c r="EX808" i="94"/>
  <c r="LD808" i="94"/>
  <c r="IR808" i="94"/>
  <c r="HI808" i="94"/>
  <c r="GC808" i="94"/>
  <c r="EW808" i="94"/>
  <c r="DZ808" i="94"/>
  <c r="DH808" i="94"/>
  <c r="CK808" i="94"/>
  <c r="BN808" i="94"/>
  <c r="AV808" i="94"/>
  <c r="Y808" i="94"/>
  <c r="LA808" i="94"/>
  <c r="IQ808" i="94"/>
  <c r="HH808" i="94"/>
  <c r="GB808" i="94"/>
  <c r="EV808" i="94"/>
  <c r="DY808" i="94"/>
  <c r="DB808" i="94"/>
  <c r="CJ808" i="94"/>
  <c r="BM808" i="94"/>
  <c r="AP808" i="94"/>
  <c r="X808" i="94"/>
  <c r="KK808" i="94"/>
  <c r="IG808" i="94"/>
  <c r="HA808" i="94"/>
  <c r="FU808" i="94"/>
  <c r="EP808" i="94"/>
  <c r="DX808" i="94"/>
  <c r="DA808" i="94"/>
  <c r="CD808" i="94"/>
  <c r="BL808" i="94"/>
  <c r="AO808" i="94"/>
  <c r="KI808" i="94"/>
  <c r="IF808" i="94"/>
  <c r="GZ808" i="94"/>
  <c r="FT808" i="94"/>
  <c r="EO808" i="94"/>
  <c r="DR808" i="94"/>
  <c r="CZ808" i="94"/>
  <c r="CC808" i="94"/>
  <c r="BF808" i="94"/>
  <c r="AN808" i="94"/>
  <c r="MG808" i="94"/>
  <c r="JS808" i="94"/>
  <c r="HY808" i="94"/>
  <c r="GS808" i="94"/>
  <c r="FM808" i="94"/>
  <c r="EN808" i="94"/>
  <c r="DQ808" i="94"/>
  <c r="CT808" i="94"/>
  <c r="CB808" i="94"/>
  <c r="BE808" i="94"/>
  <c r="AH808" i="94"/>
  <c r="MD808" i="94"/>
  <c r="JP808" i="94"/>
  <c r="HX808" i="94"/>
  <c r="GR808" i="94"/>
  <c r="FL808" i="94"/>
  <c r="EH808" i="94"/>
  <c r="DP808" i="94"/>
  <c r="CS808" i="94"/>
  <c r="BV808" i="94"/>
  <c r="BD808" i="94"/>
  <c r="AG808" i="94"/>
  <c r="JE808" i="94"/>
  <c r="EG808" i="94"/>
  <c r="AX808" i="94"/>
  <c r="JD808" i="94"/>
  <c r="EF808" i="94"/>
  <c r="AW808" i="94"/>
  <c r="HQ808" i="94"/>
  <c r="DJ808" i="94"/>
  <c r="AF808" i="94"/>
  <c r="HP808" i="94"/>
  <c r="DI808" i="94"/>
  <c r="Z808" i="94"/>
  <c r="GK808" i="94"/>
  <c r="CR808" i="94"/>
  <c r="GJ808" i="94"/>
  <c r="CL808" i="94"/>
  <c r="LU808" i="94"/>
  <c r="LT808" i="94"/>
  <c r="FE808" i="94"/>
  <c r="FD808" i="94"/>
  <c r="BU808" i="94"/>
  <c r="LZ807" i="94"/>
  <c r="LR807" i="94"/>
  <c r="FU807" i="94"/>
  <c r="FM807" i="94"/>
  <c r="FE807" i="94"/>
  <c r="EW807" i="94"/>
  <c r="EO807" i="94"/>
  <c r="EG807" i="94"/>
  <c r="BG807" i="94"/>
  <c r="AY807" i="94"/>
  <c r="AQ807" i="94"/>
  <c r="AI807" i="94"/>
  <c r="AA807" i="94"/>
  <c r="LY807" i="94"/>
  <c r="LQ807" i="94"/>
  <c r="FT807" i="94"/>
  <c r="FL807" i="94"/>
  <c r="FD807" i="94"/>
  <c r="EV807" i="94"/>
  <c r="EN807" i="94"/>
  <c r="EF807" i="94"/>
  <c r="BF807" i="94"/>
  <c r="AX807" i="94"/>
  <c r="AP807" i="94"/>
  <c r="AH807" i="94"/>
  <c r="Z807" i="94"/>
  <c r="LX807" i="94"/>
  <c r="GF807" i="94"/>
  <c r="FS807" i="94"/>
  <c r="FK807" i="94"/>
  <c r="FC807" i="94"/>
  <c r="EU807" i="94"/>
  <c r="EM807" i="94"/>
  <c r="EE807" i="94"/>
  <c r="BE807" i="94"/>
  <c r="AW807" i="94"/>
  <c r="AO807" i="94"/>
  <c r="AG807" i="94"/>
  <c r="Y807" i="94"/>
  <c r="LW807" i="94"/>
  <c r="GE807" i="94"/>
  <c r="FR807" i="94"/>
  <c r="FJ807" i="94"/>
  <c r="FB807" i="94"/>
  <c r="ET807" i="94"/>
  <c r="EL807" i="94"/>
  <c r="ED807" i="94"/>
  <c r="BD807" i="94"/>
  <c r="AV807" i="94"/>
  <c r="AN807" i="94"/>
  <c r="AF807" i="94"/>
  <c r="X807" i="94"/>
  <c r="LV807" i="94"/>
  <c r="GD807" i="94"/>
  <c r="FQ807" i="94"/>
  <c r="FI807" i="94"/>
  <c r="FA807" i="94"/>
  <c r="ES807" i="94"/>
  <c r="EK807" i="94"/>
  <c r="BK807" i="94"/>
  <c r="BC807" i="94"/>
  <c r="AU807" i="94"/>
  <c r="AM807" i="94"/>
  <c r="AE807" i="94"/>
  <c r="FP807" i="94"/>
  <c r="EX807" i="94"/>
  <c r="BI807" i="94"/>
  <c r="AL807" i="94"/>
  <c r="FO807" i="94"/>
  <c r="ER807" i="94"/>
  <c r="BH807" i="94"/>
  <c r="AK807" i="94"/>
  <c r="LU807" i="94"/>
  <c r="FN807" i="94"/>
  <c r="EQ807" i="94"/>
  <c r="BB807" i="94"/>
  <c r="AJ807" i="94"/>
  <c r="LT807" i="94"/>
  <c r="FH807" i="94"/>
  <c r="EP807" i="94"/>
  <c r="BA807" i="94"/>
  <c r="AD807" i="94"/>
  <c r="LS807" i="94"/>
  <c r="FG807" i="94"/>
  <c r="EJ807" i="94"/>
  <c r="AZ807" i="94"/>
  <c r="AC807" i="94"/>
  <c r="GC807" i="94"/>
  <c r="FF807" i="94"/>
  <c r="EI807" i="94"/>
  <c r="AT807" i="94"/>
  <c r="AB807" i="94"/>
  <c r="EH807" i="94"/>
  <c r="BJ807" i="94"/>
  <c r="AS807" i="94"/>
  <c r="AR807" i="94"/>
  <c r="GB807" i="94"/>
  <c r="FV807" i="94"/>
  <c r="EZ807" i="94"/>
  <c r="EY807" i="94"/>
  <c r="MZ806" i="94"/>
  <c r="MH806" i="94"/>
  <c r="MO806" i="94"/>
  <c r="MG806" i="94"/>
  <c r="MN806" i="94"/>
  <c r="MF806" i="94"/>
  <c r="LX806" i="94"/>
  <c r="MM806" i="94"/>
  <c r="ND806" i="94"/>
  <c r="ML806" i="94"/>
  <c r="NA806" i="94"/>
  <c r="MA806" i="94"/>
  <c r="LR806" i="94"/>
  <c r="LJ806" i="94"/>
  <c r="LB806" i="94"/>
  <c r="KT806" i="94"/>
  <c r="KL806" i="94"/>
  <c r="KD806" i="94"/>
  <c r="JV806" i="94"/>
  <c r="JN806" i="94"/>
  <c r="JF806" i="94"/>
  <c r="IX806" i="94"/>
  <c r="IP806" i="94"/>
  <c r="IH806" i="94"/>
  <c r="HZ806" i="94"/>
  <c r="HR806" i="94"/>
  <c r="HJ806" i="94"/>
  <c r="HB806" i="94"/>
  <c r="GT806" i="94"/>
  <c r="GL806" i="94"/>
  <c r="GD806" i="94"/>
  <c r="FQ806" i="94"/>
  <c r="FI806" i="94"/>
  <c r="FA806" i="94"/>
  <c r="ES806" i="94"/>
  <c r="EK806" i="94"/>
  <c r="BK806" i="94"/>
  <c r="BC806" i="94"/>
  <c r="AU806" i="94"/>
  <c r="AM806" i="94"/>
  <c r="AE806" i="94"/>
  <c r="MK806" i="94"/>
  <c r="LZ806" i="94"/>
  <c r="LQ806" i="94"/>
  <c r="LI806" i="94"/>
  <c r="LA806" i="94"/>
  <c r="KS806" i="94"/>
  <c r="KK806" i="94"/>
  <c r="KC806" i="94"/>
  <c r="JU806" i="94"/>
  <c r="JM806" i="94"/>
  <c r="JE806" i="94"/>
  <c r="IW806" i="94"/>
  <c r="IO806" i="94"/>
  <c r="IG806" i="94"/>
  <c r="HY806" i="94"/>
  <c r="HQ806" i="94"/>
  <c r="HI806" i="94"/>
  <c r="HA806" i="94"/>
  <c r="GS806" i="94"/>
  <c r="GK806" i="94"/>
  <c r="GC806" i="94"/>
  <c r="FP806" i="94"/>
  <c r="FH806" i="94"/>
  <c r="EZ806" i="94"/>
  <c r="ER806" i="94"/>
  <c r="EJ806" i="94"/>
  <c r="BJ806" i="94"/>
  <c r="BB806" i="94"/>
  <c r="AT806" i="94"/>
  <c r="AL806" i="94"/>
  <c r="AD806" i="94"/>
  <c r="MJ806" i="94"/>
  <c r="LY806" i="94"/>
  <c r="LP806" i="94"/>
  <c r="LH806" i="94"/>
  <c r="KZ806" i="94"/>
  <c r="KR806" i="94"/>
  <c r="KJ806" i="94"/>
  <c r="KB806" i="94"/>
  <c r="JT806" i="94"/>
  <c r="JL806" i="94"/>
  <c r="JD806" i="94"/>
  <c r="IV806" i="94"/>
  <c r="IN806" i="94"/>
  <c r="IF806" i="94"/>
  <c r="HX806" i="94"/>
  <c r="HP806" i="94"/>
  <c r="HH806" i="94"/>
  <c r="GZ806" i="94"/>
  <c r="GR806" i="94"/>
  <c r="GJ806" i="94"/>
  <c r="GB806" i="94"/>
  <c r="FO806" i="94"/>
  <c r="FG806" i="94"/>
  <c r="EY806" i="94"/>
  <c r="EQ806" i="94"/>
  <c r="EI806" i="94"/>
  <c r="BI806" i="94"/>
  <c r="BA806" i="94"/>
  <c r="AS806" i="94"/>
  <c r="AK806" i="94"/>
  <c r="AC806" i="94"/>
  <c r="MI806" i="94"/>
  <c r="LW806" i="94"/>
  <c r="LO806" i="94"/>
  <c r="LG806" i="94"/>
  <c r="KY806" i="94"/>
  <c r="KQ806" i="94"/>
  <c r="KI806" i="94"/>
  <c r="KA806" i="94"/>
  <c r="JS806" i="94"/>
  <c r="JK806" i="94"/>
  <c r="JC806" i="94"/>
  <c r="IU806" i="94"/>
  <c r="IM806" i="94"/>
  <c r="IE806" i="94"/>
  <c r="HW806" i="94"/>
  <c r="HO806" i="94"/>
  <c r="HG806" i="94"/>
  <c r="GY806" i="94"/>
  <c r="GQ806" i="94"/>
  <c r="GI806" i="94"/>
  <c r="FV806" i="94"/>
  <c r="FN806" i="94"/>
  <c r="FF806" i="94"/>
  <c r="EX806" i="94"/>
  <c r="EP806" i="94"/>
  <c r="EH806" i="94"/>
  <c r="BH806" i="94"/>
  <c r="AZ806" i="94"/>
  <c r="AR806" i="94"/>
  <c r="AJ806" i="94"/>
  <c r="AB806" i="94"/>
  <c r="ME806" i="94"/>
  <c r="LV806" i="94"/>
  <c r="LN806" i="94"/>
  <c r="LF806" i="94"/>
  <c r="KX806" i="94"/>
  <c r="KP806" i="94"/>
  <c r="KH806" i="94"/>
  <c r="JZ806" i="94"/>
  <c r="JR806" i="94"/>
  <c r="JJ806" i="94"/>
  <c r="JB806" i="94"/>
  <c r="IT806" i="94"/>
  <c r="IL806" i="94"/>
  <c r="ID806" i="94"/>
  <c r="HV806" i="94"/>
  <c r="HN806" i="94"/>
  <c r="HF806" i="94"/>
  <c r="GX806" i="94"/>
  <c r="GP806" i="94"/>
  <c r="GH806" i="94"/>
  <c r="FU806" i="94"/>
  <c r="FM806" i="94"/>
  <c r="FE806" i="94"/>
  <c r="EW806" i="94"/>
  <c r="EO806" i="94"/>
  <c r="EG806" i="94"/>
  <c r="BG806" i="94"/>
  <c r="AY806" i="94"/>
  <c r="AQ806" i="94"/>
  <c r="AI806" i="94"/>
  <c r="AA806" i="94"/>
  <c r="MD806" i="94"/>
  <c r="LU806" i="94"/>
  <c r="LM806" i="94"/>
  <c r="LE806" i="94"/>
  <c r="KW806" i="94"/>
  <c r="KO806" i="94"/>
  <c r="KG806" i="94"/>
  <c r="JY806" i="94"/>
  <c r="JQ806" i="94"/>
  <c r="JI806" i="94"/>
  <c r="JA806" i="94"/>
  <c r="IS806" i="94"/>
  <c r="IK806" i="94"/>
  <c r="IC806" i="94"/>
  <c r="HU806" i="94"/>
  <c r="HM806" i="94"/>
  <c r="HE806" i="94"/>
  <c r="GW806" i="94"/>
  <c r="GO806" i="94"/>
  <c r="GG806" i="94"/>
  <c r="FT806" i="94"/>
  <c r="FL806" i="94"/>
  <c r="FD806" i="94"/>
  <c r="EV806" i="94"/>
  <c r="EN806" i="94"/>
  <c r="EF806" i="94"/>
  <c r="BF806" i="94"/>
  <c r="AX806" i="94"/>
  <c r="AP806" i="94"/>
  <c r="AH806" i="94"/>
  <c r="Z806" i="94"/>
  <c r="LT806" i="94"/>
  <c r="KN806" i="94"/>
  <c r="JH806" i="94"/>
  <c r="IB806" i="94"/>
  <c r="GV806" i="94"/>
  <c r="FK806" i="94"/>
  <c r="EE806" i="94"/>
  <c r="AG806" i="94"/>
  <c r="LS806" i="94"/>
  <c r="KM806" i="94"/>
  <c r="JG806" i="94"/>
  <c r="IA806" i="94"/>
  <c r="GU806" i="94"/>
  <c r="FJ806" i="94"/>
  <c r="ED806" i="94"/>
  <c r="AF806" i="94"/>
  <c r="LL806" i="94"/>
  <c r="KF806" i="94"/>
  <c r="IZ806" i="94"/>
  <c r="HT806" i="94"/>
  <c r="GN806" i="94"/>
  <c r="FC806" i="94"/>
  <c r="BE806" i="94"/>
  <c r="Y806" i="94"/>
  <c r="LK806" i="94"/>
  <c r="KE806" i="94"/>
  <c r="IY806" i="94"/>
  <c r="HS806" i="94"/>
  <c r="GM806" i="94"/>
  <c r="FB806" i="94"/>
  <c r="BD806" i="94"/>
  <c r="X806" i="94"/>
  <c r="NC806" i="94"/>
  <c r="LD806" i="94"/>
  <c r="JX806" i="94"/>
  <c r="IR806" i="94"/>
  <c r="HL806" i="94"/>
  <c r="GF806" i="94"/>
  <c r="EU806" i="94"/>
  <c r="AW806" i="94"/>
  <c r="NB806" i="94"/>
  <c r="LC806" i="94"/>
  <c r="JW806" i="94"/>
  <c r="IQ806" i="94"/>
  <c r="HK806" i="94"/>
  <c r="GE806" i="94"/>
  <c r="ET806" i="94"/>
  <c r="AV806" i="94"/>
  <c r="MC806" i="94"/>
  <c r="HD806" i="94"/>
  <c r="MB806" i="94"/>
  <c r="HC806" i="94"/>
  <c r="KV806" i="94"/>
  <c r="FS806" i="94"/>
  <c r="KU806" i="94"/>
  <c r="FR806" i="94"/>
  <c r="JP806" i="94"/>
  <c r="EM806" i="94"/>
  <c r="JO806" i="94"/>
  <c r="IJ806" i="94"/>
  <c r="II806" i="94"/>
  <c r="AO806" i="94"/>
  <c r="AN806" i="94"/>
  <c r="LZ805" i="94"/>
  <c r="LR805" i="94"/>
  <c r="FV805" i="94"/>
  <c r="FN805" i="94"/>
  <c r="FF805" i="94"/>
  <c r="EX805" i="94"/>
  <c r="EP805" i="94"/>
  <c r="EH805" i="94"/>
  <c r="CS805" i="94"/>
  <c r="BH805" i="94"/>
  <c r="AZ805" i="94"/>
  <c r="AR805" i="94"/>
  <c r="AJ805" i="94"/>
  <c r="AB805" i="94"/>
  <c r="LY805" i="94"/>
  <c r="LQ805" i="94"/>
  <c r="FU805" i="94"/>
  <c r="FM805" i="94"/>
  <c r="FE805" i="94"/>
  <c r="EW805" i="94"/>
  <c r="EO805" i="94"/>
  <c r="EG805" i="94"/>
  <c r="CK805" i="94"/>
  <c r="BG805" i="94"/>
  <c r="AY805" i="94"/>
  <c r="AQ805" i="94"/>
  <c r="AI805" i="94"/>
  <c r="AA805" i="94"/>
  <c r="LX805" i="94"/>
  <c r="ID805" i="94"/>
  <c r="FT805" i="94"/>
  <c r="FL805" i="94"/>
  <c r="FD805" i="94"/>
  <c r="EV805" i="94"/>
  <c r="EN805" i="94"/>
  <c r="EF805" i="94"/>
  <c r="CC805" i="94"/>
  <c r="BF805" i="94"/>
  <c r="AX805" i="94"/>
  <c r="AP805" i="94"/>
  <c r="AH805" i="94"/>
  <c r="Z805" i="94"/>
  <c r="LW805" i="94"/>
  <c r="GF805" i="94"/>
  <c r="FS805" i="94"/>
  <c r="FK805" i="94"/>
  <c r="FC805" i="94"/>
  <c r="EU805" i="94"/>
  <c r="EM805" i="94"/>
  <c r="EE805" i="94"/>
  <c r="BU805" i="94"/>
  <c r="BE805" i="94"/>
  <c r="AW805" i="94"/>
  <c r="AO805" i="94"/>
  <c r="AG805" i="94"/>
  <c r="Y805" i="94"/>
  <c r="LV805" i="94"/>
  <c r="GE805" i="94"/>
  <c r="FR805" i="94"/>
  <c r="FJ805" i="94"/>
  <c r="FB805" i="94"/>
  <c r="ET805" i="94"/>
  <c r="EL805" i="94"/>
  <c r="ED805" i="94"/>
  <c r="BM805" i="94"/>
  <c r="BD805" i="94"/>
  <c r="AV805" i="94"/>
  <c r="AN805" i="94"/>
  <c r="AF805" i="94"/>
  <c r="X805" i="94"/>
  <c r="LU805" i="94"/>
  <c r="GD805" i="94"/>
  <c r="FQ805" i="94"/>
  <c r="FI805" i="94"/>
  <c r="FA805" i="94"/>
  <c r="ES805" i="94"/>
  <c r="EK805" i="94"/>
  <c r="DY805" i="94"/>
  <c r="BK805" i="94"/>
  <c r="BC805" i="94"/>
  <c r="AU805" i="94"/>
  <c r="AM805" i="94"/>
  <c r="AE805" i="94"/>
  <c r="FP805" i="94"/>
  <c r="EJ805" i="94"/>
  <c r="AT805" i="94"/>
  <c r="FO805" i="94"/>
  <c r="EI805" i="94"/>
  <c r="AS805" i="94"/>
  <c r="FH805" i="94"/>
  <c r="DQ805" i="94"/>
  <c r="AL805" i="94"/>
  <c r="FG805" i="94"/>
  <c r="DI805" i="94"/>
  <c r="AK805" i="94"/>
  <c r="LT805" i="94"/>
  <c r="EZ805" i="94"/>
  <c r="BJ805" i="94"/>
  <c r="AD805" i="94"/>
  <c r="LS805" i="94"/>
  <c r="EY805" i="94"/>
  <c r="BI805" i="94"/>
  <c r="AC805" i="94"/>
  <c r="GC805" i="94"/>
  <c r="GB805" i="94"/>
  <c r="ER805" i="94"/>
  <c r="EQ805" i="94"/>
  <c r="BB805" i="94"/>
  <c r="BA805" i="94"/>
  <c r="NA804" i="94"/>
  <c r="MI804" i="94"/>
  <c r="MA804" i="94"/>
  <c r="LS804" i="94"/>
  <c r="LK804" i="94"/>
  <c r="LC804" i="94"/>
  <c r="KU804" i="94"/>
  <c r="KM804" i="94"/>
  <c r="KE804" i="94"/>
  <c r="JW804" i="94"/>
  <c r="JO804" i="94"/>
  <c r="JG804" i="94"/>
  <c r="MZ804" i="94"/>
  <c r="MH804" i="94"/>
  <c r="LZ804" i="94"/>
  <c r="LR804" i="94"/>
  <c r="LJ804" i="94"/>
  <c r="LB804" i="94"/>
  <c r="KT804" i="94"/>
  <c r="KL804" i="94"/>
  <c r="KD804" i="94"/>
  <c r="JV804" i="94"/>
  <c r="MO804" i="94"/>
  <c r="MG804" i="94"/>
  <c r="LY804" i="94"/>
  <c r="LQ804" i="94"/>
  <c r="LI804" i="94"/>
  <c r="LA804" i="94"/>
  <c r="KS804" i="94"/>
  <c r="KK804" i="94"/>
  <c r="KC804" i="94"/>
  <c r="JU804" i="94"/>
  <c r="JM804" i="94"/>
  <c r="JE804" i="94"/>
  <c r="IW804" i="94"/>
  <c r="IO804" i="94"/>
  <c r="IG804" i="94"/>
  <c r="HY804" i="94"/>
  <c r="HQ804" i="94"/>
  <c r="HI804" i="94"/>
  <c r="HA804" i="94"/>
  <c r="MN804" i="94"/>
  <c r="MF804" i="94"/>
  <c r="LX804" i="94"/>
  <c r="LP804" i="94"/>
  <c r="LH804" i="94"/>
  <c r="KZ804" i="94"/>
  <c r="KR804" i="94"/>
  <c r="KJ804" i="94"/>
  <c r="KB804" i="94"/>
  <c r="JT804" i="94"/>
  <c r="JL804" i="94"/>
  <c r="JD804" i="94"/>
  <c r="IV804" i="94"/>
  <c r="IN804" i="94"/>
  <c r="IF804" i="94"/>
  <c r="HX804" i="94"/>
  <c r="MM804" i="94"/>
  <c r="ME804" i="94"/>
  <c r="LW804" i="94"/>
  <c r="LO804" i="94"/>
  <c r="LG804" i="94"/>
  <c r="KY804" i="94"/>
  <c r="KQ804" i="94"/>
  <c r="KI804" i="94"/>
  <c r="KA804" i="94"/>
  <c r="JS804" i="94"/>
  <c r="JK804" i="94"/>
  <c r="JC804" i="94"/>
  <c r="IU804" i="94"/>
  <c r="IM804" i="94"/>
  <c r="ND804" i="94"/>
  <c r="ML804" i="94"/>
  <c r="MD804" i="94"/>
  <c r="LV804" i="94"/>
  <c r="LN804" i="94"/>
  <c r="LF804" i="94"/>
  <c r="KX804" i="94"/>
  <c r="KP804" i="94"/>
  <c r="KH804" i="94"/>
  <c r="JZ804" i="94"/>
  <c r="JR804" i="94"/>
  <c r="JJ804" i="94"/>
  <c r="JB804" i="94"/>
  <c r="IT804" i="94"/>
  <c r="IL804" i="94"/>
  <c r="ID804" i="94"/>
  <c r="HV804" i="94"/>
  <c r="HN804" i="94"/>
  <c r="HF804" i="94"/>
  <c r="GX804" i="94"/>
  <c r="MK804" i="94"/>
  <c r="LE804" i="94"/>
  <c r="JY804" i="94"/>
  <c r="JA804" i="94"/>
  <c r="IK804" i="94"/>
  <c r="HZ804" i="94"/>
  <c r="HM804" i="94"/>
  <c r="HC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J804" i="94"/>
  <c r="LD804" i="94"/>
  <c r="JX804" i="94"/>
  <c r="IZ804" i="94"/>
  <c r="IJ804" i="94"/>
  <c r="HW804" i="94"/>
  <c r="HL804" i="94"/>
  <c r="HB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C804" i="94"/>
  <c r="KW804" i="94"/>
  <c r="JQ804" i="94"/>
  <c r="IY804" i="94"/>
  <c r="II804" i="94"/>
  <c r="HU804" i="94"/>
  <c r="HK804" i="94"/>
  <c r="GZ804" i="94"/>
  <c r="GQ804" i="94"/>
  <c r="GI804" i="94"/>
  <c r="GA804" i="94"/>
  <c r="FS804" i="94"/>
  <c r="FK804" i="94"/>
  <c r="FC804" i="94"/>
  <c r="EU804" i="94"/>
  <c r="EM804" i="94"/>
  <c r="EE804" i="94"/>
  <c r="DW804" i="94"/>
  <c r="DO804" i="94"/>
  <c r="DG804" i="94"/>
  <c r="CY804" i="94"/>
  <c r="CQ804" i="94"/>
  <c r="CI804" i="94"/>
  <c r="CA804" i="94"/>
  <c r="BS804" i="94"/>
  <c r="BK804" i="94"/>
  <c r="BC804" i="94"/>
  <c r="AU804" i="94"/>
  <c r="AM804" i="94"/>
  <c r="AE804" i="94"/>
  <c r="MB804" i="94"/>
  <c r="KV804" i="94"/>
  <c r="JP804" i="94"/>
  <c r="IX804" i="94"/>
  <c r="IH804" i="94"/>
  <c r="HT804" i="94"/>
  <c r="HJ804" i="94"/>
  <c r="GY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LU804" i="94"/>
  <c r="KO804" i="94"/>
  <c r="JN804" i="94"/>
  <c r="IS804" i="94"/>
  <c r="IE804" i="94"/>
  <c r="HS804" i="94"/>
  <c r="HH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LT804" i="94"/>
  <c r="KN804" i="94"/>
  <c r="JI804" i="94"/>
  <c r="IR804" i="94"/>
  <c r="IC804" i="94"/>
  <c r="HR804" i="94"/>
  <c r="HG804" i="94"/>
  <c r="GV804" i="94"/>
  <c r="GN804" i="94"/>
  <c r="GF804" i="94"/>
  <c r="FX804" i="94"/>
  <c r="FP804" i="94"/>
  <c r="FH804" i="94"/>
  <c r="EZ804" i="94"/>
  <c r="ER804" i="94"/>
  <c r="EJ804" i="94"/>
  <c r="EB804" i="94"/>
  <c r="DT804" i="94"/>
  <c r="DL804" i="94"/>
  <c r="DD804" i="94"/>
  <c r="CV804" i="94"/>
  <c r="CN804" i="94"/>
  <c r="CF804" i="94"/>
  <c r="BX804" i="94"/>
  <c r="BP804" i="94"/>
  <c r="BH804" i="94"/>
  <c r="AZ804" i="94"/>
  <c r="AR804" i="94"/>
  <c r="AJ804" i="94"/>
  <c r="AB804" i="94"/>
  <c r="LM804" i="94"/>
  <c r="IB804" i="94"/>
  <c r="GM804" i="94"/>
  <c r="FG804" i="94"/>
  <c r="EA804" i="94"/>
  <c r="CU804" i="94"/>
  <c r="BO804" i="94"/>
  <c r="AI804" i="94"/>
  <c r="LL804" i="94"/>
  <c r="IA804" i="94"/>
  <c r="GL804" i="94"/>
  <c r="FF804" i="94"/>
  <c r="DZ804" i="94"/>
  <c r="CT804" i="94"/>
  <c r="BN804" i="94"/>
  <c r="AH804" i="94"/>
  <c r="KG804" i="94"/>
  <c r="HP804" i="94"/>
  <c r="GE804" i="94"/>
  <c r="EY804" i="94"/>
  <c r="DS804" i="94"/>
  <c r="CM804" i="94"/>
  <c r="BG804" i="94"/>
  <c r="AA804" i="94"/>
  <c r="KF804" i="94"/>
  <c r="HO804" i="94"/>
  <c r="GD804" i="94"/>
  <c r="EX804" i="94"/>
  <c r="DR804" i="94"/>
  <c r="CL804" i="94"/>
  <c r="BF804" i="94"/>
  <c r="Z804" i="94"/>
  <c r="JH804" i="94"/>
  <c r="HE804" i="94"/>
  <c r="FW804" i="94"/>
  <c r="EQ804" i="94"/>
  <c r="DK804" i="94"/>
  <c r="CE804" i="94"/>
  <c r="AY804" i="94"/>
  <c r="GT804" i="94"/>
  <c r="DC804" i="94"/>
  <c r="NC804" i="94"/>
  <c r="FV804" i="94"/>
  <c r="DB804" i="94"/>
  <c r="NB804" i="94"/>
  <c r="FO804" i="94"/>
  <c r="CD804" i="94"/>
  <c r="JF804" i="94"/>
  <c r="FN804" i="94"/>
  <c r="BW804" i="94"/>
  <c r="IQ804" i="94"/>
  <c r="EP804" i="94"/>
  <c r="BV804" i="94"/>
  <c r="AX804" i="94"/>
  <c r="AQ804" i="94"/>
  <c r="IP804" i="94"/>
  <c r="AP804" i="94"/>
  <c r="HD804" i="94"/>
  <c r="EI804" i="94"/>
  <c r="LT803" i="94"/>
  <c r="GC803" i="94"/>
  <c r="FQ803" i="94"/>
  <c r="FI803" i="94"/>
  <c r="FA803" i="94"/>
  <c r="ES803" i="94"/>
  <c r="EK803" i="94"/>
  <c r="DV803" i="94"/>
  <c r="BK803" i="94"/>
  <c r="BC803" i="94"/>
  <c r="AU803" i="94"/>
  <c r="AM803" i="94"/>
  <c r="AE803" i="94"/>
  <c r="LS803" i="94"/>
  <c r="GB803" i="94"/>
  <c r="FP803" i="94"/>
  <c r="FH803" i="94"/>
  <c r="EZ803" i="94"/>
  <c r="ER803" i="94"/>
  <c r="EJ803" i="94"/>
  <c r="DN803" i="94"/>
  <c r="BJ803" i="94"/>
  <c r="BB803" i="94"/>
  <c r="AT803" i="94"/>
  <c r="AL803" i="94"/>
  <c r="AD803" i="94"/>
  <c r="LZ803" i="94"/>
  <c r="LR803" i="94"/>
  <c r="FZ803" i="94"/>
  <c r="FO803" i="94"/>
  <c r="FG803" i="94"/>
  <c r="EY803" i="94"/>
  <c r="EQ803" i="94"/>
  <c r="EI803" i="94"/>
  <c r="DF803" i="94"/>
  <c r="BI803" i="94"/>
  <c r="BA803" i="94"/>
  <c r="AS803" i="94"/>
  <c r="AK803" i="94"/>
  <c r="AC803" i="94"/>
  <c r="LY803" i="94"/>
  <c r="LQ803" i="94"/>
  <c r="FV803" i="94"/>
  <c r="FN803" i="94"/>
  <c r="FF803" i="94"/>
  <c r="EX803" i="94"/>
  <c r="EP803" i="94"/>
  <c r="EH803" i="94"/>
  <c r="CX803" i="94"/>
  <c r="BH803" i="94"/>
  <c r="AZ803" i="94"/>
  <c r="AR803" i="94"/>
  <c r="AJ803" i="94"/>
  <c r="AB803" i="94"/>
  <c r="LX803" i="94"/>
  <c r="IB803" i="94"/>
  <c r="FU803" i="94"/>
  <c r="FM803" i="94"/>
  <c r="FE803" i="94"/>
  <c r="EW803" i="94"/>
  <c r="EO803" i="94"/>
  <c r="EG803" i="94"/>
  <c r="CP803" i="94"/>
  <c r="BG803" i="94"/>
  <c r="AY803" i="94"/>
  <c r="AQ803" i="94"/>
  <c r="AI803" i="94"/>
  <c r="AA803" i="94"/>
  <c r="LW803" i="94"/>
  <c r="GF803" i="94"/>
  <c r="FT803" i="94"/>
  <c r="FL803" i="94"/>
  <c r="FD803" i="94"/>
  <c r="EV803" i="94"/>
  <c r="EN803" i="94"/>
  <c r="EF803" i="94"/>
  <c r="CH803" i="94"/>
  <c r="BF803" i="94"/>
  <c r="AX803" i="94"/>
  <c r="AP803" i="94"/>
  <c r="AH803" i="94"/>
  <c r="Z803" i="94"/>
  <c r="FS803" i="94"/>
  <c r="EM803" i="94"/>
  <c r="AW803" i="94"/>
  <c r="FR803" i="94"/>
  <c r="EL803" i="94"/>
  <c r="AV803" i="94"/>
  <c r="FK803" i="94"/>
  <c r="EE803" i="94"/>
  <c r="AO803" i="94"/>
  <c r="FJ803" i="94"/>
  <c r="ED803" i="94"/>
  <c r="AN803" i="94"/>
  <c r="LV803" i="94"/>
  <c r="FC803" i="94"/>
  <c r="BZ803" i="94"/>
  <c r="AG803" i="94"/>
  <c r="LU803" i="94"/>
  <c r="BD803" i="94"/>
  <c r="GE803" i="94"/>
  <c r="AF803" i="94"/>
  <c r="GD803" i="94"/>
  <c r="Y803" i="94"/>
  <c r="FB803" i="94"/>
  <c r="X803" i="94"/>
  <c r="EU803" i="94"/>
  <c r="ET803" i="94"/>
  <c r="BE803" i="94"/>
  <c r="ND802" i="94"/>
  <c r="ML802" i="94"/>
  <c r="MD802" i="94"/>
  <c r="LV802" i="94"/>
  <c r="LN802" i="94"/>
  <c r="LF802" i="94"/>
  <c r="KX802" i="94"/>
  <c r="KP802" i="94"/>
  <c r="KH802" i="94"/>
  <c r="JZ802" i="94"/>
  <c r="JR802" i="94"/>
  <c r="JJ802" i="94"/>
  <c r="JB802" i="94"/>
  <c r="IT802" i="94"/>
  <c r="IL802" i="94"/>
  <c r="ID802" i="94"/>
  <c r="HV802" i="94"/>
  <c r="HN802" i="94"/>
  <c r="HF802" i="94"/>
  <c r="GX802" i="94"/>
  <c r="GP802" i="94"/>
  <c r="GH802" i="94"/>
  <c r="FZ802" i="94"/>
  <c r="FR802" i="94"/>
  <c r="NC802" i="94"/>
  <c r="MK802" i="94"/>
  <c r="MC802" i="94"/>
  <c r="LU802" i="94"/>
  <c r="LM802" i="94"/>
  <c r="LE802" i="94"/>
  <c r="KW802" i="94"/>
  <c r="KO802" i="94"/>
  <c r="KG802" i="94"/>
  <c r="NB802" i="94"/>
  <c r="MJ802" i="94"/>
  <c r="MB802" i="94"/>
  <c r="LT802" i="94"/>
  <c r="LL802" i="94"/>
  <c r="LD802" i="94"/>
  <c r="KV802" i="94"/>
  <c r="KN802" i="94"/>
  <c r="KF802" i="94"/>
  <c r="JX802" i="94"/>
  <c r="JP802" i="94"/>
  <c r="JH802" i="94"/>
  <c r="IZ802" i="94"/>
  <c r="IR802" i="94"/>
  <c r="IJ802" i="94"/>
  <c r="IB802" i="94"/>
  <c r="HT802" i="94"/>
  <c r="HL802" i="94"/>
  <c r="HD802" i="94"/>
  <c r="GV802" i="94"/>
  <c r="GN802" i="94"/>
  <c r="GF802" i="94"/>
  <c r="FX802" i="94"/>
  <c r="FP802" i="94"/>
  <c r="FH802" i="94"/>
  <c r="NA802" i="94"/>
  <c r="MI802" i="94"/>
  <c r="MA802" i="94"/>
  <c r="LS802" i="94"/>
  <c r="LK802" i="94"/>
  <c r="LC802" i="94"/>
  <c r="KU802" i="94"/>
  <c r="KM802" i="94"/>
  <c r="KE802" i="94"/>
  <c r="JW802" i="94"/>
  <c r="JO802" i="94"/>
  <c r="JG802" i="94"/>
  <c r="IY802" i="94"/>
  <c r="IQ802" i="94"/>
  <c r="II802" i="94"/>
  <c r="IA802" i="94"/>
  <c r="HS802" i="94"/>
  <c r="HK802" i="94"/>
  <c r="HC802" i="94"/>
  <c r="GU802" i="94"/>
  <c r="GM802" i="94"/>
  <c r="GE802" i="94"/>
  <c r="MZ802" i="94"/>
  <c r="MH802" i="94"/>
  <c r="LZ802" i="94"/>
  <c r="LR802" i="94"/>
  <c r="LJ802" i="94"/>
  <c r="LB802" i="94"/>
  <c r="KT802" i="94"/>
  <c r="KL802" i="94"/>
  <c r="KD802" i="94"/>
  <c r="JV802" i="94"/>
  <c r="JN802" i="94"/>
  <c r="JF802" i="94"/>
  <c r="IX802" i="94"/>
  <c r="IP802" i="94"/>
  <c r="IH802" i="94"/>
  <c r="HZ802" i="94"/>
  <c r="HR802" i="94"/>
  <c r="HJ802" i="94"/>
  <c r="HB802" i="94"/>
  <c r="GT802" i="94"/>
  <c r="GL802" i="94"/>
  <c r="MO802" i="94"/>
  <c r="MG802" i="94"/>
  <c r="LY802" i="94"/>
  <c r="LQ802" i="94"/>
  <c r="LI802" i="94"/>
  <c r="LA802" i="94"/>
  <c r="KS802" i="94"/>
  <c r="KK802" i="94"/>
  <c r="KC802" i="94"/>
  <c r="JU802" i="94"/>
  <c r="JM802" i="94"/>
  <c r="JE802" i="94"/>
  <c r="IW802" i="94"/>
  <c r="IO802" i="94"/>
  <c r="IG802" i="94"/>
  <c r="HY802" i="94"/>
  <c r="HQ802" i="94"/>
  <c r="HI802" i="94"/>
  <c r="HA802" i="94"/>
  <c r="GS802" i="94"/>
  <c r="GK802" i="94"/>
  <c r="MN802" i="94"/>
  <c r="LH802" i="94"/>
  <c r="KB802" i="94"/>
  <c r="JI802" i="94"/>
  <c r="IM802" i="94"/>
  <c r="HP802" i="94"/>
  <c r="GW802" i="94"/>
  <c r="GC802" i="94"/>
  <c r="FS802" i="94"/>
  <c r="FI802" i="94"/>
  <c r="EZ802" i="94"/>
  <c r="ER802" i="94"/>
  <c r="EJ802" i="94"/>
  <c r="EB802" i="94"/>
  <c r="DT802" i="94"/>
  <c r="DL802" i="94"/>
  <c r="DD802" i="94"/>
  <c r="CV802" i="94"/>
  <c r="CN802" i="94"/>
  <c r="CF802" i="94"/>
  <c r="BX802" i="94"/>
  <c r="BP802" i="94"/>
  <c r="BH802" i="94"/>
  <c r="AZ802" i="94"/>
  <c r="AR802" i="94"/>
  <c r="AJ802" i="94"/>
  <c r="AB802" i="94"/>
  <c r="MM802" i="94"/>
  <c r="LG802" i="94"/>
  <c r="KA802" i="94"/>
  <c r="JD802" i="94"/>
  <c r="IK802" i="94"/>
  <c r="HO802" i="94"/>
  <c r="GR802" i="94"/>
  <c r="GB802" i="94"/>
  <c r="FQ802" i="94"/>
  <c r="FG802" i="94"/>
  <c r="EY802" i="94"/>
  <c r="EQ802" i="94"/>
  <c r="EI802" i="94"/>
  <c r="EA802" i="94"/>
  <c r="DS802" i="94"/>
  <c r="DK802" i="94"/>
  <c r="DC802" i="94"/>
  <c r="CU802" i="94"/>
  <c r="CM802" i="94"/>
  <c r="CE802" i="94"/>
  <c r="BW802" i="94"/>
  <c r="BO802" i="94"/>
  <c r="BG802" i="94"/>
  <c r="AY802" i="94"/>
  <c r="AQ802" i="94"/>
  <c r="AI802" i="94"/>
  <c r="AA802" i="94"/>
  <c r="MF802" i="94"/>
  <c r="KZ802" i="94"/>
  <c r="JY802" i="94"/>
  <c r="JC802" i="94"/>
  <c r="IF802" i="94"/>
  <c r="HM802" i="94"/>
  <c r="GQ802" i="94"/>
  <c r="GA802" i="94"/>
  <c r="FO802" i="94"/>
  <c r="FF802" i="94"/>
  <c r="EX802" i="94"/>
  <c r="EP802" i="94"/>
  <c r="EH802" i="94"/>
  <c r="DZ802" i="94"/>
  <c r="DR802" i="94"/>
  <c r="DJ802" i="94"/>
  <c r="DB802" i="94"/>
  <c r="CT802" i="94"/>
  <c r="CL802" i="94"/>
  <c r="CD802" i="94"/>
  <c r="BV802" i="94"/>
  <c r="BN802" i="94"/>
  <c r="BF802" i="94"/>
  <c r="AX802" i="94"/>
  <c r="AP802" i="94"/>
  <c r="AH802" i="94"/>
  <c r="Z802" i="94"/>
  <c r="ME802" i="94"/>
  <c r="KY802" i="94"/>
  <c r="JT802" i="94"/>
  <c r="JA802" i="94"/>
  <c r="IE802" i="94"/>
  <c r="HH802" i="94"/>
  <c r="GO802" i="94"/>
  <c r="FY802" i="94"/>
  <c r="FN802" i="94"/>
  <c r="FE802" i="94"/>
  <c r="EW802" i="94"/>
  <c r="EO802" i="94"/>
  <c r="EG802" i="94"/>
  <c r="DY802" i="94"/>
  <c r="DQ802" i="94"/>
  <c r="DI802" i="94"/>
  <c r="DA802" i="94"/>
  <c r="CS802" i="94"/>
  <c r="CK802" i="94"/>
  <c r="CC802" i="94"/>
  <c r="BU802" i="94"/>
  <c r="BM802" i="94"/>
  <c r="BE802" i="94"/>
  <c r="AW802" i="94"/>
  <c r="AO802" i="94"/>
  <c r="AG802" i="94"/>
  <c r="Y802" i="94"/>
  <c r="LX802" i="94"/>
  <c r="KR802" i="94"/>
  <c r="JS802" i="94"/>
  <c r="IV802" i="94"/>
  <c r="IC802" i="94"/>
  <c r="HG802" i="94"/>
  <c r="GJ802" i="94"/>
  <c r="FW802" i="94"/>
  <c r="FM802" i="94"/>
  <c r="FD802" i="94"/>
  <c r="EV802" i="94"/>
  <c r="EN802" i="94"/>
  <c r="EF802" i="94"/>
  <c r="DX802" i="94"/>
  <c r="DP802" i="94"/>
  <c r="DH802" i="94"/>
  <c r="CZ802" i="94"/>
  <c r="CR802" i="94"/>
  <c r="CJ802" i="94"/>
  <c r="CB802" i="94"/>
  <c r="BT802" i="94"/>
  <c r="BL802" i="94"/>
  <c r="BD802" i="94"/>
  <c r="AV802" i="94"/>
  <c r="AN802" i="94"/>
  <c r="AF802" i="94"/>
  <c r="X802" i="94"/>
  <c r="KJ802" i="94"/>
  <c r="HX802" i="94"/>
  <c r="GD802" i="94"/>
  <c r="FB802" i="94"/>
  <c r="EE802" i="94"/>
  <c r="DM802" i="94"/>
  <c r="CP802" i="94"/>
  <c r="BS802" i="94"/>
  <c r="BA802" i="94"/>
  <c r="AD802" i="94"/>
  <c r="KI802" i="94"/>
  <c r="HW802" i="94"/>
  <c r="FV802" i="94"/>
  <c r="FA802" i="94"/>
  <c r="ED802" i="94"/>
  <c r="DG802" i="94"/>
  <c r="CO802" i="94"/>
  <c r="BR802" i="94"/>
  <c r="AU802" i="94"/>
  <c r="AC802" i="94"/>
  <c r="JQ802" i="94"/>
  <c r="HU802" i="94"/>
  <c r="FU802" i="94"/>
  <c r="EU802" i="94"/>
  <c r="EC802" i="94"/>
  <c r="DF802" i="94"/>
  <c r="CI802" i="94"/>
  <c r="BQ802" i="94"/>
  <c r="AT802" i="94"/>
  <c r="JL802" i="94"/>
  <c r="HE802" i="94"/>
  <c r="FT802" i="94"/>
  <c r="ET802" i="94"/>
  <c r="DW802" i="94"/>
  <c r="DE802" i="94"/>
  <c r="CH802" i="94"/>
  <c r="BK802" i="94"/>
  <c r="AS802" i="94"/>
  <c r="LW802" i="94"/>
  <c r="JK802" i="94"/>
  <c r="GZ802" i="94"/>
  <c r="FL802" i="94"/>
  <c r="ES802" i="94"/>
  <c r="DV802" i="94"/>
  <c r="CY802" i="94"/>
  <c r="CG802" i="94"/>
  <c r="BJ802" i="94"/>
  <c r="AM802" i="94"/>
  <c r="KQ802" i="94"/>
  <c r="FJ802" i="94"/>
  <c r="CX802" i="94"/>
  <c r="BB802" i="94"/>
  <c r="IU802" i="94"/>
  <c r="FC802" i="94"/>
  <c r="CW802" i="94"/>
  <c r="AL802" i="94"/>
  <c r="IS802" i="94"/>
  <c r="EM802" i="94"/>
  <c r="CQ802" i="94"/>
  <c r="AK802" i="94"/>
  <c r="IN802" i="94"/>
  <c r="EL802" i="94"/>
  <c r="CA802" i="94"/>
  <c r="AE802" i="94"/>
  <c r="GI802" i="94"/>
  <c r="DU802" i="94"/>
  <c r="BY802" i="94"/>
  <c r="LW801" i="94"/>
  <c r="GF801" i="94"/>
  <c r="FX801" i="94"/>
  <c r="FP801" i="94"/>
  <c r="FH801" i="94"/>
  <c r="EZ801" i="94"/>
  <c r="ER801" i="94"/>
  <c r="EJ801" i="94"/>
  <c r="EB801" i="94"/>
  <c r="DT801" i="94"/>
  <c r="DL801" i="94"/>
  <c r="DD801" i="94"/>
  <c r="CV801" i="94"/>
  <c r="CN801" i="94"/>
  <c r="CF801" i="94"/>
  <c r="BX801" i="94"/>
  <c r="BP801" i="94"/>
  <c r="BH801" i="94"/>
  <c r="AZ801" i="94"/>
  <c r="AR801" i="94"/>
  <c r="AJ801" i="94"/>
  <c r="AB801" i="94"/>
  <c r="LV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U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T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LS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GA801" i="94"/>
  <c r="FI801" i="94"/>
  <c r="EL801" i="94"/>
  <c r="DO801" i="94"/>
  <c r="CW801" i="94"/>
  <c r="BZ801" i="94"/>
  <c r="BC801" i="94"/>
  <c r="AK801" i="94"/>
  <c r="FZ801" i="94"/>
  <c r="FC801" i="94"/>
  <c r="EK801" i="94"/>
  <c r="DN801" i="94"/>
  <c r="CQ801" i="94"/>
  <c r="BY801" i="94"/>
  <c r="BB801" i="94"/>
  <c r="AE801" i="94"/>
  <c r="LZ801" i="94"/>
  <c r="FY801" i="94"/>
  <c r="FB801" i="94"/>
  <c r="EE801" i="94"/>
  <c r="DM801" i="94"/>
  <c r="CP801" i="94"/>
  <c r="BS801" i="94"/>
  <c r="BA801" i="94"/>
  <c r="AD801" i="94"/>
  <c r="LY801" i="94"/>
  <c r="FS801" i="94"/>
  <c r="FA801" i="94"/>
  <c r="ED801" i="94"/>
  <c r="DG801" i="94"/>
  <c r="CO801" i="94"/>
  <c r="BR801" i="94"/>
  <c r="AU801" i="94"/>
  <c r="AC801" i="94"/>
  <c r="LX801" i="94"/>
  <c r="FR801" i="94"/>
  <c r="EU801" i="94"/>
  <c r="EC801" i="94"/>
  <c r="DF801" i="94"/>
  <c r="CI801" i="94"/>
  <c r="BQ801" i="94"/>
  <c r="AT801" i="94"/>
  <c r="FK801" i="94"/>
  <c r="DE801" i="94"/>
  <c r="BI801" i="94"/>
  <c r="FJ801" i="94"/>
  <c r="CY801" i="94"/>
  <c r="AS801" i="94"/>
  <c r="ET801" i="94"/>
  <c r="CX801" i="94"/>
  <c r="AM801" i="94"/>
  <c r="ES801" i="94"/>
  <c r="CH801" i="94"/>
  <c r="AL801" i="94"/>
  <c r="LQ801" i="94"/>
  <c r="DW801" i="94"/>
  <c r="CA801" i="94"/>
  <c r="NA800" i="94"/>
  <c r="MI800" i="94"/>
  <c r="MA800" i="94"/>
  <c r="MZ800" i="94"/>
  <c r="MH800" i="94"/>
  <c r="LZ800" i="94"/>
  <c r="LR800" i="94"/>
  <c r="LJ800" i="94"/>
  <c r="LB800" i="94"/>
  <c r="KT800" i="94"/>
  <c r="KL800" i="94"/>
  <c r="KD800" i="94"/>
  <c r="JV800" i="94"/>
  <c r="JN800" i="94"/>
  <c r="JF800" i="94"/>
  <c r="IX800" i="94"/>
  <c r="IP800" i="94"/>
  <c r="IH800" i="94"/>
  <c r="HZ800" i="94"/>
  <c r="HR800" i="94"/>
  <c r="HJ800" i="94"/>
  <c r="HB800" i="94"/>
  <c r="GT800" i="94"/>
  <c r="GL800" i="94"/>
  <c r="GD800" i="94"/>
  <c r="FV800" i="94"/>
  <c r="FN800" i="94"/>
  <c r="FF800" i="94"/>
  <c r="MO800" i="94"/>
  <c r="MG800" i="94"/>
  <c r="LY800" i="94"/>
  <c r="LQ800" i="94"/>
  <c r="LI800" i="94"/>
  <c r="LA800" i="94"/>
  <c r="KS800" i="94"/>
  <c r="KK800" i="94"/>
  <c r="KC800" i="94"/>
  <c r="JU800" i="94"/>
  <c r="JM800" i="94"/>
  <c r="JE800" i="94"/>
  <c r="IW800" i="94"/>
  <c r="IO800" i="94"/>
  <c r="IG800" i="94"/>
  <c r="HY800" i="94"/>
  <c r="HQ800" i="94"/>
  <c r="MN800" i="94"/>
  <c r="MF800" i="94"/>
  <c r="LX800" i="94"/>
  <c r="LP800" i="94"/>
  <c r="LH800" i="94"/>
  <c r="KZ800" i="94"/>
  <c r="KR800" i="94"/>
  <c r="KJ800" i="94"/>
  <c r="KB800" i="94"/>
  <c r="JT800" i="94"/>
  <c r="JL800" i="94"/>
  <c r="JD800" i="94"/>
  <c r="IV800" i="94"/>
  <c r="IN800" i="94"/>
  <c r="IF800" i="94"/>
  <c r="HX800" i="94"/>
  <c r="HP800" i="94"/>
  <c r="HH800" i="94"/>
  <c r="GZ800" i="94"/>
  <c r="GR800" i="94"/>
  <c r="GJ800" i="94"/>
  <c r="GB800" i="94"/>
  <c r="FT800" i="94"/>
  <c r="FL800" i="94"/>
  <c r="MM800" i="94"/>
  <c r="ME800" i="94"/>
  <c r="LW800" i="94"/>
  <c r="LO800" i="94"/>
  <c r="LG800" i="94"/>
  <c r="KY800" i="94"/>
  <c r="KQ800" i="94"/>
  <c r="KI800" i="94"/>
  <c r="KA800" i="94"/>
  <c r="JS800" i="94"/>
  <c r="JK800" i="94"/>
  <c r="JC800" i="94"/>
  <c r="IU800" i="94"/>
  <c r="IM800" i="94"/>
  <c r="IE800" i="94"/>
  <c r="HW800" i="94"/>
  <c r="HO800" i="94"/>
  <c r="HG800" i="94"/>
  <c r="GY800" i="94"/>
  <c r="GQ800" i="94"/>
  <c r="MK800" i="94"/>
  <c r="LS800" i="94"/>
  <c r="LC800" i="94"/>
  <c r="KM800" i="94"/>
  <c r="JW800" i="94"/>
  <c r="JG800" i="94"/>
  <c r="IQ800" i="94"/>
  <c r="IA800" i="94"/>
  <c r="HK800" i="94"/>
  <c r="GW800" i="94"/>
  <c r="GK800" i="94"/>
  <c r="FZ800" i="94"/>
  <c r="FP800" i="94"/>
  <c r="FE800" i="94"/>
  <c r="EW800" i="94"/>
  <c r="EO800" i="94"/>
  <c r="EG800" i="94"/>
  <c r="DY800" i="94"/>
  <c r="DQ800" i="94"/>
  <c r="DI800" i="94"/>
  <c r="DA800" i="94"/>
  <c r="CS800" i="94"/>
  <c r="CK800" i="94"/>
  <c r="CC800" i="94"/>
  <c r="BU800" i="94"/>
  <c r="BM800" i="94"/>
  <c r="BE800" i="94"/>
  <c r="AW800" i="94"/>
  <c r="AO800" i="94"/>
  <c r="AG800" i="94"/>
  <c r="Y800" i="94"/>
  <c r="MJ800" i="94"/>
  <c r="LN800" i="94"/>
  <c r="KX800" i="94"/>
  <c r="KH800" i="94"/>
  <c r="JR800" i="94"/>
  <c r="JB800" i="94"/>
  <c r="IL800" i="94"/>
  <c r="HV800" i="94"/>
  <c r="HI800" i="94"/>
  <c r="GV800" i="94"/>
  <c r="GI800" i="94"/>
  <c r="FY800" i="94"/>
  <c r="FO800" i="94"/>
  <c r="FD800" i="94"/>
  <c r="EV800" i="94"/>
  <c r="EN800" i="94"/>
  <c r="EF800" i="94"/>
  <c r="DX800" i="94"/>
  <c r="DP800" i="94"/>
  <c r="DH800" i="94"/>
  <c r="CZ800" i="94"/>
  <c r="CR800" i="94"/>
  <c r="CJ800" i="94"/>
  <c r="CB800" i="94"/>
  <c r="BT800" i="94"/>
  <c r="BL800" i="94"/>
  <c r="BD800" i="94"/>
  <c r="AV800" i="94"/>
  <c r="AN800" i="94"/>
  <c r="AF800" i="94"/>
  <c r="X800" i="94"/>
  <c r="MD800" i="94"/>
  <c r="LM800" i="94"/>
  <c r="KW800" i="94"/>
  <c r="KG800" i="94"/>
  <c r="JQ800" i="94"/>
  <c r="JA800" i="94"/>
  <c r="IK800" i="94"/>
  <c r="HU800" i="94"/>
  <c r="HF800" i="94"/>
  <c r="GU800" i="94"/>
  <c r="GH800" i="94"/>
  <c r="FX800" i="94"/>
  <c r="FM800" i="94"/>
  <c r="FC800" i="94"/>
  <c r="EU800" i="94"/>
  <c r="EM800" i="94"/>
  <c r="EE800" i="94"/>
  <c r="DW800" i="94"/>
  <c r="DO800" i="94"/>
  <c r="DG800" i="94"/>
  <c r="CY800" i="94"/>
  <c r="CQ800" i="94"/>
  <c r="CI800" i="94"/>
  <c r="CA800" i="94"/>
  <c r="BS800" i="94"/>
  <c r="BK800" i="94"/>
  <c r="BC800" i="94"/>
  <c r="AU800" i="94"/>
  <c r="AM800" i="94"/>
  <c r="AE800" i="94"/>
  <c r="MC800" i="94"/>
  <c r="LL800" i="94"/>
  <c r="KV800" i="94"/>
  <c r="KF800" i="94"/>
  <c r="JP800" i="94"/>
  <c r="IZ800" i="94"/>
  <c r="IJ800" i="94"/>
  <c r="HT800" i="94"/>
  <c r="HE800" i="94"/>
  <c r="GS800" i="94"/>
  <c r="GG800" i="94"/>
  <c r="FW800" i="94"/>
  <c r="FK800" i="94"/>
  <c r="FB800" i="94"/>
  <c r="ET800" i="94"/>
  <c r="EL800" i="94"/>
  <c r="ED800" i="94"/>
  <c r="DV800" i="94"/>
  <c r="DN800" i="94"/>
  <c r="DF800" i="94"/>
  <c r="CX800" i="94"/>
  <c r="CP800" i="94"/>
  <c r="CH800" i="94"/>
  <c r="BZ800" i="94"/>
  <c r="BR800" i="94"/>
  <c r="BJ800" i="94"/>
  <c r="BB800" i="94"/>
  <c r="AT800" i="94"/>
  <c r="AL800" i="94"/>
  <c r="AD800" i="94"/>
  <c r="ND800" i="94"/>
  <c r="MB800" i="94"/>
  <c r="LK800" i="94"/>
  <c r="KU800" i="94"/>
  <c r="KE800" i="94"/>
  <c r="JO800" i="94"/>
  <c r="IY800" i="94"/>
  <c r="II800" i="94"/>
  <c r="HS800" i="94"/>
  <c r="HD800" i="94"/>
  <c r="GP800" i="94"/>
  <c r="GF800" i="94"/>
  <c r="FU800" i="94"/>
  <c r="FJ800" i="94"/>
  <c r="FA800" i="94"/>
  <c r="ES800" i="94"/>
  <c r="EK800" i="94"/>
  <c r="EC800" i="94"/>
  <c r="DU800" i="94"/>
  <c r="DM800" i="94"/>
  <c r="DE800" i="94"/>
  <c r="CW800" i="94"/>
  <c r="CO800" i="94"/>
  <c r="CG800" i="94"/>
  <c r="BY800" i="94"/>
  <c r="BQ800" i="94"/>
  <c r="BI800" i="94"/>
  <c r="BA800" i="94"/>
  <c r="AS800" i="94"/>
  <c r="AK800" i="94"/>
  <c r="AC800" i="94"/>
  <c r="LU800" i="94"/>
  <c r="JZ800" i="94"/>
  <c r="IR800" i="94"/>
  <c r="HA800" i="94"/>
  <c r="FS800" i="94"/>
  <c r="EX800" i="94"/>
  <c r="EA800" i="94"/>
  <c r="DD800" i="94"/>
  <c r="CL800" i="94"/>
  <c r="BO800" i="94"/>
  <c r="AR800" i="94"/>
  <c r="Z800" i="94"/>
  <c r="LT800" i="94"/>
  <c r="JY800" i="94"/>
  <c r="ID800" i="94"/>
  <c r="GX800" i="94"/>
  <c r="FR800" i="94"/>
  <c r="ER800" i="94"/>
  <c r="DZ800" i="94"/>
  <c r="DC800" i="94"/>
  <c r="CF800" i="94"/>
  <c r="BN800" i="94"/>
  <c r="AQ800" i="94"/>
  <c r="LF800" i="94"/>
  <c r="JX800" i="94"/>
  <c r="IC800" i="94"/>
  <c r="GO800" i="94"/>
  <c r="FQ800" i="94"/>
  <c r="EQ800" i="94"/>
  <c r="DT800" i="94"/>
  <c r="DB800" i="94"/>
  <c r="CE800" i="94"/>
  <c r="BH800" i="94"/>
  <c r="AP800" i="94"/>
  <c r="LE800" i="94"/>
  <c r="JJ800" i="94"/>
  <c r="IB800" i="94"/>
  <c r="GN800" i="94"/>
  <c r="FI800" i="94"/>
  <c r="EP800" i="94"/>
  <c r="DS800" i="94"/>
  <c r="CV800" i="94"/>
  <c r="CD800" i="94"/>
  <c r="BG800" i="94"/>
  <c r="AJ800" i="94"/>
  <c r="NB800" i="94"/>
  <c r="KP800" i="94"/>
  <c r="JH800" i="94"/>
  <c r="HM800" i="94"/>
  <c r="GE800" i="94"/>
  <c r="FG800" i="94"/>
  <c r="EI800" i="94"/>
  <c r="DL800" i="94"/>
  <c r="CT800" i="94"/>
  <c r="BW800" i="94"/>
  <c r="AZ800" i="94"/>
  <c r="AH800" i="94"/>
  <c r="LT799" i="94"/>
  <c r="GC799" i="94"/>
  <c r="FP799" i="94"/>
  <c r="FH799" i="94"/>
  <c r="EZ799" i="94"/>
  <c r="ER799" i="94"/>
  <c r="EJ799" i="94"/>
  <c r="BK799" i="94"/>
  <c r="BC799" i="94"/>
  <c r="AU799" i="94"/>
  <c r="AM799" i="94"/>
  <c r="AE799" i="94"/>
  <c r="LS799" i="94"/>
  <c r="GB799" i="94"/>
  <c r="FO799" i="94"/>
  <c r="FG799" i="94"/>
  <c r="EY799" i="94"/>
  <c r="EQ799" i="94"/>
  <c r="EI799" i="94"/>
  <c r="BJ799" i="94"/>
  <c r="BB799" i="94"/>
  <c r="AT799" i="94"/>
  <c r="AL799" i="94"/>
  <c r="AD799" i="94"/>
  <c r="LZ799" i="94"/>
  <c r="LR799" i="94"/>
  <c r="FV799" i="94"/>
  <c r="FN799" i="94"/>
  <c r="FF799" i="94"/>
  <c r="EX799" i="94"/>
  <c r="EP799" i="94"/>
  <c r="EH799" i="94"/>
  <c r="BI799" i="94"/>
  <c r="BA799" i="94"/>
  <c r="AS799" i="94"/>
  <c r="AK799" i="94"/>
  <c r="AC799" i="94"/>
  <c r="LY799" i="94"/>
  <c r="LQ799" i="94"/>
  <c r="FU799" i="94"/>
  <c r="FM799" i="94"/>
  <c r="FE799" i="94"/>
  <c r="EW799" i="94"/>
  <c r="EO799" i="94"/>
  <c r="EG799" i="94"/>
  <c r="BH799" i="94"/>
  <c r="AZ799" i="94"/>
  <c r="AR799" i="94"/>
  <c r="AJ799" i="94"/>
  <c r="AB799" i="94"/>
  <c r="LX799" i="94"/>
  <c r="HZ799" i="94"/>
  <c r="FT799" i="94"/>
  <c r="FL799" i="94"/>
  <c r="FD799" i="94"/>
  <c r="EV799" i="94"/>
  <c r="EN799" i="94"/>
  <c r="EF799" i="94"/>
  <c r="BG799" i="94"/>
  <c r="AY799" i="94"/>
  <c r="AQ799" i="94"/>
  <c r="AI799" i="94"/>
  <c r="AA799" i="94"/>
  <c r="FR799" i="94"/>
  <c r="EU799" i="94"/>
  <c r="DC799" i="94"/>
  <c r="AO799" i="94"/>
  <c r="LW799" i="94"/>
  <c r="FQ799" i="94"/>
  <c r="ET799" i="94"/>
  <c r="BF799" i="94"/>
  <c r="AN799" i="94"/>
  <c r="LV799" i="94"/>
  <c r="FK799" i="94"/>
  <c r="ES799" i="94"/>
  <c r="BE799" i="94"/>
  <c r="AH799" i="94"/>
  <c r="LU799" i="94"/>
  <c r="FJ799" i="94"/>
  <c r="EM799" i="94"/>
  <c r="BD799" i="94"/>
  <c r="AG799" i="94"/>
  <c r="GE799" i="94"/>
  <c r="FC799" i="94"/>
  <c r="EK799" i="94"/>
  <c r="AW799" i="94"/>
  <c r="Z799" i="94"/>
  <c r="ND798" i="94"/>
  <c r="ML798" i="94"/>
  <c r="MD798" i="94"/>
  <c r="LV798" i="94"/>
  <c r="LN798" i="94"/>
  <c r="LF798" i="94"/>
  <c r="KX798" i="94"/>
  <c r="KP798" i="94"/>
  <c r="KH798" i="94"/>
  <c r="JZ798" i="94"/>
  <c r="JR798" i="94"/>
  <c r="JJ798" i="94"/>
  <c r="JB798" i="94"/>
  <c r="IT798" i="94"/>
  <c r="IL798" i="94"/>
  <c r="ID798" i="94"/>
  <c r="HV798" i="94"/>
  <c r="HN798" i="94"/>
  <c r="HF798" i="94"/>
  <c r="GX798" i="94"/>
  <c r="GP798" i="94"/>
  <c r="GH798" i="94"/>
  <c r="FU798" i="94"/>
  <c r="FM798" i="94"/>
  <c r="FE798" i="94"/>
  <c r="EW798" i="94"/>
  <c r="EO798" i="94"/>
  <c r="EG798" i="94"/>
  <c r="BG798" i="94"/>
  <c r="AY798" i="94"/>
  <c r="AQ798" i="94"/>
  <c r="AI798" i="94"/>
  <c r="AA798" i="94"/>
  <c r="NC798" i="94"/>
  <c r="MK798" i="94"/>
  <c r="MC798" i="94"/>
  <c r="LU798" i="94"/>
  <c r="LM798" i="94"/>
  <c r="LE798" i="94"/>
  <c r="KW798" i="94"/>
  <c r="KO798" i="94"/>
  <c r="KG798" i="94"/>
  <c r="JY798" i="94"/>
  <c r="JQ798" i="94"/>
  <c r="JI798" i="94"/>
  <c r="JA798" i="94"/>
  <c r="IS798" i="94"/>
  <c r="IK798" i="94"/>
  <c r="IC798" i="94"/>
  <c r="HU798" i="94"/>
  <c r="HM798" i="94"/>
  <c r="HE798" i="94"/>
  <c r="GW798" i="94"/>
  <c r="GO798" i="94"/>
  <c r="GG798" i="94"/>
  <c r="FT798" i="94"/>
  <c r="FL798" i="94"/>
  <c r="FD798" i="94"/>
  <c r="EV798" i="94"/>
  <c r="EN798" i="94"/>
  <c r="EF798" i="94"/>
  <c r="BF798" i="94"/>
  <c r="AX798" i="94"/>
  <c r="AP798" i="94"/>
  <c r="AH798" i="94"/>
  <c r="Z798" i="94"/>
  <c r="NB798" i="94"/>
  <c r="MJ798" i="94"/>
  <c r="MB798" i="94"/>
  <c r="LT798" i="94"/>
  <c r="LL798" i="94"/>
  <c r="LD798" i="94"/>
  <c r="KV798" i="94"/>
  <c r="KN798" i="94"/>
  <c r="KF798" i="94"/>
  <c r="JX798" i="94"/>
  <c r="JP798" i="94"/>
  <c r="JH798" i="94"/>
  <c r="IZ798" i="94"/>
  <c r="IR798" i="94"/>
  <c r="IJ798" i="94"/>
  <c r="IB798" i="94"/>
  <c r="HT798" i="94"/>
  <c r="HL798" i="94"/>
  <c r="HD798" i="94"/>
  <c r="GV798" i="94"/>
  <c r="GN798" i="94"/>
  <c r="GF798" i="94"/>
  <c r="FS798" i="94"/>
  <c r="FK798" i="94"/>
  <c r="FC798" i="94"/>
  <c r="EU798" i="94"/>
  <c r="EM798" i="94"/>
  <c r="EE798" i="94"/>
  <c r="BE798" i="94"/>
  <c r="AW798" i="94"/>
  <c r="AO798" i="94"/>
  <c r="AG798" i="94"/>
  <c r="Y798" i="94"/>
  <c r="NA798" i="94"/>
  <c r="MI798" i="94"/>
  <c r="MA798" i="94"/>
  <c r="LS798" i="94"/>
  <c r="LK798" i="94"/>
  <c r="LC798" i="94"/>
  <c r="KU798" i="94"/>
  <c r="KM798" i="94"/>
  <c r="KE798" i="94"/>
  <c r="JW798" i="94"/>
  <c r="JO798" i="94"/>
  <c r="JG798" i="94"/>
  <c r="IY798" i="94"/>
  <c r="IQ798" i="94"/>
  <c r="II798" i="94"/>
  <c r="IA798" i="94"/>
  <c r="HS798" i="94"/>
  <c r="HK798" i="94"/>
  <c r="HC798" i="94"/>
  <c r="GU798" i="94"/>
  <c r="GM798" i="94"/>
  <c r="GE798" i="94"/>
  <c r="FR798" i="94"/>
  <c r="FJ798" i="94"/>
  <c r="FB798" i="94"/>
  <c r="ET798" i="94"/>
  <c r="EL798" i="94"/>
  <c r="ED798" i="94"/>
  <c r="BD798" i="94"/>
  <c r="AV798" i="94"/>
  <c r="AN798" i="94"/>
  <c r="AF798" i="94"/>
  <c r="X798" i="94"/>
  <c r="MZ798" i="94"/>
  <c r="MH798" i="94"/>
  <c r="LZ798" i="94"/>
  <c r="LR798" i="94"/>
  <c r="LJ798" i="94"/>
  <c r="LB798" i="94"/>
  <c r="KT798" i="94"/>
  <c r="KL798" i="94"/>
  <c r="KD798" i="94"/>
  <c r="JV798" i="94"/>
  <c r="JN798" i="94"/>
  <c r="JF798" i="94"/>
  <c r="IX798" i="94"/>
  <c r="IP798" i="94"/>
  <c r="IH798" i="94"/>
  <c r="HZ798" i="94"/>
  <c r="HR798" i="94"/>
  <c r="HJ798" i="94"/>
  <c r="HB798" i="94"/>
  <c r="GT798" i="94"/>
  <c r="GL798" i="94"/>
  <c r="GD798" i="94"/>
  <c r="FQ798" i="94"/>
  <c r="FI798" i="94"/>
  <c r="FA798" i="94"/>
  <c r="ES798" i="94"/>
  <c r="EK798" i="94"/>
  <c r="BK798" i="94"/>
  <c r="BC798" i="94"/>
  <c r="AU798" i="94"/>
  <c r="AM798" i="94"/>
  <c r="AE798" i="94"/>
  <c r="MO798" i="94"/>
  <c r="LW798" i="94"/>
  <c r="KZ798" i="94"/>
  <c r="KC798" i="94"/>
  <c r="JK798" i="94"/>
  <c r="IN798" i="94"/>
  <c r="HQ798" i="94"/>
  <c r="GY798" i="94"/>
  <c r="GB798" i="94"/>
  <c r="EZ798" i="94"/>
  <c r="EH798" i="94"/>
  <c r="AS798" i="94"/>
  <c r="MN798" i="94"/>
  <c r="LQ798" i="94"/>
  <c r="KY798" i="94"/>
  <c r="KB798" i="94"/>
  <c r="JE798" i="94"/>
  <c r="IM798" i="94"/>
  <c r="HP798" i="94"/>
  <c r="GS798" i="94"/>
  <c r="FV798" i="94"/>
  <c r="EY798" i="94"/>
  <c r="BJ798" i="94"/>
  <c r="AR798" i="94"/>
  <c r="MM798" i="94"/>
  <c r="LP798" i="94"/>
  <c r="KS798" i="94"/>
  <c r="KA798" i="94"/>
  <c r="JD798" i="94"/>
  <c r="IG798" i="94"/>
  <c r="HO798" i="94"/>
  <c r="GR798" i="94"/>
  <c r="FP798" i="94"/>
  <c r="EX798" i="94"/>
  <c r="BI798" i="94"/>
  <c r="AL798" i="94"/>
  <c r="MG798" i="94"/>
  <c r="LO798" i="94"/>
  <c r="KR798" i="94"/>
  <c r="JU798" i="94"/>
  <c r="JC798" i="94"/>
  <c r="IF798" i="94"/>
  <c r="HI798" i="94"/>
  <c r="GQ798" i="94"/>
  <c r="FO798" i="94"/>
  <c r="ER798" i="94"/>
  <c r="BH798" i="94"/>
  <c r="AK798" i="94"/>
  <c r="ME798" i="94"/>
  <c r="LH798" i="94"/>
  <c r="KK798" i="94"/>
  <c r="JS798" i="94"/>
  <c r="IV798" i="94"/>
  <c r="HY798" i="94"/>
  <c r="HG798" i="94"/>
  <c r="GJ798" i="94"/>
  <c r="FH798" i="94"/>
  <c r="EP798" i="94"/>
  <c r="BA798" i="94"/>
  <c r="AD798" i="94"/>
  <c r="LV797" i="94"/>
  <c r="GE797" i="94"/>
  <c r="FS797" i="94"/>
  <c r="FK797" i="94"/>
  <c r="FC797" i="94"/>
  <c r="EU797" i="94"/>
  <c r="EM797" i="94"/>
  <c r="EE797" i="94"/>
  <c r="BZ797" i="94"/>
  <c r="BE797" i="94"/>
  <c r="AW797" i="94"/>
  <c r="AO797" i="94"/>
  <c r="AG797" i="94"/>
  <c r="Y797" i="94"/>
  <c r="LU797" i="94"/>
  <c r="GD797" i="94"/>
  <c r="FR797" i="94"/>
  <c r="FJ797" i="94"/>
  <c r="FB797" i="94"/>
  <c r="ET797" i="94"/>
  <c r="EL797" i="94"/>
  <c r="ED797" i="94"/>
  <c r="BR797" i="94"/>
  <c r="BD797" i="94"/>
  <c r="AV797" i="94"/>
  <c r="AN797" i="94"/>
  <c r="AF797" i="94"/>
  <c r="X797" i="94"/>
  <c r="LT797" i="94"/>
  <c r="GC797" i="94"/>
  <c r="FQ797" i="94"/>
  <c r="FI797" i="94"/>
  <c r="FA797" i="94"/>
  <c r="ES797" i="94"/>
  <c r="EK797" i="94"/>
  <c r="DV797" i="94"/>
  <c r="BK797" i="94"/>
  <c r="BC797" i="94"/>
  <c r="AU797" i="94"/>
  <c r="AM797" i="94"/>
  <c r="AE797" i="94"/>
  <c r="LS797" i="94"/>
  <c r="GB797" i="94"/>
  <c r="FP797" i="94"/>
  <c r="FH797" i="94"/>
  <c r="EZ797" i="94"/>
  <c r="ER797" i="94"/>
  <c r="EJ797" i="94"/>
  <c r="DN797" i="94"/>
  <c r="BJ797" i="94"/>
  <c r="BB797" i="94"/>
  <c r="AT797" i="94"/>
  <c r="AL797" i="94"/>
  <c r="AD797" i="94"/>
  <c r="LZ797" i="94"/>
  <c r="LR797" i="94"/>
  <c r="FZ797" i="94"/>
  <c r="FO797" i="94"/>
  <c r="FG797" i="94"/>
  <c r="EY797" i="94"/>
  <c r="EQ797" i="94"/>
  <c r="EI797" i="94"/>
  <c r="DF797" i="94"/>
  <c r="BI797" i="94"/>
  <c r="BA797" i="94"/>
  <c r="AS797" i="94"/>
  <c r="AK797" i="94"/>
  <c r="AC797" i="94"/>
  <c r="LY797" i="94"/>
  <c r="FT797" i="94"/>
  <c r="EW797" i="94"/>
  <c r="CX797" i="94"/>
  <c r="AX797" i="94"/>
  <c r="AA797" i="94"/>
  <c r="LX797" i="94"/>
  <c r="FN797" i="94"/>
  <c r="EV797" i="94"/>
  <c r="CP797" i="94"/>
  <c r="AR797" i="94"/>
  <c r="Z797" i="94"/>
  <c r="LW797" i="94"/>
  <c r="FM797" i="94"/>
  <c r="EP797" i="94"/>
  <c r="CH797" i="94"/>
  <c r="AQ797" i="94"/>
  <c r="LQ797" i="94"/>
  <c r="FL797" i="94"/>
  <c r="EO797" i="94"/>
  <c r="BH797" i="94"/>
  <c r="AP797" i="94"/>
  <c r="GF797" i="94"/>
  <c r="FE797" i="94"/>
  <c r="EH797" i="94"/>
  <c r="BF797" i="94"/>
  <c r="AI797" i="94"/>
  <c r="MN796" i="94"/>
  <c r="MF796" i="94"/>
  <c r="LX796" i="94"/>
  <c r="LP796" i="94"/>
  <c r="LH796" i="94"/>
  <c r="KZ796" i="94"/>
  <c r="KR796" i="94"/>
  <c r="KJ796" i="94"/>
  <c r="KB796" i="94"/>
  <c r="JT796" i="94"/>
  <c r="JL796" i="94"/>
  <c r="JD796" i="94"/>
  <c r="IV796" i="94"/>
  <c r="IN796" i="94"/>
  <c r="IF796" i="94"/>
  <c r="HX796" i="94"/>
  <c r="HP796" i="94"/>
  <c r="HH796" i="94"/>
  <c r="GZ796" i="94"/>
  <c r="GR796" i="94"/>
  <c r="GJ796" i="94"/>
  <c r="GB796" i="94"/>
  <c r="FT796" i="94"/>
  <c r="FL796" i="94"/>
  <c r="FD796" i="94"/>
  <c r="EV796" i="94"/>
  <c r="EN796" i="94"/>
  <c r="EF796" i="94"/>
  <c r="DX796" i="94"/>
  <c r="DP796" i="94"/>
  <c r="MM796" i="94"/>
  <c r="ME796" i="94"/>
  <c r="LW796" i="94"/>
  <c r="LO796" i="94"/>
  <c r="LG796" i="94"/>
  <c r="KY796" i="94"/>
  <c r="KQ796" i="94"/>
  <c r="KI796" i="94"/>
  <c r="KA796" i="94"/>
  <c r="JS796" i="94"/>
  <c r="JK796" i="94"/>
  <c r="JC796" i="94"/>
  <c r="IU796" i="94"/>
  <c r="IM796" i="94"/>
  <c r="IE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ND796" i="94"/>
  <c r="ML796" i="94"/>
  <c r="MD796" i="94"/>
  <c r="LV796" i="94"/>
  <c r="LN796" i="94"/>
  <c r="LF796" i="94"/>
  <c r="KX796" i="94"/>
  <c r="KP796" i="94"/>
  <c r="KH796" i="94"/>
  <c r="JZ796" i="94"/>
  <c r="JR796" i="94"/>
  <c r="JJ796" i="94"/>
  <c r="JB796" i="94"/>
  <c r="IT796" i="94"/>
  <c r="IL796" i="94"/>
  <c r="ID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NC796" i="94"/>
  <c r="MK796" i="94"/>
  <c r="MC796" i="94"/>
  <c r="LU796" i="94"/>
  <c r="LM796" i="94"/>
  <c r="LE796" i="94"/>
  <c r="KW796" i="94"/>
  <c r="KO796" i="94"/>
  <c r="KG796" i="94"/>
  <c r="JY796" i="94"/>
  <c r="JQ796" i="94"/>
  <c r="JI796" i="94"/>
  <c r="JA796" i="94"/>
  <c r="IS796" i="94"/>
  <c r="IK796" i="94"/>
  <c r="IC796" i="94"/>
  <c r="HU796" i="94"/>
  <c r="HM796" i="94"/>
  <c r="HE796" i="94"/>
  <c r="GW796" i="94"/>
  <c r="GO796" i="94"/>
  <c r="GG796" i="94"/>
  <c r="FY796" i="94"/>
  <c r="FQ796" i="94"/>
  <c r="FI796" i="94"/>
  <c r="FA796" i="94"/>
  <c r="ES796" i="94"/>
  <c r="EK796" i="94"/>
  <c r="EC796" i="94"/>
  <c r="DU796" i="94"/>
  <c r="DM796" i="94"/>
  <c r="DE796" i="94"/>
  <c r="CW796" i="94"/>
  <c r="CO796" i="94"/>
  <c r="CG796" i="94"/>
  <c r="BY796" i="94"/>
  <c r="BQ796" i="94"/>
  <c r="BI796" i="94"/>
  <c r="BA796" i="94"/>
  <c r="AS796" i="94"/>
  <c r="AK796" i="94"/>
  <c r="AC796" i="94"/>
  <c r="NB796" i="94"/>
  <c r="MJ796" i="94"/>
  <c r="MB796" i="94"/>
  <c r="LT796" i="94"/>
  <c r="LL796" i="94"/>
  <c r="LD796" i="94"/>
  <c r="KV796" i="94"/>
  <c r="KN796" i="94"/>
  <c r="KF796" i="94"/>
  <c r="JX796" i="94"/>
  <c r="JP796" i="94"/>
  <c r="JH796" i="94"/>
  <c r="IZ796" i="94"/>
  <c r="IR796" i="94"/>
  <c r="IJ796" i="94"/>
  <c r="IB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A796" i="94"/>
  <c r="LI796" i="94"/>
  <c r="KL796" i="94"/>
  <c r="JO796" i="94"/>
  <c r="IW796" i="94"/>
  <c r="HZ796" i="94"/>
  <c r="HC796" i="94"/>
  <c r="GK796" i="94"/>
  <c r="FN796" i="94"/>
  <c r="EQ796" i="94"/>
  <c r="DY796" i="94"/>
  <c r="DC796" i="94"/>
  <c r="CM796" i="94"/>
  <c r="BW796" i="94"/>
  <c r="BG796" i="94"/>
  <c r="AQ796" i="94"/>
  <c r="AA796" i="94"/>
  <c r="LZ796" i="94"/>
  <c r="LC796" i="94"/>
  <c r="KK796" i="94"/>
  <c r="JN796" i="94"/>
  <c r="IQ796" i="94"/>
  <c r="HY796" i="94"/>
  <c r="HB796" i="94"/>
  <c r="GE796" i="94"/>
  <c r="FM796" i="94"/>
  <c r="EP796" i="94"/>
  <c r="DS796" i="94"/>
  <c r="DB796" i="94"/>
  <c r="CL796" i="94"/>
  <c r="BV796" i="94"/>
  <c r="BF796" i="94"/>
  <c r="AP796" i="94"/>
  <c r="Z796" i="94"/>
  <c r="NA796" i="94"/>
  <c r="LY796" i="94"/>
  <c r="LB796" i="94"/>
  <c r="KE796" i="94"/>
  <c r="JM796" i="94"/>
  <c r="IP796" i="94"/>
  <c r="HS796" i="94"/>
  <c r="HA796" i="94"/>
  <c r="GD796" i="94"/>
  <c r="FG796" i="94"/>
  <c r="EO796" i="94"/>
  <c r="DR796" i="94"/>
  <c r="DA796" i="94"/>
  <c r="CK796" i="94"/>
  <c r="BU796" i="94"/>
  <c r="BE796" i="94"/>
  <c r="AO796" i="94"/>
  <c r="Y796" i="94"/>
  <c r="MZ796" i="94"/>
  <c r="LS796" i="94"/>
  <c r="LA796" i="94"/>
  <c r="KD796" i="94"/>
  <c r="JG796" i="94"/>
  <c r="IO796" i="94"/>
  <c r="HR796" i="94"/>
  <c r="GU796" i="94"/>
  <c r="GC796" i="94"/>
  <c r="FF796" i="94"/>
  <c r="EI796" i="94"/>
  <c r="DQ796" i="94"/>
  <c r="CZ796" i="94"/>
  <c r="CJ796" i="94"/>
  <c r="BT796" i="94"/>
  <c r="BD796" i="94"/>
  <c r="AN796" i="94"/>
  <c r="X796" i="94"/>
  <c r="MI796" i="94"/>
  <c r="LQ796" i="94"/>
  <c r="KT796" i="94"/>
  <c r="JW796" i="94"/>
  <c r="JE796" i="94"/>
  <c r="IH796" i="94"/>
  <c r="HK796" i="94"/>
  <c r="GS796" i="94"/>
  <c r="FV796" i="94"/>
  <c r="EY796" i="94"/>
  <c r="EG796" i="94"/>
  <c r="DJ796" i="94"/>
  <c r="CT796" i="94"/>
  <c r="CD796" i="94"/>
  <c r="BN796" i="94"/>
  <c r="AX796" i="94"/>
  <c r="AH796" i="94"/>
  <c r="LZ795" i="94"/>
  <c r="LR795" i="94"/>
  <c r="GB795" i="94"/>
  <c r="FO795" i="94"/>
  <c r="FG795" i="94"/>
  <c r="EY795" i="94"/>
  <c r="EQ795" i="94"/>
  <c r="EI795" i="94"/>
  <c r="DI795" i="94"/>
  <c r="BJ795" i="94"/>
  <c r="BB795" i="94"/>
  <c r="AT795" i="94"/>
  <c r="AL795" i="94"/>
  <c r="AD795" i="94"/>
  <c r="LY795" i="94"/>
  <c r="LQ795" i="94"/>
  <c r="FV795" i="94"/>
  <c r="FN795" i="94"/>
  <c r="FF795" i="94"/>
  <c r="EX795" i="94"/>
  <c r="EP795" i="94"/>
  <c r="EH795" i="94"/>
  <c r="DA795" i="94"/>
  <c r="BI795" i="94"/>
  <c r="BA795" i="94"/>
  <c r="AS795" i="94"/>
  <c r="AK795" i="94"/>
  <c r="AC795" i="94"/>
  <c r="LX795" i="94"/>
  <c r="IB795" i="94"/>
  <c r="FU795" i="94"/>
  <c r="FM795" i="94"/>
  <c r="FE795" i="94"/>
  <c r="EW795" i="94"/>
  <c r="EO795" i="94"/>
  <c r="EG795" i="94"/>
  <c r="CS795" i="94"/>
  <c r="BH795" i="94"/>
  <c r="AZ795" i="94"/>
  <c r="AR795" i="94"/>
  <c r="AJ795" i="94"/>
  <c r="AB795" i="94"/>
  <c r="LW795" i="94"/>
  <c r="GQ795" i="94"/>
  <c r="GF795" i="94"/>
  <c r="FP795" i="94"/>
  <c r="FB795" i="94"/>
  <c r="EN795" i="94"/>
  <c r="DY795" i="94"/>
  <c r="BF795" i="94"/>
  <c r="AU795" i="94"/>
  <c r="AG795" i="94"/>
  <c r="GE795" i="94"/>
  <c r="FL795" i="94"/>
  <c r="FA795" i="94"/>
  <c r="EM795" i="94"/>
  <c r="DQ795" i="94"/>
  <c r="BE795" i="94"/>
  <c r="AQ795" i="94"/>
  <c r="AF795" i="94"/>
  <c r="GD795" i="94"/>
  <c r="FK795" i="94"/>
  <c r="EZ795" i="94"/>
  <c r="EL795" i="94"/>
  <c r="CK795" i="94"/>
  <c r="BD795" i="94"/>
  <c r="AP795" i="94"/>
  <c r="AE795" i="94"/>
  <c r="GC795" i="94"/>
  <c r="FJ795" i="94"/>
  <c r="EV795" i="94"/>
  <c r="EK795" i="94"/>
  <c r="CC795" i="94"/>
  <c r="BC795" i="94"/>
  <c r="AO795" i="94"/>
  <c r="AA795" i="94"/>
  <c r="LU795" i="94"/>
  <c r="FS795" i="94"/>
  <c r="FH795" i="94"/>
  <c r="ET795" i="94"/>
  <c r="EF795" i="94"/>
  <c r="BM795" i="94"/>
  <c r="AX795" i="94"/>
  <c r="AM795" i="94"/>
  <c r="Y795" i="94"/>
  <c r="NC794" i="94"/>
  <c r="NB794" i="94"/>
  <c r="NA794" i="94"/>
  <c r="MZ794" i="94"/>
  <c r="LZ794" i="94"/>
  <c r="LR794" i="94"/>
  <c r="LJ794" i="94"/>
  <c r="LB794" i="94"/>
  <c r="KT794" i="94"/>
  <c r="KL794" i="94"/>
  <c r="KD794" i="94"/>
  <c r="JV794" i="94"/>
  <c r="JN794" i="94"/>
  <c r="JF794" i="94"/>
  <c r="IX794" i="94"/>
  <c r="IP794" i="94"/>
  <c r="IH794" i="94"/>
  <c r="HZ794" i="94"/>
  <c r="HJ794" i="94"/>
  <c r="GT794" i="94"/>
  <c r="GF794" i="94"/>
  <c r="FX794" i="94"/>
  <c r="FP794" i="94"/>
  <c r="FH794" i="94"/>
  <c r="EZ794" i="94"/>
  <c r="ER794" i="94"/>
  <c r="EI794" i="94"/>
  <c r="EA794" i="94"/>
  <c r="DS794" i="94"/>
  <c r="DK794" i="94"/>
  <c r="DC794" i="94"/>
  <c r="CU794" i="94"/>
  <c r="CM794" i="94"/>
  <c r="CE794" i="94"/>
  <c r="BW794" i="94"/>
  <c r="BO794" i="94"/>
  <c r="BG794" i="94"/>
  <c r="AY794" i="94"/>
  <c r="AQ794" i="94"/>
  <c r="AI794" i="94"/>
  <c r="AA794" i="94"/>
  <c r="MO794" i="94"/>
  <c r="LY794" i="94"/>
  <c r="LQ794" i="94"/>
  <c r="LI794" i="94"/>
  <c r="LA794" i="94"/>
  <c r="KS794" i="94"/>
  <c r="KK794" i="94"/>
  <c r="KC794" i="94"/>
  <c r="JU794" i="94"/>
  <c r="JM794" i="94"/>
  <c r="JE794" i="94"/>
  <c r="IW794" i="94"/>
  <c r="IO794" i="94"/>
  <c r="IG794" i="94"/>
  <c r="HY794" i="94"/>
  <c r="HI794" i="94"/>
  <c r="GS794" i="94"/>
  <c r="GE794" i="94"/>
  <c r="FW794" i="94"/>
  <c r="FO794" i="94"/>
  <c r="FG794" i="94"/>
  <c r="EY794" i="94"/>
  <c r="EP794" i="94"/>
  <c r="EH794" i="94"/>
  <c r="DZ794" i="94"/>
  <c r="DR794" i="94"/>
  <c r="DJ794" i="94"/>
  <c r="DB794" i="94"/>
  <c r="CT794" i="94"/>
  <c r="CL794" i="94"/>
  <c r="CD794" i="94"/>
  <c r="BV794" i="94"/>
  <c r="BN794" i="94"/>
  <c r="BF794" i="94"/>
  <c r="AX794" i="94"/>
  <c r="AP794" i="94"/>
  <c r="AH794" i="94"/>
  <c r="Z794" i="94"/>
  <c r="ML794" i="94"/>
  <c r="LX794" i="94"/>
  <c r="LP794" i="94"/>
  <c r="LH794" i="94"/>
  <c r="KZ794" i="94"/>
  <c r="KR794" i="94"/>
  <c r="KJ794" i="94"/>
  <c r="KB794" i="94"/>
  <c r="JT794" i="94"/>
  <c r="JL794" i="94"/>
  <c r="JD794" i="94"/>
  <c r="IV794" i="94"/>
  <c r="IN794" i="94"/>
  <c r="IF794" i="94"/>
  <c r="HV794" i="94"/>
  <c r="HF794" i="94"/>
  <c r="GP794" i="94"/>
  <c r="GD794" i="94"/>
  <c r="FV794" i="94"/>
  <c r="FN794" i="94"/>
  <c r="FF794" i="94"/>
  <c r="EX794" i="94"/>
  <c r="EO794" i="94"/>
  <c r="EG794" i="94"/>
  <c r="DY794" i="94"/>
  <c r="DQ794" i="94"/>
  <c r="DI794" i="94"/>
  <c r="DA794" i="94"/>
  <c r="CS794" i="94"/>
  <c r="CK794" i="94"/>
  <c r="CC794" i="94"/>
  <c r="BU794" i="94"/>
  <c r="BM794" i="94"/>
  <c r="BE794" i="94"/>
  <c r="AW794" i="94"/>
  <c r="AO794" i="94"/>
  <c r="AG794" i="94"/>
  <c r="Y794" i="94"/>
  <c r="MK794" i="94"/>
  <c r="LW794" i="94"/>
  <c r="LO794" i="94"/>
  <c r="LG794" i="94"/>
  <c r="KY794" i="94"/>
  <c r="KQ794" i="94"/>
  <c r="KI794" i="94"/>
  <c r="KA794" i="94"/>
  <c r="JS794" i="94"/>
  <c r="JK794" i="94"/>
  <c r="JC794" i="94"/>
  <c r="IU794" i="94"/>
  <c r="IM794" i="94"/>
  <c r="IE794" i="94"/>
  <c r="HU794" i="94"/>
  <c r="HE794" i="94"/>
  <c r="GO794" i="94"/>
  <c r="GC794" i="94"/>
  <c r="FU794" i="94"/>
  <c r="FM794" i="94"/>
  <c r="FE794" i="94"/>
  <c r="EW794" i="94"/>
  <c r="EN794" i="94"/>
  <c r="EF794" i="94"/>
  <c r="DX794" i="94"/>
  <c r="DP794" i="94"/>
  <c r="DH794" i="94"/>
  <c r="CZ794" i="94"/>
  <c r="CR794" i="94"/>
  <c r="CJ794" i="94"/>
  <c r="CB794" i="94"/>
  <c r="BT794" i="94"/>
  <c r="BL794" i="94"/>
  <c r="BD794" i="94"/>
  <c r="AV794" i="94"/>
  <c r="AN794" i="94"/>
  <c r="AF794" i="94"/>
  <c r="X794" i="94"/>
  <c r="MG794" i="94"/>
  <c r="LU794" i="94"/>
  <c r="LM794" i="94"/>
  <c r="LE794" i="94"/>
  <c r="KW794" i="94"/>
  <c r="KO794" i="94"/>
  <c r="KG794" i="94"/>
  <c r="JY794" i="94"/>
  <c r="JQ794" i="94"/>
  <c r="JI794" i="94"/>
  <c r="JA794" i="94"/>
  <c r="IS794" i="94"/>
  <c r="IK794" i="94"/>
  <c r="IC794" i="94"/>
  <c r="HQ794" i="94"/>
  <c r="HA794" i="94"/>
  <c r="GK794" i="94"/>
  <c r="GA794" i="94"/>
  <c r="FS794" i="94"/>
  <c r="FK794" i="94"/>
  <c r="FC794" i="94"/>
  <c r="EU794" i="94"/>
  <c r="EL794" i="94"/>
  <c r="ED794" i="94"/>
  <c r="DV794" i="94"/>
  <c r="DN794" i="94"/>
  <c r="DF794" i="94"/>
  <c r="CX794" i="94"/>
  <c r="CP794" i="94"/>
  <c r="CH794" i="94"/>
  <c r="BZ794" i="94"/>
  <c r="BR794" i="94"/>
  <c r="BJ794" i="94"/>
  <c r="BB794" i="94"/>
  <c r="AT794" i="94"/>
  <c r="AL794" i="94"/>
  <c r="AD794" i="94"/>
  <c r="LR793" i="94"/>
  <c r="FS793" i="94"/>
  <c r="FC793" i="94"/>
  <c r="EM793" i="94"/>
  <c r="DW793" i="94"/>
  <c r="DG793" i="94"/>
  <c r="CQ793" i="94"/>
  <c r="CA793" i="94"/>
  <c r="BK793" i="94"/>
  <c r="AU793" i="94"/>
  <c r="AE793" i="94"/>
  <c r="LQ793" i="94"/>
  <c r="FR793" i="94"/>
  <c r="FB793" i="94"/>
  <c r="EL793" i="94"/>
  <c r="DV793" i="94"/>
  <c r="DF793" i="94"/>
  <c r="CP793" i="94"/>
  <c r="BZ793" i="94"/>
  <c r="BJ793" i="94"/>
  <c r="AT793" i="94"/>
  <c r="AD793" i="94"/>
  <c r="GE793" i="94"/>
  <c r="FO793" i="94"/>
  <c r="EY793" i="94"/>
  <c r="EI793" i="94"/>
  <c r="DS793" i="94"/>
  <c r="DC793" i="94"/>
  <c r="CM793" i="94"/>
  <c r="BW793" i="94"/>
  <c r="BG793" i="94"/>
  <c r="AQ793" i="94"/>
  <c r="AA793" i="94"/>
  <c r="GD793" i="94"/>
  <c r="FN793" i="94"/>
  <c r="EX793" i="94"/>
  <c r="EH793" i="94"/>
  <c r="DR793" i="94"/>
  <c r="DB793" i="94"/>
  <c r="CL793" i="94"/>
  <c r="BV793" i="94"/>
  <c r="BF793" i="94"/>
  <c r="AP793" i="94"/>
  <c r="Z793" i="94"/>
  <c r="LY793" i="94"/>
  <c r="FZ793" i="94"/>
  <c r="FJ793" i="94"/>
  <c r="ET793" i="94"/>
  <c r="ED793" i="94"/>
  <c r="DN793" i="94"/>
  <c r="CX793" i="94"/>
  <c r="CH793" i="94"/>
  <c r="BR793" i="94"/>
  <c r="BB793" i="94"/>
  <c r="AL793" i="94"/>
  <c r="MH792" i="94"/>
  <c r="LV792" i="94"/>
  <c r="LG792" i="94"/>
  <c r="KA792" i="94"/>
  <c r="IU792" i="94"/>
  <c r="IA792" i="94"/>
  <c r="HM792" i="94"/>
  <c r="GW792" i="94"/>
  <c r="GG792" i="94"/>
  <c r="FY792" i="94"/>
  <c r="FQ792" i="94"/>
  <c r="FI792" i="94"/>
  <c r="EZ792" i="94"/>
  <c r="ER792" i="94"/>
  <c r="EJ792" i="94"/>
  <c r="EB792" i="94"/>
  <c r="DT792" i="94"/>
  <c r="DL792" i="94"/>
  <c r="DD792" i="94"/>
  <c r="CV792" i="94"/>
  <c r="CN792" i="94"/>
  <c r="CF792" i="94"/>
  <c r="BX792" i="94"/>
  <c r="BP792" i="94"/>
  <c r="BH792" i="94"/>
  <c r="AZ792" i="94"/>
  <c r="AR792" i="94"/>
  <c r="AJ792" i="94"/>
  <c r="AB792" i="94"/>
  <c r="MG792" i="94"/>
  <c r="LU792" i="94"/>
  <c r="LC792" i="94"/>
  <c r="JW792" i="94"/>
  <c r="IQ792" i="94"/>
  <c r="HZ792" i="94"/>
  <c r="HJ792" i="94"/>
  <c r="GT792" i="94"/>
  <c r="GF792" i="94"/>
  <c r="FX792" i="94"/>
  <c r="FP792" i="94"/>
  <c r="FH792" i="94"/>
  <c r="EY792" i="94"/>
  <c r="EQ792" i="94"/>
  <c r="EI792" i="94"/>
  <c r="EA792" i="94"/>
  <c r="DS792" i="94"/>
  <c r="DK792" i="94"/>
  <c r="DC792" i="94"/>
  <c r="CU792" i="94"/>
  <c r="CM792" i="94"/>
  <c r="CE792" i="94"/>
  <c r="BW792" i="94"/>
  <c r="BO792" i="94"/>
  <c r="BG792" i="94"/>
  <c r="AY792" i="94"/>
  <c r="AQ792" i="94"/>
  <c r="AI792" i="94"/>
  <c r="AA792" i="94"/>
  <c r="MD792" i="94"/>
  <c r="LT792" i="94"/>
  <c r="KY792" i="94"/>
  <c r="JS792" i="94"/>
  <c r="IM792" i="94"/>
  <c r="HY792" i="94"/>
  <c r="HI792" i="94"/>
  <c r="GS792" i="94"/>
  <c r="GE792" i="94"/>
  <c r="FW792" i="94"/>
  <c r="FO792" i="94"/>
  <c r="FG792" i="94"/>
  <c r="EX792" i="94"/>
  <c r="EP792" i="94"/>
  <c r="EH792" i="94"/>
  <c r="DZ792" i="94"/>
  <c r="DR792" i="94"/>
  <c r="DJ792" i="94"/>
  <c r="DB792" i="94"/>
  <c r="CT792" i="94"/>
  <c r="CL792" i="94"/>
  <c r="CD792" i="94"/>
  <c r="BV792" i="94"/>
  <c r="MC792" i="94"/>
  <c r="LS792" i="94"/>
  <c r="KU792" i="94"/>
  <c r="JO792" i="94"/>
  <c r="II792" i="94"/>
  <c r="HV792" i="94"/>
  <c r="HF792" i="94"/>
  <c r="GP792" i="94"/>
  <c r="GD792" i="94"/>
  <c r="FV792" i="94"/>
  <c r="FN792" i="94"/>
  <c r="FF792" i="94"/>
  <c r="EW792" i="94"/>
  <c r="EO792" i="94"/>
  <c r="EG792" i="94"/>
  <c r="DY792" i="94"/>
  <c r="DQ792" i="94"/>
  <c r="DI792" i="94"/>
  <c r="DA792" i="94"/>
  <c r="CS792" i="94"/>
  <c r="CK792" i="94"/>
  <c r="CC792" i="94"/>
  <c r="BU792" i="94"/>
  <c r="BM792" i="94"/>
  <c r="BE792" i="94"/>
  <c r="AW792" i="94"/>
  <c r="AO792" i="94"/>
  <c r="AG792" i="94"/>
  <c r="Y792" i="94"/>
  <c r="MO792" i="94"/>
  <c r="LY792" i="94"/>
  <c r="LQ792" i="94"/>
  <c r="KM792" i="94"/>
  <c r="JG792" i="94"/>
  <c r="ID792" i="94"/>
  <c r="HR792" i="94"/>
  <c r="HB792" i="94"/>
  <c r="GL792" i="94"/>
  <c r="GB792" i="94"/>
  <c r="FT792" i="94"/>
  <c r="FL792" i="94"/>
  <c r="FD792" i="94"/>
  <c r="EU792" i="94"/>
  <c r="EM792" i="94"/>
  <c r="EE792" i="94"/>
  <c r="DW792" i="94"/>
  <c r="DO792" i="94"/>
  <c r="DG792" i="94"/>
  <c r="CY792" i="94"/>
  <c r="CQ792" i="94"/>
  <c r="CI792" i="94"/>
  <c r="CA792" i="94"/>
  <c r="BS792" i="94"/>
  <c r="BK792" i="94"/>
  <c r="BC792" i="94"/>
  <c r="AU792" i="94"/>
  <c r="AM792" i="94"/>
  <c r="AE792" i="94"/>
  <c r="LT791" i="94"/>
  <c r="FV791" i="94"/>
  <c r="FL791" i="94"/>
  <c r="FA791" i="94"/>
  <c r="EO791" i="94"/>
  <c r="ED791" i="94"/>
  <c r="BC791" i="94"/>
  <c r="AR791" i="94"/>
  <c r="AG791" i="94"/>
  <c r="LS791" i="94"/>
  <c r="FU791" i="94"/>
  <c r="FJ791" i="94"/>
  <c r="EZ791" i="94"/>
  <c r="EN791" i="94"/>
  <c r="CK791" i="94"/>
  <c r="BA791" i="94"/>
  <c r="AQ791" i="94"/>
  <c r="AF791" i="94"/>
  <c r="ID791" i="94"/>
  <c r="FR791" i="94"/>
  <c r="FH791" i="94"/>
  <c r="EW791" i="94"/>
  <c r="EK791" i="94"/>
  <c r="BI791" i="94"/>
  <c r="AY791" i="94"/>
  <c r="AN791" i="94"/>
  <c r="AC791" i="94"/>
  <c r="LY791" i="94"/>
  <c r="GE791" i="94"/>
  <c r="FP791" i="94"/>
  <c r="FE791" i="94"/>
  <c r="ET791" i="94"/>
  <c r="EH791" i="94"/>
  <c r="BG791" i="94"/>
  <c r="AV791" i="94"/>
  <c r="AK791" i="94"/>
  <c r="AA791" i="94"/>
  <c r="MM790" i="94"/>
  <c r="MO790" i="94"/>
  <c r="LY790" i="94"/>
  <c r="KN790" i="94"/>
  <c r="MN790" i="94"/>
  <c r="LX790" i="94"/>
  <c r="KJ790" i="94"/>
  <c r="IC790" i="94"/>
  <c r="HM790" i="94"/>
  <c r="GW790" i="94"/>
  <c r="GG790" i="94"/>
  <c r="FL790" i="94"/>
  <c r="EV790" i="94"/>
  <c r="EF790" i="94"/>
  <c r="AY790" i="94"/>
  <c r="AI790" i="94"/>
  <c r="MJ790" i="94"/>
  <c r="LT790" i="94"/>
  <c r="JT790" i="94"/>
  <c r="HY790" i="94"/>
  <c r="HI790" i="94"/>
  <c r="GS790" i="94"/>
  <c r="GC790" i="94"/>
  <c r="FH790" i="94"/>
  <c r="ER790" i="94"/>
  <c r="BK790" i="94"/>
  <c r="AU790" i="94"/>
  <c r="MF790" i="94"/>
  <c r="LP790" i="94"/>
  <c r="JD790" i="94"/>
  <c r="HU790" i="94"/>
  <c r="HE790" i="94"/>
  <c r="GO790" i="94"/>
  <c r="FT790" i="94"/>
  <c r="FD790" i="94"/>
  <c r="EN790" i="94"/>
  <c r="BG790" i="94"/>
  <c r="AQ790" i="94"/>
  <c r="AA790" i="94"/>
  <c r="GE789" i="94"/>
  <c r="BE789" i="94"/>
  <c r="ET789" i="94"/>
  <c r="Y789" i="94"/>
  <c r="IB779" i="94"/>
  <c r="IR779" i="94"/>
  <c r="JH779" i="94"/>
  <c r="JZ779" i="94"/>
  <c r="KS779" i="94"/>
  <c r="LK779" i="94"/>
  <c r="IR780" i="94"/>
  <c r="JH780" i="94"/>
  <c r="JX780" i="94"/>
  <c r="KN780" i="94"/>
  <c r="LD780" i="94"/>
  <c r="IC779" i="94"/>
  <c r="IK779" i="94"/>
  <c r="IS779" i="94"/>
  <c r="JA779" i="94"/>
  <c r="JI779" i="94"/>
  <c r="JR779" i="94"/>
  <c r="KA779" i="94"/>
  <c r="KK779" i="94"/>
  <c r="KT779" i="94"/>
  <c r="LC779" i="94"/>
  <c r="LL779" i="94"/>
  <c r="IK780" i="94"/>
  <c r="IS780" i="94"/>
  <c r="JA780" i="94"/>
  <c r="JI780" i="94"/>
  <c r="JQ780" i="94"/>
  <c r="JY780" i="94"/>
  <c r="KG780" i="94"/>
  <c r="KO780" i="94"/>
  <c r="KW780" i="94"/>
  <c r="LE780" i="94"/>
  <c r="LM780" i="94"/>
  <c r="NC780" i="94"/>
  <c r="IK782" i="94"/>
  <c r="IS782" i="94"/>
  <c r="JA782" i="94"/>
  <c r="JI782" i="94"/>
  <c r="JQ782" i="94"/>
  <c r="JY782" i="94"/>
  <c r="KG782" i="94"/>
  <c r="KO782" i="94"/>
  <c r="KW782" i="94"/>
  <c r="LE782" i="94"/>
  <c r="LM782" i="94"/>
  <c r="NC782" i="94"/>
  <c r="IG784" i="94"/>
  <c r="IO784" i="94"/>
  <c r="IW784" i="94"/>
  <c r="JE784" i="94"/>
  <c r="JM784" i="94"/>
  <c r="JU784" i="94"/>
  <c r="KC784" i="94"/>
  <c r="KK784" i="94"/>
  <c r="KS784" i="94"/>
  <c r="LA784" i="94"/>
  <c r="LI784" i="94"/>
  <c r="JD786" i="94"/>
  <c r="KJ786" i="94"/>
  <c r="LP786" i="94"/>
  <c r="CW787" i="94"/>
  <c r="BP788" i="94"/>
  <c r="BX788" i="94"/>
  <c r="CF788" i="94"/>
  <c r="CN788" i="94"/>
  <c r="CV788" i="94"/>
  <c r="DD788" i="94"/>
  <c r="DL788" i="94"/>
  <c r="DT788" i="94"/>
  <c r="EB788" i="94"/>
  <c r="EJ788" i="94"/>
  <c r="ER788" i="94"/>
  <c r="EZ788" i="94"/>
  <c r="FH788" i="94"/>
  <c r="FP788" i="94"/>
  <c r="FX788" i="94"/>
  <c r="GF788" i="94"/>
  <c r="GN788" i="94"/>
  <c r="GV788" i="94"/>
  <c r="HD788" i="94"/>
  <c r="HL788" i="94"/>
  <c r="HT788" i="94"/>
  <c r="IB788" i="94"/>
  <c r="IZ788" i="94"/>
  <c r="KF788" i="94"/>
  <c r="LL788" i="94"/>
  <c r="LW788" i="94"/>
  <c r="ME788" i="94"/>
  <c r="MN788" i="94"/>
  <c r="EL789" i="94"/>
  <c r="AE790" i="94"/>
  <c r="BC790" i="94"/>
  <c r="ES790" i="94"/>
  <c r="FQ790" i="94"/>
  <c r="GX790" i="94"/>
  <c r="HV790" i="94"/>
  <c r="LD790" i="94"/>
  <c r="Y791" i="94"/>
  <c r="AU791" i="94"/>
  <c r="EG791" i="94"/>
  <c r="FD791" i="94"/>
  <c r="GD791" i="94"/>
  <c r="AD792" i="94"/>
  <c r="AT792" i="94"/>
  <c r="BJ792" i="94"/>
  <c r="CB792" i="94"/>
  <c r="CX792" i="94"/>
  <c r="DU792" i="94"/>
  <c r="EN792" i="94"/>
  <c r="FK792" i="94"/>
  <c r="GH792" i="94"/>
  <c r="HU792" i="94"/>
  <c r="KI792" i="94"/>
  <c r="MK792" i="94"/>
  <c r="BC793" i="94"/>
  <c r="CU793" i="94"/>
  <c r="EP793" i="94"/>
  <c r="GA793" i="94"/>
  <c r="AK794" i="94"/>
  <c r="BH794" i="94"/>
  <c r="CA794" i="94"/>
  <c r="CW794" i="94"/>
  <c r="DT794" i="94"/>
  <c r="EM794" i="94"/>
  <c r="FJ794" i="94"/>
  <c r="GG794" i="94"/>
  <c r="HR794" i="94"/>
  <c r="IR794" i="94"/>
  <c r="JO794" i="94"/>
  <c r="KH794" i="94"/>
  <c r="LD794" i="94"/>
  <c r="MC794" i="94"/>
  <c r="AN795" i="94"/>
  <c r="EE795" i="94"/>
  <c r="FQ795" i="94"/>
  <c r="AI796" i="94"/>
  <c r="CC796" i="94"/>
  <c r="DZ796" i="94"/>
  <c r="FW796" i="94"/>
  <c r="IG796" i="94"/>
  <c r="KM796" i="94"/>
  <c r="MO796" i="94"/>
  <c r="EG797" i="94"/>
  <c r="AB798" i="94"/>
  <c r="EQ798" i="94"/>
  <c r="HA798" i="94"/>
  <c r="JL798" i="94"/>
  <c r="LI798" i="94"/>
  <c r="AV799" i="94"/>
  <c r="FS799" i="94"/>
  <c r="BF800" i="94"/>
  <c r="DK800" i="94"/>
  <c r="GA800" i="94"/>
  <c r="JI800" i="94"/>
  <c r="BK801" i="94"/>
  <c r="BC802" i="94"/>
  <c r="GY802" i="94"/>
  <c r="BT808" i="94"/>
  <c r="IN779" i="94"/>
  <c r="JV779" i="94"/>
  <c r="KW779" i="94"/>
  <c r="LO779" i="94"/>
  <c r="IF780" i="94"/>
  <c r="IN780" i="94"/>
  <c r="IV780" i="94"/>
  <c r="JD780" i="94"/>
  <c r="JL780" i="94"/>
  <c r="JT780" i="94"/>
  <c r="KB780" i="94"/>
  <c r="KJ780" i="94"/>
  <c r="KR780" i="94"/>
  <c r="KZ780" i="94"/>
  <c r="LH780" i="94"/>
  <c r="LP780" i="94"/>
  <c r="IF782" i="94"/>
  <c r="IN782" i="94"/>
  <c r="IV782" i="94"/>
  <c r="JD782" i="94"/>
  <c r="JL782" i="94"/>
  <c r="JT782" i="94"/>
  <c r="KB782" i="94"/>
  <c r="KJ782" i="94"/>
  <c r="KR782" i="94"/>
  <c r="KZ782" i="94"/>
  <c r="LH782" i="94"/>
  <c r="LP782" i="94"/>
  <c r="IJ784" i="94"/>
  <c r="IR784" i="94"/>
  <c r="IZ784" i="94"/>
  <c r="JH784" i="94"/>
  <c r="JP784" i="94"/>
  <c r="JX784" i="94"/>
  <c r="KF784" i="94"/>
  <c r="KN784" i="94"/>
  <c r="KV784" i="94"/>
  <c r="LD784" i="94"/>
  <c r="LL784" i="94"/>
  <c r="NB784" i="94"/>
  <c r="IJ786" i="94"/>
  <c r="JP786" i="94"/>
  <c r="KV786" i="94"/>
  <c r="NA786" i="94"/>
  <c r="DU787" i="94"/>
  <c r="DW788" i="94"/>
  <c r="EE788" i="94"/>
  <c r="EM788" i="94"/>
  <c r="EU788" i="94"/>
  <c r="FC788" i="94"/>
  <c r="FK788" i="94"/>
  <c r="FS788" i="94"/>
  <c r="GA788" i="94"/>
  <c r="GI788" i="94"/>
  <c r="GQ788" i="94"/>
  <c r="GY788" i="94"/>
  <c r="HG788" i="94"/>
  <c r="HO788" i="94"/>
  <c r="HW788" i="94"/>
  <c r="IF788" i="94"/>
  <c r="JL788" i="94"/>
  <c r="KR788" i="94"/>
  <c r="LR788" i="94"/>
  <c r="LZ788" i="94"/>
  <c r="MH788" i="94"/>
  <c r="AG789" i="94"/>
  <c r="FR789" i="94"/>
  <c r="AM790" i="94"/>
  <c r="CL790" i="94"/>
  <c r="FA790" i="94"/>
  <c r="GH790" i="94"/>
  <c r="HF790" i="94"/>
  <c r="IN790" i="94"/>
  <c r="MB790" i="94"/>
  <c r="AI791" i="94"/>
  <c r="BD791" i="94"/>
  <c r="ER791" i="94"/>
  <c r="FM791" i="94"/>
  <c r="LU791" i="94"/>
  <c r="AK792" i="94"/>
  <c r="BA792" i="94"/>
  <c r="BQ792" i="94"/>
  <c r="CJ792" i="94"/>
  <c r="DF792" i="94"/>
  <c r="EC792" i="94"/>
  <c r="EV792" i="94"/>
  <c r="FS792" i="94"/>
  <c r="GX792" i="94"/>
  <c r="IE792" i="94"/>
  <c r="LO792" i="94"/>
  <c r="AH793" i="94"/>
  <c r="BS793" i="94"/>
  <c r="DK793" i="94"/>
  <c r="FF793" i="94"/>
  <c r="LZ793" i="94"/>
  <c r="AS794" i="94"/>
  <c r="BP794" i="94"/>
  <c r="CI794" i="94"/>
  <c r="DE794" i="94"/>
  <c r="EB794" i="94"/>
  <c r="EV794" i="94"/>
  <c r="FR794" i="94"/>
  <c r="GW794" i="94"/>
  <c r="ID794" i="94"/>
  <c r="IZ794" i="94"/>
  <c r="JW794" i="94"/>
  <c r="KP794" i="94"/>
  <c r="LL794" i="94"/>
  <c r="ND794" i="94"/>
  <c r="AY795" i="94"/>
  <c r="ES795" i="94"/>
  <c r="LS795" i="94"/>
  <c r="AY796" i="94"/>
  <c r="CS796" i="94"/>
  <c r="EW796" i="94"/>
  <c r="GT796" i="94"/>
  <c r="IY796" i="94"/>
  <c r="LJ796" i="94"/>
  <c r="AJ797" i="94"/>
  <c r="FD797" i="94"/>
  <c r="AT798" i="94"/>
  <c r="FN798" i="94"/>
  <c r="HX798" i="94"/>
  <c r="KI798" i="94"/>
  <c r="MF798" i="94"/>
  <c r="EE799" i="94"/>
  <c r="AA800" i="94"/>
  <c r="BX800" i="94"/>
  <c r="EH800" i="94"/>
  <c r="HC800" i="94"/>
  <c r="LD800" i="94"/>
  <c r="DV801" i="94"/>
  <c r="DN802" i="94"/>
  <c r="BR803" i="94"/>
  <c r="IF779" i="94"/>
  <c r="IV779" i="94"/>
  <c r="JM779" i="94"/>
  <c r="KE779" i="94"/>
  <c r="KN779" i="94"/>
  <c r="LF779" i="94"/>
  <c r="IG779" i="94"/>
  <c r="IO779" i="94"/>
  <c r="IW779" i="94"/>
  <c r="JE779" i="94"/>
  <c r="JN779" i="94"/>
  <c r="JW779" i="94"/>
  <c r="KF779" i="94"/>
  <c r="KO779" i="94"/>
  <c r="KX779" i="94"/>
  <c r="LG779" i="94"/>
  <c r="IG780" i="94"/>
  <c r="IO780" i="94"/>
  <c r="IW780" i="94"/>
  <c r="JE780" i="94"/>
  <c r="JM780" i="94"/>
  <c r="JU780" i="94"/>
  <c r="KC780" i="94"/>
  <c r="KK780" i="94"/>
  <c r="KS780" i="94"/>
  <c r="LA780" i="94"/>
  <c r="LI780" i="94"/>
  <c r="IG782" i="94"/>
  <c r="IO782" i="94"/>
  <c r="IW782" i="94"/>
  <c r="JE782" i="94"/>
  <c r="JM782" i="94"/>
  <c r="JU782" i="94"/>
  <c r="KC782" i="94"/>
  <c r="KK782" i="94"/>
  <c r="KS782" i="94"/>
  <c r="LA782" i="94"/>
  <c r="LI782" i="94"/>
  <c r="IK784" i="94"/>
  <c r="IS784" i="94"/>
  <c r="JA784" i="94"/>
  <c r="JI784" i="94"/>
  <c r="JQ784" i="94"/>
  <c r="JY784" i="94"/>
  <c r="KG784" i="94"/>
  <c r="KO784" i="94"/>
  <c r="KW784" i="94"/>
  <c r="LE784" i="94"/>
  <c r="LM784" i="94"/>
  <c r="NC784" i="94"/>
  <c r="IN786" i="94"/>
  <c r="JT786" i="94"/>
  <c r="KZ786" i="94"/>
  <c r="BQ787" i="94"/>
  <c r="EC787" i="94"/>
  <c r="AV788" i="94"/>
  <c r="BD788" i="94"/>
  <c r="BL788" i="94"/>
  <c r="BT788" i="94"/>
  <c r="CB788" i="94"/>
  <c r="CJ788" i="94"/>
  <c r="CR788" i="94"/>
  <c r="CZ788" i="94"/>
  <c r="DH788" i="94"/>
  <c r="DP788" i="94"/>
  <c r="DX788" i="94"/>
  <c r="EF788" i="94"/>
  <c r="EN788" i="94"/>
  <c r="EV788" i="94"/>
  <c r="FD788" i="94"/>
  <c r="FL788" i="94"/>
  <c r="FT788" i="94"/>
  <c r="GB788" i="94"/>
  <c r="GJ788" i="94"/>
  <c r="GR788" i="94"/>
  <c r="GZ788" i="94"/>
  <c r="HH788" i="94"/>
  <c r="HP788" i="94"/>
  <c r="HX788" i="94"/>
  <c r="IJ788" i="94"/>
  <c r="JP788" i="94"/>
  <c r="KV788" i="94"/>
  <c r="LS788" i="94"/>
  <c r="MA788" i="94"/>
  <c r="MI788" i="94"/>
  <c r="AO789" i="94"/>
  <c r="HZ789" i="94"/>
  <c r="AN790" i="94"/>
  <c r="EG790" i="94"/>
  <c r="FE790" i="94"/>
  <c r="GK790" i="94"/>
  <c r="HJ790" i="94"/>
  <c r="IR790" i="94"/>
  <c r="MC790" i="94"/>
  <c r="AJ791" i="94"/>
  <c r="BE791" i="94"/>
  <c r="ES791" i="94"/>
  <c r="FN791" i="94"/>
  <c r="LX791" i="94"/>
  <c r="AL792" i="94"/>
  <c r="BB792" i="94"/>
  <c r="BR792" i="94"/>
  <c r="CO792" i="94"/>
  <c r="DH792" i="94"/>
  <c r="ED792" i="94"/>
  <c r="FB792" i="94"/>
  <c r="FU792" i="94"/>
  <c r="HA792" i="94"/>
  <c r="IY792" i="94"/>
  <c r="LR792" i="94"/>
  <c r="AI793" i="94"/>
  <c r="CD793" i="94"/>
  <c r="DO793" i="94"/>
  <c r="FG793" i="94"/>
  <c r="AB794" i="94"/>
  <c r="AU794" i="94"/>
  <c r="BQ794" i="94"/>
  <c r="CN794" i="94"/>
  <c r="DG794" i="94"/>
  <c r="EC794" i="94"/>
  <c r="FA794" i="94"/>
  <c r="FT794" i="94"/>
  <c r="GX794" i="94"/>
  <c r="II794" i="94"/>
  <c r="JB794" i="94"/>
  <c r="JX794" i="94"/>
  <c r="KU794" i="94"/>
  <c r="LN794" i="94"/>
  <c r="X795" i="94"/>
  <c r="BG795" i="94"/>
  <c r="EU795" i="94"/>
  <c r="LT795" i="94"/>
  <c r="BL796" i="94"/>
  <c r="CU796" i="94"/>
  <c r="EX796" i="94"/>
  <c r="HI796" i="94"/>
  <c r="JF796" i="94"/>
  <c r="LK796" i="94"/>
  <c r="AY797" i="94"/>
  <c r="FF797" i="94"/>
  <c r="AZ798" i="94"/>
  <c r="GC798" i="94"/>
  <c r="IE798" i="94"/>
  <c r="KJ798" i="94"/>
  <c r="X799" i="94"/>
  <c r="EL799" i="94"/>
  <c r="AB800" i="94"/>
  <c r="CM800" i="94"/>
  <c r="EJ800" i="94"/>
  <c r="HL800" i="94"/>
  <c r="LV800" i="94"/>
  <c r="EM801" i="94"/>
  <c r="DO802" i="94"/>
  <c r="DJ804" i="94"/>
  <c r="JD779" i="94"/>
  <c r="HZ779" i="94"/>
  <c r="IH779" i="94"/>
  <c r="IP779" i="94"/>
  <c r="IX779" i="94"/>
  <c r="JF779" i="94"/>
  <c r="JO779" i="94"/>
  <c r="JX779" i="94"/>
  <c r="KG779" i="94"/>
  <c r="KP779" i="94"/>
  <c r="KY779" i="94"/>
  <c r="IH780" i="94"/>
  <c r="IP780" i="94"/>
  <c r="IX780" i="94"/>
  <c r="JF780" i="94"/>
  <c r="JN780" i="94"/>
  <c r="JV780" i="94"/>
  <c r="KD780" i="94"/>
  <c r="KL780" i="94"/>
  <c r="KT780" i="94"/>
  <c r="LB780" i="94"/>
  <c r="LJ780" i="94"/>
  <c r="IH782" i="94"/>
  <c r="IP782" i="94"/>
  <c r="IX782" i="94"/>
  <c r="JF782" i="94"/>
  <c r="JN782" i="94"/>
  <c r="JV782" i="94"/>
  <c r="KD782" i="94"/>
  <c r="KL782" i="94"/>
  <c r="KT782" i="94"/>
  <c r="LB782" i="94"/>
  <c r="LJ782" i="94"/>
  <c r="IL784" i="94"/>
  <c r="IT784" i="94"/>
  <c r="JB784" i="94"/>
  <c r="JJ784" i="94"/>
  <c r="JR784" i="94"/>
  <c r="JZ784" i="94"/>
  <c r="KH784" i="94"/>
  <c r="KP784" i="94"/>
  <c r="KX784" i="94"/>
  <c r="LF784" i="94"/>
  <c r="LN784" i="94"/>
  <c r="IR786" i="94"/>
  <c r="JX786" i="94"/>
  <c r="LD786" i="94"/>
  <c r="AW788" i="94"/>
  <c r="BE788" i="94"/>
  <c r="BM788" i="94"/>
  <c r="BU788" i="94"/>
  <c r="CC788" i="94"/>
  <c r="CK788" i="94"/>
  <c r="CS788" i="94"/>
  <c r="DA788" i="94"/>
  <c r="DI788" i="94"/>
  <c r="DQ788" i="94"/>
  <c r="DY788" i="94"/>
  <c r="EG788" i="94"/>
  <c r="EO788" i="94"/>
  <c r="EW788" i="94"/>
  <c r="FE788" i="94"/>
  <c r="FM788" i="94"/>
  <c r="FU788" i="94"/>
  <c r="GC788" i="94"/>
  <c r="GK788" i="94"/>
  <c r="GS788" i="94"/>
  <c r="HA788" i="94"/>
  <c r="HI788" i="94"/>
  <c r="HQ788" i="94"/>
  <c r="HY788" i="94"/>
  <c r="IN788" i="94"/>
  <c r="JT788" i="94"/>
  <c r="KZ788" i="94"/>
  <c r="LT788" i="94"/>
  <c r="MB788" i="94"/>
  <c r="MJ788" i="94"/>
  <c r="AW789" i="94"/>
  <c r="LU789" i="94"/>
  <c r="AR790" i="94"/>
  <c r="EJ790" i="94"/>
  <c r="FI790" i="94"/>
  <c r="GL790" i="94"/>
  <c r="HN790" i="94"/>
  <c r="JH790" i="94"/>
  <c r="MG790" i="94"/>
  <c r="AM791" i="94"/>
  <c r="BH791" i="94"/>
  <c r="EV791" i="94"/>
  <c r="FQ791" i="94"/>
  <c r="X792" i="94"/>
  <c r="AN792" i="94"/>
  <c r="BD792" i="94"/>
  <c r="BT792" i="94"/>
  <c r="CP792" i="94"/>
  <c r="DM792" i="94"/>
  <c r="EF792" i="94"/>
  <c r="FC792" i="94"/>
  <c r="FZ792" i="94"/>
  <c r="HE792" i="94"/>
  <c r="JC792" i="94"/>
  <c r="LW792" i="94"/>
  <c r="AM793" i="94"/>
  <c r="CE793" i="94"/>
  <c r="DZ793" i="94"/>
  <c r="FK793" i="94"/>
  <c r="AC794" i="94"/>
  <c r="AZ794" i="94"/>
  <c r="BS794" i="94"/>
  <c r="CO794" i="94"/>
  <c r="DL794" i="94"/>
  <c r="EE794" i="94"/>
  <c r="FB794" i="94"/>
  <c r="FY794" i="94"/>
  <c r="HB794" i="94"/>
  <c r="IJ794" i="94"/>
  <c r="JG794" i="94"/>
  <c r="JZ794" i="94"/>
  <c r="KV794" i="94"/>
  <c r="LS794" i="94"/>
  <c r="Z795" i="94"/>
  <c r="BK795" i="94"/>
  <c r="FC795" i="94"/>
  <c r="LV795" i="94"/>
  <c r="BM796" i="94"/>
  <c r="DH796" i="94"/>
  <c r="FE796" i="94"/>
  <c r="HJ796" i="94"/>
  <c r="JU796" i="94"/>
  <c r="LR796" i="94"/>
  <c r="AZ797" i="94"/>
  <c r="FU797" i="94"/>
  <c r="BB798" i="94"/>
  <c r="GI798" i="94"/>
  <c r="IO798" i="94"/>
  <c r="KQ798" i="94"/>
  <c r="Y799" i="94"/>
  <c r="FA799" i="94"/>
  <c r="AI800" i="94"/>
  <c r="CN800" i="94"/>
  <c r="EY800" i="94"/>
  <c r="HN800" i="94"/>
  <c r="ML800" i="94"/>
  <c r="FQ801" i="94"/>
  <c r="EK802" i="94"/>
  <c r="EH804" i="94"/>
  <c r="Q1019" i="94"/>
  <c r="N1223" i="94"/>
  <c r="I962" i="94"/>
  <c r="K962" i="94"/>
  <c r="O966" i="94"/>
  <c r="MY816" i="94"/>
  <c r="MQ816" i="94"/>
  <c r="MX816" i="94"/>
  <c r="MP816" i="94"/>
  <c r="MU816" i="94"/>
  <c r="MW816" i="94"/>
  <c r="MV816" i="94"/>
  <c r="MT816" i="94"/>
  <c r="MR816" i="94"/>
  <c r="MS816" i="94"/>
  <c r="MS815" i="94"/>
  <c r="MR815" i="94"/>
  <c r="MY815" i="94"/>
  <c r="MQ815" i="94"/>
  <c r="MW815" i="94"/>
  <c r="MX815" i="94"/>
  <c r="MP815" i="94"/>
  <c r="MV815" i="94"/>
  <c r="MU815" i="94"/>
  <c r="MT815" i="94"/>
  <c r="MU814" i="94"/>
  <c r="MT814" i="94"/>
  <c r="MQ814" i="94"/>
  <c r="MS814" i="94"/>
  <c r="MR814" i="94"/>
  <c r="MY814" i="94"/>
  <c r="MX814" i="94"/>
  <c r="MP814" i="94"/>
  <c r="MV814" i="94"/>
  <c r="MW814" i="94"/>
  <c r="MW813" i="94"/>
  <c r="MV813" i="94"/>
  <c r="MS813" i="94"/>
  <c r="MU813" i="94"/>
  <c r="MT813" i="94"/>
  <c r="MR813" i="94"/>
  <c r="MP813" i="94"/>
  <c r="MY813" i="94"/>
  <c r="MQ813" i="94"/>
  <c r="MX813" i="94"/>
  <c r="MY812" i="94"/>
  <c r="MQ812" i="94"/>
  <c r="MX812" i="94"/>
  <c r="MP812" i="94"/>
  <c r="MU812" i="94"/>
  <c r="MW812" i="94"/>
  <c r="MV812" i="94"/>
  <c r="MT812" i="94"/>
  <c r="MS812" i="94"/>
  <c r="MR812" i="94"/>
  <c r="MS811" i="94"/>
  <c r="MR811" i="94"/>
  <c r="MW811" i="94"/>
  <c r="MY811" i="94"/>
  <c r="MQ811" i="94"/>
  <c r="MX811" i="94"/>
  <c r="MP811" i="94"/>
  <c r="MV811" i="94"/>
  <c r="MT811" i="94"/>
  <c r="MU811" i="94"/>
  <c r="MU810" i="94"/>
  <c r="MT810" i="94"/>
  <c r="MQ810" i="94"/>
  <c r="MS810" i="94"/>
  <c r="MY810" i="94"/>
  <c r="MR810" i="94"/>
  <c r="MX810" i="94"/>
  <c r="MP810" i="94"/>
  <c r="MW810" i="94"/>
  <c r="MV810" i="94"/>
  <c r="MW809" i="94"/>
  <c r="MV809" i="94"/>
  <c r="MS809" i="94"/>
  <c r="MU809" i="94"/>
  <c r="MT809" i="94"/>
  <c r="MR809" i="94"/>
  <c r="MX809" i="94"/>
  <c r="MY809" i="94"/>
  <c r="MQ809" i="94"/>
  <c r="MP809" i="94"/>
  <c r="MY808" i="94"/>
  <c r="MQ808" i="94"/>
  <c r="MX808" i="94"/>
  <c r="MP808" i="94"/>
  <c r="MW808" i="94"/>
  <c r="MU808" i="94"/>
  <c r="MV808" i="94"/>
  <c r="MT808" i="94"/>
  <c r="MR808" i="94"/>
  <c r="MS808" i="94"/>
  <c r="MS807" i="94"/>
  <c r="MR807" i="94"/>
  <c r="MW807" i="94"/>
  <c r="MY807" i="94"/>
  <c r="MQ807" i="94"/>
  <c r="MX807" i="94"/>
  <c r="MP807" i="94"/>
  <c r="MV807" i="94"/>
  <c r="MU807" i="94"/>
  <c r="MT807" i="94"/>
  <c r="MU806" i="94"/>
  <c r="MT806" i="94"/>
  <c r="MQ806" i="94"/>
  <c r="MS806" i="94"/>
  <c r="MY806" i="94"/>
  <c r="MR806" i="94"/>
  <c r="MX806" i="94"/>
  <c r="MP806" i="94"/>
  <c r="MV806" i="94"/>
  <c r="MW806" i="94"/>
  <c r="MW805" i="94"/>
  <c r="MV805" i="94"/>
  <c r="MU805" i="94"/>
  <c r="MS805" i="94"/>
  <c r="MT805" i="94"/>
  <c r="MR805" i="94"/>
  <c r="MP805" i="94"/>
  <c r="MY805" i="94"/>
  <c r="MQ805" i="94"/>
  <c r="MX805" i="94"/>
  <c r="MY804" i="94"/>
  <c r="MQ804" i="94"/>
  <c r="MX804" i="94"/>
  <c r="MP804" i="94"/>
  <c r="MU804" i="94"/>
  <c r="MW804" i="94"/>
  <c r="MV804" i="94"/>
  <c r="MT804" i="94"/>
  <c r="MR804" i="94"/>
  <c r="MS804" i="94"/>
  <c r="MS803" i="94"/>
  <c r="MR803" i="94"/>
  <c r="MY803" i="94"/>
  <c r="MQ803" i="94"/>
  <c r="MW803" i="94"/>
  <c r="MX803" i="94"/>
  <c r="MP803" i="94"/>
  <c r="MV803" i="94"/>
  <c r="MU803" i="94"/>
  <c r="MT803" i="94"/>
  <c r="MU802" i="94"/>
  <c r="MT802" i="94"/>
  <c r="MY802" i="94"/>
  <c r="MS802" i="94"/>
  <c r="MQ802" i="94"/>
  <c r="MR802" i="94"/>
  <c r="MX802" i="94"/>
  <c r="MP802" i="94"/>
  <c r="MV802" i="94"/>
  <c r="MW802" i="94"/>
  <c r="MW801" i="94"/>
  <c r="MV801" i="94"/>
  <c r="MS801" i="94"/>
  <c r="MU801" i="94"/>
  <c r="MT801" i="94"/>
  <c r="MR801" i="94"/>
  <c r="MP801" i="94"/>
  <c r="MY801" i="94"/>
  <c r="MQ801" i="94"/>
  <c r="MX801" i="94"/>
  <c r="MY800" i="94"/>
  <c r="MQ800" i="94"/>
  <c r="MX800" i="94"/>
  <c r="MP800" i="94"/>
  <c r="MW800" i="94"/>
  <c r="MU800" i="94"/>
  <c r="MV800" i="94"/>
  <c r="MT800" i="94"/>
  <c r="MS800" i="94"/>
  <c r="MR800" i="94"/>
  <c r="MS799" i="94"/>
  <c r="MR799" i="94"/>
  <c r="MW799" i="94"/>
  <c r="MY799" i="94"/>
  <c r="MQ799" i="94"/>
  <c r="MX799" i="94"/>
  <c r="MP799" i="94"/>
  <c r="MV799" i="94"/>
  <c r="MT799" i="94"/>
  <c r="MU799" i="94"/>
  <c r="MU798" i="94"/>
  <c r="MT798" i="94"/>
  <c r="MY798" i="94"/>
  <c r="MS798" i="94"/>
  <c r="MQ798" i="94"/>
  <c r="MR798" i="94"/>
  <c r="MX798" i="94"/>
  <c r="MP798" i="94"/>
  <c r="MW798" i="94"/>
  <c r="MV798" i="94"/>
  <c r="MW797" i="94"/>
  <c r="MV797" i="94"/>
  <c r="MS797" i="94"/>
  <c r="MU797" i="94"/>
  <c r="MT797" i="94"/>
  <c r="MR797" i="94"/>
  <c r="MX797" i="94"/>
  <c r="MY797" i="94"/>
  <c r="MQ797" i="94"/>
  <c r="MP797" i="94"/>
  <c r="MY796" i="94"/>
  <c r="MQ796" i="94"/>
  <c r="MX796" i="94"/>
  <c r="MP796" i="94"/>
  <c r="MW796" i="94"/>
  <c r="MU796" i="94"/>
  <c r="MV796" i="94"/>
  <c r="MT796" i="94"/>
  <c r="MR796" i="94"/>
  <c r="MS796" i="94"/>
  <c r="MS795" i="94"/>
  <c r="MR795" i="94"/>
  <c r="MW795" i="94"/>
  <c r="MY795" i="94"/>
  <c r="MQ795" i="94"/>
  <c r="MX795" i="94"/>
  <c r="MP795" i="94"/>
  <c r="MV795" i="94"/>
  <c r="MU795" i="94"/>
  <c r="MT795" i="94"/>
  <c r="MU785" i="94"/>
  <c r="MT785" i="94"/>
  <c r="MS785" i="94"/>
  <c r="MY785" i="94"/>
  <c r="MR785" i="94"/>
  <c r="MQ785" i="94"/>
  <c r="MX785" i="94"/>
  <c r="MP785" i="94"/>
  <c r="MV785" i="94"/>
  <c r="MW785" i="94"/>
  <c r="MW784" i="94"/>
  <c r="MV784" i="94"/>
  <c r="MS784" i="94"/>
  <c r="MU784" i="94"/>
  <c r="MT784" i="94"/>
  <c r="MR784" i="94"/>
  <c r="MP784" i="94"/>
  <c r="MY784" i="94"/>
  <c r="MQ784" i="94"/>
  <c r="MX784" i="94"/>
  <c r="MY783" i="94"/>
  <c r="MQ783" i="94"/>
  <c r="MX783" i="94"/>
  <c r="MP783" i="94"/>
  <c r="MW783" i="94"/>
  <c r="MU783" i="94"/>
  <c r="MV783" i="94"/>
  <c r="MT783" i="94"/>
  <c r="MS783" i="94"/>
  <c r="MR783" i="94"/>
  <c r="MS782" i="94"/>
  <c r="MR782" i="94"/>
  <c r="MW782" i="94"/>
  <c r="MY782" i="94"/>
  <c r="MQ782" i="94"/>
  <c r="MX782" i="94"/>
  <c r="MP782" i="94"/>
  <c r="MV782" i="94"/>
  <c r="MT782" i="94"/>
  <c r="MU782" i="94"/>
  <c r="MU781" i="94"/>
  <c r="MT781" i="94"/>
  <c r="MQ781" i="94"/>
  <c r="MS781" i="94"/>
  <c r="MY781" i="94"/>
  <c r="MR781" i="94"/>
  <c r="MX781" i="94"/>
  <c r="MP781" i="94"/>
  <c r="MW781" i="94"/>
  <c r="MV781" i="94"/>
  <c r="MW780" i="94"/>
  <c r="MV780" i="94"/>
  <c r="MU780" i="94"/>
  <c r="MS780" i="94"/>
  <c r="MT780" i="94"/>
  <c r="MR780" i="94"/>
  <c r="MX780" i="94"/>
  <c r="MY780" i="94"/>
  <c r="MQ780" i="94"/>
  <c r="MP780" i="94"/>
  <c r="MN794" i="94"/>
  <c r="MN792" i="94"/>
  <c r="ML786" i="94"/>
  <c r="HR779" i="94"/>
  <c r="HG795" i="94"/>
  <c r="MM783" i="94"/>
  <c r="H953" i="94"/>
  <c r="K953" i="94"/>
  <c r="MY779" i="94"/>
  <c r="MQ779" i="94"/>
  <c r="MX779" i="94"/>
  <c r="MP779" i="94"/>
  <c r="MW779" i="94"/>
  <c r="MU779" i="94"/>
  <c r="MV779" i="94"/>
  <c r="MT779" i="94"/>
  <c r="MR779" i="94"/>
  <c r="MS779" i="94"/>
  <c r="EQ794" i="94"/>
  <c r="FA792" i="94"/>
  <c r="EP791" i="94"/>
  <c r="EY786" i="94"/>
  <c r="AD561" i="94"/>
  <c r="FX812" i="94"/>
  <c r="M957" i="94"/>
  <c r="K980" i="94"/>
  <c r="I984" i="94"/>
  <c r="IF792" i="94"/>
  <c r="IJ792" i="94"/>
  <c r="IN792" i="94"/>
  <c r="IR792" i="94"/>
  <c r="IV792" i="94"/>
  <c r="IZ792" i="94"/>
  <c r="JD792" i="94"/>
  <c r="JH792" i="94"/>
  <c r="JL792" i="94"/>
  <c r="JP792" i="94"/>
  <c r="JT792" i="94"/>
  <c r="JX792" i="94"/>
  <c r="KB792" i="94"/>
  <c r="KF792" i="94"/>
  <c r="KJ792" i="94"/>
  <c r="KN792" i="94"/>
  <c r="KR792" i="94"/>
  <c r="KV792" i="94"/>
  <c r="KZ792" i="94"/>
  <c r="LD792" i="94"/>
  <c r="LH792" i="94"/>
  <c r="LL792" i="94"/>
  <c r="LP792" i="94"/>
  <c r="IG792" i="94"/>
  <c r="IK792" i="94"/>
  <c r="IO792" i="94"/>
  <c r="IS792" i="94"/>
  <c r="IW792" i="94"/>
  <c r="JA792" i="94"/>
  <c r="JE792" i="94"/>
  <c r="JI792" i="94"/>
  <c r="JM792" i="94"/>
  <c r="JQ792" i="94"/>
  <c r="JU792" i="94"/>
  <c r="JY792" i="94"/>
  <c r="KC792" i="94"/>
  <c r="KG792" i="94"/>
  <c r="KK792" i="94"/>
  <c r="KO792" i="94"/>
  <c r="KS792" i="94"/>
  <c r="KW792" i="94"/>
  <c r="LA792" i="94"/>
  <c r="LE792" i="94"/>
  <c r="LI792" i="94"/>
  <c r="LM792" i="94"/>
  <c r="IH792" i="94"/>
  <c r="IL792" i="94"/>
  <c r="IP792" i="94"/>
  <c r="IT792" i="94"/>
  <c r="IX792" i="94"/>
  <c r="JB792" i="94"/>
  <c r="JF792" i="94"/>
  <c r="JJ792" i="94"/>
  <c r="JN792" i="94"/>
  <c r="JR792" i="94"/>
  <c r="JV792" i="94"/>
  <c r="JZ792" i="94"/>
  <c r="KD792" i="94"/>
  <c r="KH792" i="94"/>
  <c r="KL792" i="94"/>
  <c r="KP792" i="94"/>
  <c r="KT792" i="94"/>
  <c r="KX792" i="94"/>
  <c r="LB792" i="94"/>
  <c r="LF792" i="94"/>
  <c r="LJ792" i="94"/>
  <c r="LN792" i="94"/>
  <c r="NA792" i="94"/>
  <c r="GI794" i="94"/>
  <c r="GM794" i="94"/>
  <c r="GQ794" i="94"/>
  <c r="GU794" i="94"/>
  <c r="GY794" i="94"/>
  <c r="HC794" i="94"/>
  <c r="HG794" i="94"/>
  <c r="HK794" i="94"/>
  <c r="HO794" i="94"/>
  <c r="HS794" i="94"/>
  <c r="HW794" i="94"/>
  <c r="MA794" i="94"/>
  <c r="ME794" i="94"/>
  <c r="MI794" i="94"/>
  <c r="MM794" i="94"/>
  <c r="GJ794" i="94"/>
  <c r="GN794" i="94"/>
  <c r="GR794" i="94"/>
  <c r="GV794" i="94"/>
  <c r="GZ794" i="94"/>
  <c r="HD794" i="94"/>
  <c r="HH794" i="94"/>
  <c r="HL794" i="94"/>
  <c r="HP794" i="94"/>
  <c r="HT794" i="94"/>
  <c r="HX794" i="94"/>
  <c r="MB794" i="94"/>
  <c r="MF794" i="94"/>
  <c r="MJ794" i="94"/>
  <c r="GI792" i="94"/>
  <c r="GM792" i="94"/>
  <c r="GQ792" i="94"/>
  <c r="GU792" i="94"/>
  <c r="GY792" i="94"/>
  <c r="HC792" i="94"/>
  <c r="HG792" i="94"/>
  <c r="HK792" i="94"/>
  <c r="HO792" i="94"/>
  <c r="HS792" i="94"/>
  <c r="HW792" i="94"/>
  <c r="MA792" i="94"/>
  <c r="ME792" i="94"/>
  <c r="MI792" i="94"/>
  <c r="MM792" i="94"/>
  <c r="GJ792" i="94"/>
  <c r="GN792" i="94"/>
  <c r="GR792" i="94"/>
  <c r="GV792" i="94"/>
  <c r="GZ792" i="94"/>
  <c r="HD792" i="94"/>
  <c r="HH792" i="94"/>
  <c r="HL792" i="94"/>
  <c r="HP792" i="94"/>
  <c r="HT792" i="94"/>
  <c r="HX792" i="94"/>
  <c r="MB792" i="94"/>
  <c r="MF792" i="94"/>
  <c r="MJ792" i="94"/>
  <c r="LX793" i="94"/>
  <c r="MZ792" i="94"/>
  <c r="ND792" i="94"/>
  <c r="E818" i="94"/>
  <c r="NA790" i="94"/>
  <c r="MY794" i="94"/>
  <c r="MU794" i="94"/>
  <c r="MQ794" i="94"/>
  <c r="MX794" i="94"/>
  <c r="MT794" i="94"/>
  <c r="MP794" i="94"/>
  <c r="MW794" i="94"/>
  <c r="MS794" i="94"/>
  <c r="MV794" i="94"/>
  <c r="MR794" i="94"/>
  <c r="X793" i="94"/>
  <c r="AB793" i="94"/>
  <c r="AF793" i="94"/>
  <c r="AJ793" i="94"/>
  <c r="AN793" i="94"/>
  <c r="AR793" i="94"/>
  <c r="AV793" i="94"/>
  <c r="AZ793" i="94"/>
  <c r="BD793" i="94"/>
  <c r="BH793" i="94"/>
  <c r="BL793" i="94"/>
  <c r="BP793" i="94"/>
  <c r="BT793" i="94"/>
  <c r="BX793" i="94"/>
  <c r="CB793" i="94"/>
  <c r="CF793" i="94"/>
  <c r="CJ793" i="94"/>
  <c r="CN793" i="94"/>
  <c r="CR793" i="94"/>
  <c r="CV793" i="94"/>
  <c r="CZ793" i="94"/>
  <c r="DD793" i="94"/>
  <c r="DH793" i="94"/>
  <c r="DL793" i="94"/>
  <c r="DP793" i="94"/>
  <c r="DT793" i="94"/>
  <c r="DX793" i="94"/>
  <c r="EB793" i="94"/>
  <c r="EF793" i="94"/>
  <c r="EJ793" i="94"/>
  <c r="EN793" i="94"/>
  <c r="ER793" i="94"/>
  <c r="EV793" i="94"/>
  <c r="EZ793" i="94"/>
  <c r="FD793" i="94"/>
  <c r="FH793" i="94"/>
  <c r="FL793" i="94"/>
  <c r="FP793" i="94"/>
  <c r="FT793" i="94"/>
  <c r="FX793" i="94"/>
  <c r="GB793" i="94"/>
  <c r="GF793" i="94"/>
  <c r="LS793" i="94"/>
  <c r="LW793" i="94"/>
  <c r="Y793" i="94"/>
  <c r="AC793" i="94"/>
  <c r="AG793" i="94"/>
  <c r="AK793" i="94"/>
  <c r="AO793" i="94"/>
  <c r="AS793" i="94"/>
  <c r="AW793" i="94"/>
  <c r="BA793" i="94"/>
  <c r="BE793" i="94"/>
  <c r="BI793" i="94"/>
  <c r="BM793" i="94"/>
  <c r="BQ793" i="94"/>
  <c r="BU793" i="94"/>
  <c r="BY793" i="94"/>
  <c r="CC793" i="94"/>
  <c r="CG793" i="94"/>
  <c r="CK793" i="94"/>
  <c r="CO793" i="94"/>
  <c r="CS793" i="94"/>
  <c r="CW793" i="94"/>
  <c r="DA793" i="94"/>
  <c r="DE793" i="94"/>
  <c r="DI793" i="94"/>
  <c r="DM793" i="94"/>
  <c r="DQ793" i="94"/>
  <c r="DU793" i="94"/>
  <c r="DY793" i="94"/>
  <c r="EC793" i="94"/>
  <c r="EG793" i="94"/>
  <c r="EK793" i="94"/>
  <c r="EO793" i="94"/>
  <c r="ES793" i="94"/>
  <c r="EW793" i="94"/>
  <c r="FA793" i="94"/>
  <c r="FE793" i="94"/>
  <c r="FI793" i="94"/>
  <c r="FM793" i="94"/>
  <c r="FQ793" i="94"/>
  <c r="FU793" i="94"/>
  <c r="FY793" i="94"/>
  <c r="GC793" i="94"/>
  <c r="HU793" i="94"/>
  <c r="LT793" i="94"/>
  <c r="MW793" i="94"/>
  <c r="MS793" i="94"/>
  <c r="MT793" i="94"/>
  <c r="MV793" i="94"/>
  <c r="MR793" i="94"/>
  <c r="MX793" i="94"/>
  <c r="MY793" i="94"/>
  <c r="MU793" i="94"/>
  <c r="MQ793" i="94"/>
  <c r="MP793" i="94"/>
  <c r="MY792" i="94"/>
  <c r="MU792" i="94"/>
  <c r="MQ792" i="94"/>
  <c r="MX792" i="94"/>
  <c r="MT792" i="94"/>
  <c r="MP792" i="94"/>
  <c r="MV792" i="94"/>
  <c r="MW792" i="94"/>
  <c r="MS792" i="94"/>
  <c r="MR792" i="94"/>
  <c r="Y790" i="94"/>
  <c r="AC790" i="94"/>
  <c r="AG790" i="94"/>
  <c r="AK790" i="94"/>
  <c r="AO790" i="94"/>
  <c r="AS790" i="94"/>
  <c r="AW790" i="94"/>
  <c r="BA790" i="94"/>
  <c r="BE790" i="94"/>
  <c r="BI790" i="94"/>
  <c r="ED790" i="94"/>
  <c r="EH790" i="94"/>
  <c r="EL790" i="94"/>
  <c r="EP790" i="94"/>
  <c r="ET790" i="94"/>
  <c r="EX790" i="94"/>
  <c r="FB790" i="94"/>
  <c r="FF790" i="94"/>
  <c r="FJ790" i="94"/>
  <c r="FN790" i="94"/>
  <c r="FR790" i="94"/>
  <c r="FV790" i="94"/>
  <c r="GE790" i="94"/>
  <c r="GI790" i="94"/>
  <c r="GM790" i="94"/>
  <c r="GQ790" i="94"/>
  <c r="GU790" i="94"/>
  <c r="GY790" i="94"/>
  <c r="HC790" i="94"/>
  <c r="HG790" i="94"/>
  <c r="HK790" i="94"/>
  <c r="HO790" i="94"/>
  <c r="HS790" i="94"/>
  <c r="HW790" i="94"/>
  <c r="IA790" i="94"/>
  <c r="IF790" i="94"/>
  <c r="IV790" i="94"/>
  <c r="JL790" i="94"/>
  <c r="KB790" i="94"/>
  <c r="KR790" i="94"/>
  <c r="LH790" i="94"/>
  <c r="LR790" i="94"/>
  <c r="LV790" i="94"/>
  <c r="LZ790" i="94"/>
  <c r="MD790" i="94"/>
  <c r="MH790" i="94"/>
  <c r="ML790" i="94"/>
  <c r="NB790" i="94"/>
  <c r="Z790" i="94"/>
  <c r="AD790" i="94"/>
  <c r="AH790" i="94"/>
  <c r="AL790" i="94"/>
  <c r="AP790" i="94"/>
  <c r="AT790" i="94"/>
  <c r="AX790" i="94"/>
  <c r="BB790" i="94"/>
  <c r="BF790" i="94"/>
  <c r="BJ790" i="94"/>
  <c r="EE790" i="94"/>
  <c r="EI790" i="94"/>
  <c r="EM790" i="94"/>
  <c r="EQ790" i="94"/>
  <c r="EU790" i="94"/>
  <c r="EY790" i="94"/>
  <c r="FC790" i="94"/>
  <c r="FG790" i="94"/>
  <c r="FK790" i="94"/>
  <c r="FO790" i="94"/>
  <c r="FS790" i="94"/>
  <c r="GB790" i="94"/>
  <c r="GF790" i="94"/>
  <c r="GJ790" i="94"/>
  <c r="GN790" i="94"/>
  <c r="GR790" i="94"/>
  <c r="GV790" i="94"/>
  <c r="GZ790" i="94"/>
  <c r="HD790" i="94"/>
  <c r="HH790" i="94"/>
  <c r="HL790" i="94"/>
  <c r="HP790" i="94"/>
  <c r="HT790" i="94"/>
  <c r="HX790" i="94"/>
  <c r="IB790" i="94"/>
  <c r="IJ790" i="94"/>
  <c r="IZ790" i="94"/>
  <c r="JP790" i="94"/>
  <c r="KF790" i="94"/>
  <c r="KV790" i="94"/>
  <c r="LL790" i="94"/>
  <c r="LS790" i="94"/>
  <c r="LW790" i="94"/>
  <c r="MA790" i="94"/>
  <c r="ME790" i="94"/>
  <c r="MI790" i="94"/>
  <c r="NA788" i="94"/>
  <c r="LW791" i="94"/>
  <c r="LT789" i="94"/>
  <c r="IG790" i="94"/>
  <c r="IK790" i="94"/>
  <c r="IO790" i="94"/>
  <c r="IS790" i="94"/>
  <c r="IW790" i="94"/>
  <c r="JA790" i="94"/>
  <c r="JE790" i="94"/>
  <c r="JI790" i="94"/>
  <c r="JM790" i="94"/>
  <c r="JQ790" i="94"/>
  <c r="JU790" i="94"/>
  <c r="JY790" i="94"/>
  <c r="KC790" i="94"/>
  <c r="KG790" i="94"/>
  <c r="KK790" i="94"/>
  <c r="KO790" i="94"/>
  <c r="KS790" i="94"/>
  <c r="KW790" i="94"/>
  <c r="LA790" i="94"/>
  <c r="LE790" i="94"/>
  <c r="LI790" i="94"/>
  <c r="LM790" i="94"/>
  <c r="NC790" i="94"/>
  <c r="IH790" i="94"/>
  <c r="IL790" i="94"/>
  <c r="IP790" i="94"/>
  <c r="IT790" i="94"/>
  <c r="IX790" i="94"/>
  <c r="JB790" i="94"/>
  <c r="JF790" i="94"/>
  <c r="JJ790" i="94"/>
  <c r="JN790" i="94"/>
  <c r="JR790" i="94"/>
  <c r="JV790" i="94"/>
  <c r="JZ790" i="94"/>
  <c r="KD790" i="94"/>
  <c r="KH790" i="94"/>
  <c r="KL790" i="94"/>
  <c r="KP790" i="94"/>
  <c r="KT790" i="94"/>
  <c r="KX790" i="94"/>
  <c r="LB790" i="94"/>
  <c r="LF790" i="94"/>
  <c r="LJ790" i="94"/>
  <c r="LN790" i="94"/>
  <c r="MZ790" i="94"/>
  <c r="ND790" i="94"/>
  <c r="IE790" i="94"/>
  <c r="II790" i="94"/>
  <c r="IM790" i="94"/>
  <c r="IQ790" i="94"/>
  <c r="IU790" i="94"/>
  <c r="IY790" i="94"/>
  <c r="JC790" i="94"/>
  <c r="JG790" i="94"/>
  <c r="JK790" i="94"/>
  <c r="JO790" i="94"/>
  <c r="JS790" i="94"/>
  <c r="JW790" i="94"/>
  <c r="KA790" i="94"/>
  <c r="KE790" i="94"/>
  <c r="KI790" i="94"/>
  <c r="KM790" i="94"/>
  <c r="KQ790" i="94"/>
  <c r="KU790" i="94"/>
  <c r="KY790" i="94"/>
  <c r="LC790" i="94"/>
  <c r="LG790" i="94"/>
  <c r="LK790" i="94"/>
  <c r="LO790" i="94"/>
  <c r="IG788" i="94"/>
  <c r="IK788" i="94"/>
  <c r="IO788" i="94"/>
  <c r="IS788" i="94"/>
  <c r="IW788" i="94"/>
  <c r="JA788" i="94"/>
  <c r="JE788" i="94"/>
  <c r="JI788" i="94"/>
  <c r="JM788" i="94"/>
  <c r="JQ788" i="94"/>
  <c r="JU788" i="94"/>
  <c r="JY788" i="94"/>
  <c r="KC788" i="94"/>
  <c r="KG788" i="94"/>
  <c r="KK788" i="94"/>
  <c r="KO788" i="94"/>
  <c r="KS788" i="94"/>
  <c r="KW788" i="94"/>
  <c r="LA788" i="94"/>
  <c r="LE788" i="94"/>
  <c r="LI788" i="94"/>
  <c r="LM788" i="94"/>
  <c r="NC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MZ788" i="94"/>
  <c r="ND788" i="94"/>
  <c r="IE788" i="94"/>
  <c r="II788" i="94"/>
  <c r="IM788" i="94"/>
  <c r="IQ788" i="94"/>
  <c r="IU788" i="94"/>
  <c r="IY788" i="94"/>
  <c r="JC788" i="94"/>
  <c r="JG788" i="94"/>
  <c r="JK788" i="94"/>
  <c r="JO788" i="94"/>
  <c r="JS788" i="94"/>
  <c r="JW788" i="94"/>
  <c r="KA788" i="94"/>
  <c r="KE788" i="94"/>
  <c r="KI788" i="94"/>
  <c r="KM788" i="94"/>
  <c r="KQ788" i="94"/>
  <c r="KU788" i="94"/>
  <c r="KY788" i="94"/>
  <c r="LC788" i="94"/>
  <c r="LG788" i="94"/>
  <c r="LK788" i="94"/>
  <c r="LO788" i="94"/>
  <c r="IG786" i="94"/>
  <c r="IK786" i="94"/>
  <c r="IO786" i="94"/>
  <c r="IS786" i="94"/>
  <c r="IW786" i="94"/>
  <c r="JA786" i="94"/>
  <c r="JE786" i="94"/>
  <c r="JI786" i="94"/>
  <c r="JM786" i="94"/>
  <c r="JQ786" i="94"/>
  <c r="JU786" i="94"/>
  <c r="JY786" i="94"/>
  <c r="KC786" i="94"/>
  <c r="KG786" i="94"/>
  <c r="KK786" i="94"/>
  <c r="KO786" i="94"/>
  <c r="KS786" i="94"/>
  <c r="KW786" i="94"/>
  <c r="LA786" i="94"/>
  <c r="LE786" i="94"/>
  <c r="LI786" i="94"/>
  <c r="LM786" i="94"/>
  <c r="NB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NC786" i="94"/>
  <c r="IE786" i="94"/>
  <c r="II786" i="94"/>
  <c r="IM786" i="94"/>
  <c r="IQ786" i="94"/>
  <c r="IU786" i="94"/>
  <c r="IY786" i="94"/>
  <c r="JC786" i="94"/>
  <c r="JG786" i="94"/>
  <c r="JK786" i="94"/>
  <c r="JO786" i="94"/>
  <c r="JS786" i="94"/>
  <c r="JW786" i="94"/>
  <c r="KA786" i="94"/>
  <c r="KE786" i="94"/>
  <c r="KI786" i="94"/>
  <c r="KM786" i="94"/>
  <c r="KQ786" i="94"/>
  <c r="KU786" i="94"/>
  <c r="KY786" i="94"/>
  <c r="LC786" i="94"/>
  <c r="LG786" i="94"/>
  <c r="LK786" i="94"/>
  <c r="LO786" i="94"/>
  <c r="MZ786" i="94"/>
  <c r="MB786" i="94"/>
  <c r="GI786" i="94"/>
  <c r="GM786" i="94"/>
  <c r="GQ786" i="94"/>
  <c r="GU786" i="94"/>
  <c r="GY786" i="94"/>
  <c r="HC786" i="94"/>
  <c r="HG786" i="94"/>
  <c r="HK786" i="94"/>
  <c r="HO786" i="94"/>
  <c r="HS786" i="94"/>
  <c r="HW786" i="94"/>
  <c r="MA786" i="94"/>
  <c r="ME786" i="94"/>
  <c r="MI786" i="94"/>
  <c r="MM786" i="94"/>
  <c r="GJ786" i="94"/>
  <c r="GR786" i="94"/>
  <c r="GZ786" i="94"/>
  <c r="HH786" i="94"/>
  <c r="HL786" i="94"/>
  <c r="HT786" i="94"/>
  <c r="MF786" i="94"/>
  <c r="MJ786" i="94"/>
  <c r="GG786" i="94"/>
  <c r="GK786" i="94"/>
  <c r="GO786" i="94"/>
  <c r="GS786" i="94"/>
  <c r="GW786" i="94"/>
  <c r="HA786" i="94"/>
  <c r="HE786" i="94"/>
  <c r="HI786" i="94"/>
  <c r="HM786" i="94"/>
  <c r="HQ786" i="94"/>
  <c r="HU786" i="94"/>
  <c r="HY786" i="94"/>
  <c r="MC786" i="94"/>
  <c r="MG786" i="94"/>
  <c r="MK786" i="94"/>
  <c r="MO786" i="94"/>
  <c r="GN786" i="94"/>
  <c r="GV786" i="94"/>
  <c r="HD786" i="94"/>
  <c r="HP786" i="94"/>
  <c r="HX786" i="94"/>
  <c r="MN786" i="94"/>
  <c r="GH786" i="94"/>
  <c r="GL786" i="94"/>
  <c r="GP786" i="94"/>
  <c r="GT786" i="94"/>
  <c r="GX786" i="94"/>
  <c r="HB786" i="94"/>
  <c r="HF786" i="94"/>
  <c r="HJ786" i="94"/>
  <c r="HN786" i="94"/>
  <c r="HR786" i="94"/>
  <c r="HV786" i="94"/>
  <c r="MD786" i="94"/>
  <c r="MH786" i="94"/>
  <c r="AB789" i="94"/>
  <c r="AJ789" i="94"/>
  <c r="AR789" i="94"/>
  <c r="AZ789" i="94"/>
  <c r="BH789" i="94"/>
  <c r="CT789" i="94"/>
  <c r="EG789" i="94"/>
  <c r="EO789" i="94"/>
  <c r="EW789" i="94"/>
  <c r="FE789" i="94"/>
  <c r="FM789" i="94"/>
  <c r="FU789" i="94"/>
  <c r="LX789" i="94"/>
  <c r="AC789" i="94"/>
  <c r="AK789" i="94"/>
  <c r="AS789" i="94"/>
  <c r="BA789" i="94"/>
  <c r="BI789" i="94"/>
  <c r="DB789" i="94"/>
  <c r="EH789" i="94"/>
  <c r="EP789" i="94"/>
  <c r="EX789" i="94"/>
  <c r="FF789" i="94"/>
  <c r="FN789" i="94"/>
  <c r="FV789" i="94"/>
  <c r="LQ789" i="94"/>
  <c r="LY789" i="94"/>
  <c r="LW789" i="94"/>
  <c r="X789" i="94"/>
  <c r="AF789" i="94"/>
  <c r="AN789" i="94"/>
  <c r="AV789" i="94"/>
  <c r="BD789" i="94"/>
  <c r="BN789" i="94"/>
  <c r="DZ789" i="94"/>
  <c r="EK789" i="94"/>
  <c r="ES789" i="94"/>
  <c r="FA789" i="94"/>
  <c r="FI789" i="94"/>
  <c r="FQ789" i="94"/>
  <c r="GD789" i="94"/>
  <c r="Z791" i="94"/>
  <c r="AD791" i="94"/>
  <c r="AH791" i="94"/>
  <c r="AL791" i="94"/>
  <c r="AP791" i="94"/>
  <c r="AT791" i="94"/>
  <c r="AX791" i="94"/>
  <c r="BB791" i="94"/>
  <c r="BF791" i="94"/>
  <c r="BJ791" i="94"/>
  <c r="EE791" i="94"/>
  <c r="EI791" i="94"/>
  <c r="EM791" i="94"/>
  <c r="EQ791" i="94"/>
  <c r="EU791" i="94"/>
  <c r="EY791" i="94"/>
  <c r="FC791" i="94"/>
  <c r="FG791" i="94"/>
  <c r="FK791" i="94"/>
  <c r="FO791" i="94"/>
  <c r="FS791" i="94"/>
  <c r="GB791" i="94"/>
  <c r="GF791" i="94"/>
  <c r="LR791" i="94"/>
  <c r="LV791" i="94"/>
  <c r="LZ791" i="94"/>
  <c r="MW791" i="94"/>
  <c r="MS791" i="94"/>
  <c r="MX791" i="94"/>
  <c r="MV791" i="94"/>
  <c r="MR791" i="94"/>
  <c r="MT791" i="94"/>
  <c r="MP791" i="94"/>
  <c r="MY791" i="94"/>
  <c r="MU791" i="94"/>
  <c r="MQ791" i="94"/>
  <c r="MY790" i="94"/>
  <c r="MU790" i="94"/>
  <c r="MQ790" i="94"/>
  <c r="MX790" i="94"/>
  <c r="MT790" i="94"/>
  <c r="MP790" i="94"/>
  <c r="MW790" i="94"/>
  <c r="MS790" i="94"/>
  <c r="MV790" i="94"/>
  <c r="MR790" i="94"/>
  <c r="Z789" i="94"/>
  <c r="AD789" i="94"/>
  <c r="AH789" i="94"/>
  <c r="AL789" i="94"/>
  <c r="AP789" i="94"/>
  <c r="AT789" i="94"/>
  <c r="AX789" i="94"/>
  <c r="BB789" i="94"/>
  <c r="BF789" i="94"/>
  <c r="BJ789" i="94"/>
  <c r="CD789" i="94"/>
  <c r="DJ789" i="94"/>
  <c r="EE789" i="94"/>
  <c r="EI789" i="94"/>
  <c r="EM789" i="94"/>
  <c r="EQ789" i="94"/>
  <c r="EU789" i="94"/>
  <c r="EY789" i="94"/>
  <c r="FC789" i="94"/>
  <c r="FG789" i="94"/>
  <c r="FK789" i="94"/>
  <c r="FO789" i="94"/>
  <c r="FS789" i="94"/>
  <c r="GB789" i="94"/>
  <c r="GF789" i="94"/>
  <c r="LR789" i="94"/>
  <c r="LV789" i="94"/>
  <c r="LZ789" i="94"/>
  <c r="AA789" i="94"/>
  <c r="AE789" i="94"/>
  <c r="AI789" i="94"/>
  <c r="AM789" i="94"/>
  <c r="AQ789" i="94"/>
  <c r="AU789" i="94"/>
  <c r="AY789" i="94"/>
  <c r="BC789" i="94"/>
  <c r="BG789" i="94"/>
  <c r="BK789" i="94"/>
  <c r="CL789" i="94"/>
  <c r="DR789" i="94"/>
  <c r="EF789" i="94"/>
  <c r="EJ789" i="94"/>
  <c r="EN789" i="94"/>
  <c r="ER789" i="94"/>
  <c r="EV789" i="94"/>
  <c r="EZ789" i="94"/>
  <c r="FD789" i="94"/>
  <c r="FH789" i="94"/>
  <c r="FL789" i="94"/>
  <c r="FP789" i="94"/>
  <c r="FT789" i="94"/>
  <c r="GC789" i="94"/>
  <c r="HT789" i="94"/>
  <c r="LS789" i="94"/>
  <c r="MW789" i="94"/>
  <c r="MS789" i="94"/>
  <c r="MV789" i="94"/>
  <c r="MR789" i="94"/>
  <c r="MY789" i="94"/>
  <c r="MU789" i="94"/>
  <c r="MQ789" i="94"/>
  <c r="MX789" i="94"/>
  <c r="MT789" i="94"/>
  <c r="MP789" i="94"/>
  <c r="MY788" i="94"/>
  <c r="MU788" i="94"/>
  <c r="MQ788" i="94"/>
  <c r="MX788" i="94"/>
  <c r="MT788" i="94"/>
  <c r="MP788" i="94"/>
  <c r="MW788" i="94"/>
  <c r="MS788" i="94"/>
  <c r="MV788" i="94"/>
  <c r="MR788" i="94"/>
  <c r="MW787" i="94"/>
  <c r="MS787" i="94"/>
  <c r="MV787" i="94"/>
  <c r="MR787" i="94"/>
  <c r="MY787" i="94"/>
  <c r="MU787" i="94"/>
  <c r="MQ787" i="94"/>
  <c r="MX787" i="94"/>
  <c r="MT787" i="94"/>
  <c r="MP787" i="94"/>
  <c r="MY786" i="94"/>
  <c r="MU786" i="94"/>
  <c r="MQ786" i="94"/>
  <c r="MX786" i="94"/>
  <c r="MT786" i="94"/>
  <c r="MP786" i="94"/>
  <c r="MW786" i="94"/>
  <c r="MS786" i="94"/>
  <c r="MV786" i="94"/>
  <c r="MR786" i="94"/>
  <c r="HS791" i="94"/>
  <c r="CU790" i="94"/>
  <c r="HW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F817" i="94" s="1"/>
  <c r="N932" i="94" s="1"/>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A817" i="94"/>
  <c r="N825" i="94" s="1"/>
  <c r="N839" i="94" s="1"/>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J817" i="94" l="1"/>
  <c r="M827" i="94" s="1"/>
  <c r="M845" i="94" s="1"/>
  <c r="AP817" i="94"/>
  <c r="N828" i="94" s="1"/>
  <c r="N848" i="94" s="1"/>
  <c r="AG817" i="94"/>
  <c r="O826" i="94" s="1"/>
  <c r="O842" i="94" s="1"/>
  <c r="AW817" i="94"/>
  <c r="K830" i="94" s="1"/>
  <c r="K854" i="94" s="1"/>
  <c r="FE817" i="94"/>
  <c r="M932" i="94" s="1"/>
  <c r="AV817" i="94"/>
  <c r="O829" i="94" s="1"/>
  <c r="EG817" i="94"/>
  <c r="N835" i="94" s="1"/>
  <c r="BC817" i="94"/>
  <c r="L831" i="94" s="1"/>
  <c r="L857" i="94" s="1"/>
  <c r="FR817" i="94"/>
  <c r="K936" i="94" s="1"/>
  <c r="LU817" i="94"/>
  <c r="AD817" i="94"/>
  <c r="L826" i="94" s="1"/>
  <c r="L842" i="94" s="1"/>
  <c r="FB817" i="94"/>
  <c r="O931" i="94" s="1"/>
  <c r="AQ817" i="94"/>
  <c r="O828" i="94" s="1"/>
  <c r="O848" i="94" s="1"/>
  <c r="Z817" i="94"/>
  <c r="M825" i="94" s="1"/>
  <c r="M839" i="94" s="1"/>
  <c r="EQ817" i="94"/>
  <c r="N929" i="94" s="1"/>
  <c r="BF817" i="94"/>
  <c r="O831" i="94" s="1"/>
  <c r="O857" i="94" s="1"/>
  <c r="ER817" i="94"/>
  <c r="O929" i="94" s="1"/>
  <c r="FG817" i="94"/>
  <c r="O932" i="94" s="1"/>
  <c r="EL817" i="94"/>
  <c r="N928" i="94" s="1"/>
  <c r="BG817" i="94"/>
  <c r="K833" i="94" s="1"/>
  <c r="FT817" i="94"/>
  <c r="M936" i="94" s="1"/>
  <c r="LY817" i="94"/>
  <c r="AT817" i="94"/>
  <c r="M829" i="94" s="1"/>
  <c r="M851" i="94" s="1"/>
  <c r="ED817" i="94"/>
  <c r="K835" i="94" s="1"/>
  <c r="EN817" i="94"/>
  <c r="K929" i="94" s="1"/>
  <c r="AS817" i="94"/>
  <c r="L829" i="94" s="1"/>
  <c r="L851" i="94" s="1"/>
  <c r="BJ817" i="94"/>
  <c r="N833" i="94" s="1"/>
  <c r="FH817" i="94"/>
  <c r="K933" i="94" s="1"/>
  <c r="AM817" i="94"/>
  <c r="K828" i="94" s="1"/>
  <c r="K848" i="94" s="1"/>
  <c r="FI817" i="94"/>
  <c r="L933" i="94" s="1"/>
  <c r="FD817" i="94"/>
  <c r="L932" i="94" s="1"/>
  <c r="AI817" i="94"/>
  <c r="L827" i="94" s="1"/>
  <c r="L845" i="94" s="1"/>
  <c r="FS817" i="94"/>
  <c r="L936" i="94" s="1"/>
  <c r="AF817" i="94"/>
  <c r="N826" i="94" s="1"/>
  <c r="N842" i="94" s="1"/>
  <c r="EX817" i="94"/>
  <c r="K931" i="94" s="1"/>
  <c r="LT817" i="94"/>
  <c r="EZ817" i="94"/>
  <c r="M931" i="94" s="1"/>
  <c r="AE817" i="94"/>
  <c r="M826" i="94" s="1"/>
  <c r="M842" i="94" s="1"/>
  <c r="EP817" i="94"/>
  <c r="M929" i="94" s="1"/>
  <c r="LX817" i="94"/>
  <c r="BH817" i="94"/>
  <c r="L833" i="94" s="1"/>
  <c r="FJ817" i="94"/>
  <c r="M933" i="94" s="1"/>
  <c r="AR817" i="94"/>
  <c r="K829" i="94" s="1"/>
  <c r="K851" i="94" s="1"/>
  <c r="EE817" i="94"/>
  <c r="L835" i="94" s="1"/>
  <c r="GC817" i="94"/>
  <c r="L938" i="94" s="1"/>
  <c r="BE817" i="94"/>
  <c r="N831" i="94" s="1"/>
  <c r="EF817" i="94"/>
  <c r="M835" i="94" s="1"/>
  <c r="AN817" i="94"/>
  <c r="L828" i="94" s="1"/>
  <c r="L848" i="94" s="1"/>
  <c r="LQ817" i="94"/>
  <c r="FQ817" i="94"/>
  <c r="O934" i="94" s="1"/>
  <c r="FP817" i="94"/>
  <c r="N934" i="94" s="1"/>
  <c r="EJ817" i="94"/>
  <c r="L928" i="94" s="1"/>
  <c r="AU817" i="94"/>
  <c r="N829" i="94" s="1"/>
  <c r="N851" i="94" s="1"/>
  <c r="GD817" i="94"/>
  <c r="M938" i="94" s="1"/>
  <c r="FV817" i="94"/>
  <c r="O936" i="94" s="1"/>
  <c r="AB817" i="94"/>
  <c r="O825" i="94" s="1"/>
  <c r="O839" i="94" s="1"/>
  <c r="GE817" i="94"/>
  <c r="N938" i="94" s="1"/>
  <c r="ET817" i="94"/>
  <c r="L930" i="94" s="1"/>
  <c r="EK817" i="94"/>
  <c r="M928" i="94" s="1"/>
  <c r="FL817" i="94"/>
  <c r="O933" i="94" s="1"/>
  <c r="FM817" i="94"/>
  <c r="K934" i="94" s="1"/>
  <c r="AO817" i="94"/>
  <c r="M828" i="94" s="1"/>
  <c r="M848" i="94" s="1"/>
  <c r="X817" i="94"/>
  <c r="K825" i="94" s="1"/>
  <c r="K839" i="94" s="1"/>
  <c r="EV817" i="94"/>
  <c r="N930" i="94" s="1"/>
  <c r="EO817" i="94"/>
  <c r="L929" i="94" s="1"/>
  <c r="P929" i="94" s="1"/>
  <c r="FU817" i="94"/>
  <c r="N936" i="94" s="1"/>
  <c r="EW817" i="94"/>
  <c r="O930" i="94" s="1"/>
  <c r="ES817" i="94"/>
  <c r="K930" i="94" s="1"/>
  <c r="BD817" i="94"/>
  <c r="M831" i="94" s="1"/>
  <c r="M857" i="94" s="1"/>
  <c r="Y817" i="94"/>
  <c r="L825" i="94" s="1"/>
  <c r="L839" i="94" s="1"/>
  <c r="GB817" i="94"/>
  <c r="K938" i="94" s="1"/>
  <c r="BI817" i="94"/>
  <c r="M833" i="94" s="1"/>
  <c r="AC817" i="94"/>
  <c r="K826" i="94" s="1"/>
  <c r="K842" i="94" s="1"/>
  <c r="GF817" i="94"/>
  <c r="O938" i="94" s="1"/>
  <c r="EU817" i="94"/>
  <c r="M930" i="94" s="1"/>
  <c r="LV817" i="94"/>
  <c r="GH817" i="94"/>
  <c r="L882" i="94" s="1"/>
  <c r="AX817" i="94"/>
  <c r="L830" i="94" s="1"/>
  <c r="L854" i="94" s="1"/>
  <c r="HI817" i="94"/>
  <c r="EH817" i="94"/>
  <c r="O835" i="94" s="1"/>
  <c r="BA817" i="94"/>
  <c r="O830" i="94" s="1"/>
  <c r="O854" i="94" s="1"/>
  <c r="AK817" i="94"/>
  <c r="N827" i="94" s="1"/>
  <c r="N845" i="94" s="1"/>
  <c r="LS817" i="94"/>
  <c r="HJ817" i="94"/>
  <c r="FN817" i="94"/>
  <c r="L934" i="94" s="1"/>
  <c r="LZ817" i="94"/>
  <c r="GJ817" i="94"/>
  <c r="N882" i="94" s="1"/>
  <c r="HG817" i="94"/>
  <c r="BB817" i="94"/>
  <c r="K831" i="94" s="1"/>
  <c r="K857" i="94" s="1"/>
  <c r="AL817" i="94"/>
  <c r="O827" i="94" s="1"/>
  <c r="O845" i="94" s="1"/>
  <c r="FC817" i="94"/>
  <c r="K932" i="94" s="1"/>
  <c r="P932" i="94" s="1"/>
  <c r="HX817" i="94"/>
  <c r="AY817" i="94"/>
  <c r="M830" i="94" s="1"/>
  <c r="M854" i="94" s="1"/>
  <c r="AH817" i="94"/>
  <c r="K827" i="94" s="1"/>
  <c r="K845" i="94" s="1"/>
  <c r="EM817" i="94"/>
  <c r="O928" i="94" s="1"/>
  <c r="FA817" i="94"/>
  <c r="N931" i="94" s="1"/>
  <c r="BK817" i="94"/>
  <c r="O833" i="94" s="1"/>
  <c r="HZ817" i="94"/>
  <c r="HK817" i="94"/>
  <c r="K888" i="94" s="1"/>
  <c r="LW817" i="94"/>
  <c r="LR817" i="94"/>
  <c r="FO817" i="94"/>
  <c r="M934" i="94" s="1"/>
  <c r="EY817" i="94"/>
  <c r="L931" i="94" s="1"/>
  <c r="EI817" i="94"/>
  <c r="K928" i="94" s="1"/>
  <c r="HF817" i="94"/>
  <c r="HQ817" i="94"/>
  <c r="L889" i="94" s="1"/>
  <c r="GV817" i="94"/>
  <c r="K885" i="94" s="1"/>
  <c r="FK817" i="94"/>
  <c r="N933" i="94" s="1"/>
  <c r="HO817" i="94"/>
  <c r="O888" i="94" s="1"/>
  <c r="HP817" i="94"/>
  <c r="K889" i="94" s="1"/>
  <c r="GU817" i="94"/>
  <c r="IC817" i="94"/>
  <c r="JY817" i="94"/>
  <c r="L898" i="94" s="1"/>
  <c r="GO817" i="94"/>
  <c r="N883" i="94" s="1"/>
  <c r="GP817" i="94"/>
  <c r="O883" i="94" s="1"/>
  <c r="IA817" i="94"/>
  <c r="HE817" i="94"/>
  <c r="O886" i="94" s="1"/>
  <c r="ME817" i="94"/>
  <c r="GT817" i="94"/>
  <c r="GX817" i="94"/>
  <c r="M885" i="94" s="1"/>
  <c r="MD817" i="94"/>
  <c r="HT817" i="94"/>
  <c r="O889" i="94" s="1"/>
  <c r="HW817" i="94"/>
  <c r="HH817" i="94"/>
  <c r="MK817" i="94"/>
  <c r="HU817" i="94"/>
  <c r="HL817" i="94"/>
  <c r="L888" i="94" s="1"/>
  <c r="GG817" i="94"/>
  <c r="K882" i="94" s="1"/>
  <c r="GI817" i="94"/>
  <c r="M882" i="94" s="1"/>
  <c r="GY817" i="94"/>
  <c r="N885" i="94" s="1"/>
  <c r="MJ817" i="94"/>
  <c r="ML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Q938" i="94" s="1"/>
  <c r="BX817" i="94"/>
  <c r="M866" i="94" s="1"/>
  <c r="DJ817" i="94"/>
  <c r="K876" i="94" s="1"/>
  <c r="BS817" i="94"/>
  <c r="M867" i="94" s="1"/>
  <c r="CA817" i="94"/>
  <c r="K865" i="94" s="1"/>
  <c r="FW817" i="94"/>
  <c r="CL817" i="94"/>
  <c r="L863" i="94" s="1"/>
  <c r="DW817" i="94"/>
  <c r="N874" i="94" s="1"/>
  <c r="P825" i="94"/>
  <c r="P839" i="94" s="1"/>
  <c r="P831" i="94"/>
  <c r="P857"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P828" i="94"/>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936" i="94" l="1"/>
  <c r="L832" i="94"/>
  <c r="L834" i="94" s="1"/>
  <c r="L836" i="94" s="1"/>
  <c r="P833" i="94"/>
  <c r="Q936" i="94" s="1"/>
  <c r="P829" i="94"/>
  <c r="Q932" i="94" s="1"/>
  <c r="H101" i="94"/>
  <c r="P202" i="94"/>
  <c r="O935" i="94"/>
  <c r="O937" i="94" s="1"/>
  <c r="O939" i="94" s="1"/>
  <c r="P933" i="94"/>
  <c r="P938" i="94"/>
  <c r="P930" i="94"/>
  <c r="P826" i="94"/>
  <c r="L921" i="94"/>
  <c r="P934" i="94"/>
  <c r="N832" i="94"/>
  <c r="N834" i="94" s="1"/>
  <c r="N836" i="94" s="1"/>
  <c r="O832" i="94"/>
  <c r="O834" i="94" s="1"/>
  <c r="O836" i="94" s="1"/>
  <c r="O942" i="94" s="1"/>
  <c r="K935" i="94"/>
  <c r="K937" i="94" s="1"/>
  <c r="K939" i="94" s="1"/>
  <c r="M887" i="94"/>
  <c r="P931" i="94"/>
  <c r="Q931" i="94" s="1"/>
  <c r="Q929" i="94"/>
  <c r="K832" i="94"/>
  <c r="K834" i="94" s="1"/>
  <c r="M832" i="94"/>
  <c r="M834" i="94" s="1"/>
  <c r="M836" i="94" s="1"/>
  <c r="P827" i="94"/>
  <c r="P845" i="94" s="1"/>
  <c r="P846" i="94" s="1"/>
  <c r="P847" i="94" s="1"/>
  <c r="P830" i="94"/>
  <c r="P854" i="94" s="1"/>
  <c r="K855" i="94" s="1"/>
  <c r="K856" i="94" s="1"/>
  <c r="O887" i="94"/>
  <c r="K890" i="94"/>
  <c r="K920" i="94"/>
  <c r="M935" i="94"/>
  <c r="M937" i="94" s="1"/>
  <c r="M939" i="94" s="1"/>
  <c r="K887" i="94"/>
  <c r="L935" i="94"/>
  <c r="L937" i="94" s="1"/>
  <c r="L939" i="94" s="1"/>
  <c r="L942" i="94" s="1"/>
  <c r="N935" i="94"/>
  <c r="N937" i="94" s="1"/>
  <c r="N939" i="94" s="1"/>
  <c r="N942" i="94" s="1"/>
  <c r="P928" i="94"/>
  <c r="N884" i="94"/>
  <c r="L887" i="94"/>
  <c r="P885" i="94"/>
  <c r="O923" i="94"/>
  <c r="O884" i="94"/>
  <c r="L920" i="94"/>
  <c r="K919" i="94"/>
  <c r="P888" i="94"/>
  <c r="K924" i="94"/>
  <c r="L922" i="94"/>
  <c r="K922" i="94"/>
  <c r="P908" i="94"/>
  <c r="N923" i="94"/>
  <c r="K923" i="94"/>
  <c r="L924" i="94"/>
  <c r="P1008" i="94"/>
  <c r="N887" i="94"/>
  <c r="O890" i="94"/>
  <c r="N890" i="94"/>
  <c r="P889" i="94"/>
  <c r="P851" i="94"/>
  <c r="P852" i="94" s="1"/>
  <c r="P853" i="94" s="1"/>
  <c r="L884" i="94"/>
  <c r="L890" i="94"/>
  <c r="M890" i="94"/>
  <c r="K884" i="94"/>
  <c r="Q928" i="94"/>
  <c r="P866" i="94"/>
  <c r="M884" i="94"/>
  <c r="P867"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F493" i="94"/>
  <c r="E484" i="94"/>
  <c r="G480" i="94" s="1"/>
  <c r="L373" i="94"/>
  <c r="L63" i="94"/>
  <c r="N855" i="94" l="1"/>
  <c r="N856" i="94" s="1"/>
  <c r="M942" i="94"/>
  <c r="L846" i="94"/>
  <c r="L847" i="94" s="1"/>
  <c r="P834" i="94"/>
  <c r="P855" i="94"/>
  <c r="P856" i="94" s="1"/>
  <c r="M855" i="94"/>
  <c r="M856" i="94" s="1"/>
  <c r="O855" i="94"/>
  <c r="O856" i="94" s="1"/>
  <c r="P832" i="94"/>
  <c r="L855" i="94"/>
  <c r="L856" i="94" s="1"/>
  <c r="P937" i="94"/>
  <c r="P935" i="94"/>
  <c r="Q933" i="94"/>
  <c r="O846" i="94"/>
  <c r="O847" i="94" s="1"/>
  <c r="P939" i="94"/>
  <c r="Q930" i="94"/>
  <c r="K846" i="94"/>
  <c r="K847" i="94" s="1"/>
  <c r="M846" i="94"/>
  <c r="M847" i="94" s="1"/>
  <c r="N846" i="94"/>
  <c r="N847" i="94" s="1"/>
  <c r="P887" i="94"/>
  <c r="M852" i="94"/>
  <c r="M853" i="94" s="1"/>
  <c r="L852" i="94"/>
  <c r="L853" i="94" s="1"/>
  <c r="N852" i="94"/>
  <c r="N853" i="94" s="1"/>
  <c r="K852" i="94"/>
  <c r="K853" i="94" s="1"/>
  <c r="O852" i="94"/>
  <c r="O853" i="94" s="1"/>
  <c r="M843" i="94"/>
  <c r="M844" i="94" s="1"/>
  <c r="P925" i="94"/>
  <c r="P919" i="94"/>
  <c r="K849" i="94"/>
  <c r="K850" i="94" s="1"/>
  <c r="P849" i="94"/>
  <c r="P850" i="94" s="1"/>
  <c r="P890" i="94"/>
  <c r="P884" i="94"/>
  <c r="K836" i="94"/>
  <c r="K942"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P836" i="94" l="1"/>
  <c r="K1003" i="94" s="1"/>
  <c r="Q1010" i="94"/>
  <c r="Q1011" i="94" s="1"/>
  <c r="P1011" i="94"/>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5" i="94" l="1"/>
  <c r="K1004"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B1135" i="94" s="1"/>
  <c r="C1135" i="94" s="1"/>
  <c r="D1135" i="94" s="1"/>
  <c r="E1135" i="94" s="1"/>
  <c r="F1135" i="94" s="1"/>
  <c r="K172" i="72"/>
  <c r="K168" i="72"/>
  <c r="K167" i="72"/>
  <c r="K166" i="72"/>
  <c r="K165" i="72"/>
  <c r="M165" i="72" s="1"/>
  <c r="A165" i="72" s="1"/>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C21" i="74" s="1"/>
  <c r="C1049" i="94" s="1"/>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4" i="75" s="1"/>
  <c r="K22" i="76"/>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K27" i="74"/>
  <c r="K35" i="74" s="1"/>
  <c r="K1063" i="94" s="1"/>
  <c r="I89" i="74"/>
  <c r="C43" i="90"/>
  <c r="H8" i="84"/>
  <c r="F14" i="85" s="1"/>
  <c r="A3" i="83" s="1"/>
  <c r="D25" i="74"/>
  <c r="E57" i="74"/>
  <c r="C58" i="74"/>
  <c r="G25" i="74"/>
  <c r="G27" i="74"/>
  <c r="H57" i="74"/>
  <c r="D59" i="74"/>
  <c r="D89" i="74"/>
  <c r="B40" i="74"/>
  <c r="C120" i="74"/>
  <c r="H25" i="74"/>
  <c r="I57" i="74"/>
  <c r="E89" i="74"/>
  <c r="K90" i="74"/>
  <c r="D119" i="74"/>
  <c r="C25" i="74"/>
  <c r="K25" i="74"/>
  <c r="D57" i="74"/>
  <c r="H89" i="74"/>
  <c r="E119" i="74"/>
  <c r="O40" i="66"/>
  <c r="A1" i="66"/>
  <c r="N40" i="66"/>
  <c r="N65" i="94" s="1"/>
  <c r="A1" i="72"/>
  <c r="A1" i="74"/>
  <c r="N1" i="74" s="1"/>
  <c r="A3" i="79"/>
  <c r="A1" i="77"/>
  <c r="E121" i="74"/>
  <c r="E128" i="74" s="1"/>
  <c r="E1156" i="94" s="1"/>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E25" i="74"/>
  <c r="I25" i="74"/>
  <c r="B57" i="74"/>
  <c r="F57" i="74"/>
  <c r="J57" i="74"/>
  <c r="B89" i="74"/>
  <c r="F89" i="74"/>
  <c r="J89" i="74"/>
  <c r="B119" i="74"/>
  <c r="F119" i="74"/>
  <c r="B25" i="74"/>
  <c r="B39" i="74" s="1"/>
  <c r="F25" i="74"/>
  <c r="J25" i="74"/>
  <c r="H26" i="74"/>
  <c r="C57" i="74"/>
  <c r="G57" i="74"/>
  <c r="K57" i="74"/>
  <c r="C89" i="74"/>
  <c r="G89" i="74"/>
  <c r="K89" i="74"/>
  <c r="A1" i="73"/>
  <c r="A1" i="75"/>
  <c r="T1" i="75" s="1"/>
  <c r="A1" i="78"/>
  <c r="W1" i="78" s="1"/>
  <c r="A1" i="68"/>
  <c r="S1" i="68" s="1"/>
  <c r="T177" i="72"/>
  <c r="A1" i="67"/>
  <c r="T179" i="72"/>
  <c r="I40" i="66"/>
  <c r="A1" i="76"/>
  <c r="B42" i="74"/>
  <c r="B1070" i="94" s="1"/>
  <c r="B41" i="74"/>
  <c r="C40" i="74"/>
  <c r="C1068" i="94" s="1"/>
  <c r="M15" i="75"/>
  <c r="M13" i="75"/>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H41" i="74"/>
  <c r="H1069" i="94" s="1"/>
  <c r="I40" i="74"/>
  <c r="I1068" i="94" s="1"/>
  <c r="J35" i="74"/>
  <c r="J1063"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31" i="74" s="1"/>
  <c r="H75" i="74"/>
  <c r="H1103" i="94" s="1"/>
  <c r="I75" i="74"/>
  <c r="I1103" i="94" s="1"/>
  <c r="J75" i="74"/>
  <c r="J1103" i="94" s="1"/>
  <c r="K75" i="74"/>
  <c r="K1103" i="94" s="1"/>
  <c r="C92" i="74" l="1"/>
  <c r="H28" i="74"/>
  <c r="H1056" i="94" s="1"/>
  <c r="H92" i="74"/>
  <c r="H1120" i="94" s="1"/>
  <c r="G92" i="74"/>
  <c r="G1120" i="94" s="1"/>
  <c r="D92" i="74"/>
  <c r="G60" i="74"/>
  <c r="G1088" i="94" s="1"/>
  <c r="K60" i="74"/>
  <c r="K1088" i="94" s="1"/>
  <c r="J60" i="74"/>
  <c r="J1088" i="94" s="1"/>
  <c r="J28" i="74"/>
  <c r="C60" i="74"/>
  <c r="I60" i="74"/>
  <c r="F28" i="74"/>
  <c r="G28" i="74"/>
  <c r="G1056" i="94" s="1"/>
  <c r="B92" i="74"/>
  <c r="J92" i="74"/>
  <c r="D122" i="74"/>
  <c r="D1150" i="94" s="1"/>
  <c r="D28" i="74"/>
  <c r="D1056" i="94" s="1"/>
  <c r="K28" i="74"/>
  <c r="E122" i="74"/>
  <c r="I28" i="74"/>
  <c r="E60" i="74"/>
  <c r="B28" i="74"/>
  <c r="B1056" i="94" s="1"/>
  <c r="C28" i="74"/>
  <c r="F92" i="74"/>
  <c r="F1120" i="94" s="1"/>
  <c r="H60" i="74"/>
  <c r="F60" i="74"/>
  <c r="F1088" i="94" s="1"/>
  <c r="J610" i="94"/>
  <c r="J611" i="94" s="1"/>
  <c r="C122" i="74"/>
  <c r="C129" i="74" s="1"/>
  <c r="C1157" i="94" s="1"/>
  <c r="I92" i="74"/>
  <c r="F122" i="74"/>
  <c r="F129" i="74" s="1"/>
  <c r="F1157" i="94" s="1"/>
  <c r="D60" i="74"/>
  <c r="D1088" i="94" s="1"/>
  <c r="B60" i="74"/>
  <c r="R54" i="74" s="1"/>
  <c r="S54" i="74" s="1"/>
  <c r="E92" i="74"/>
  <c r="E1120" i="94" s="1"/>
  <c r="B122" i="74"/>
  <c r="B1150" i="94" s="1"/>
  <c r="K92" i="74"/>
  <c r="K1120" i="94" s="1"/>
  <c r="E28" i="74"/>
  <c r="E1056" i="94" s="1"/>
  <c r="H27" i="87"/>
  <c r="I1087" i="94"/>
  <c r="C1150" i="94"/>
  <c r="H68" i="74"/>
  <c r="H1096" i="94" s="1"/>
  <c r="H1088" i="94"/>
  <c r="D98" i="74"/>
  <c r="D1126" i="94" s="1"/>
  <c r="H32" i="87"/>
  <c r="D1119" i="94"/>
  <c r="B67" i="74"/>
  <c r="B1095" i="94" s="1"/>
  <c r="H20" i="87"/>
  <c r="B1087" i="94"/>
  <c r="H35" i="74"/>
  <c r="H1063" i="94" s="1"/>
  <c r="H16" i="87"/>
  <c r="H1055" i="94"/>
  <c r="G67" i="74"/>
  <c r="G1095" i="94" s="1"/>
  <c r="H25" i="87"/>
  <c r="G1087" i="94"/>
  <c r="B99" i="74"/>
  <c r="B1127" i="94" s="1"/>
  <c r="B1120" i="94"/>
  <c r="J99" i="74"/>
  <c r="J1127" i="94" s="1"/>
  <c r="J1120" i="94"/>
  <c r="H29" i="87"/>
  <c r="K1087" i="94"/>
  <c r="B128" i="74"/>
  <c r="B1156" i="94" s="1"/>
  <c r="H40" i="87"/>
  <c r="B1149" i="94"/>
  <c r="J67" i="74"/>
  <c r="J1095" i="94" s="1"/>
  <c r="H28" i="87"/>
  <c r="J1087" i="94"/>
  <c r="E98" i="74"/>
  <c r="E1126" i="94" s="1"/>
  <c r="H33" i="87"/>
  <c r="E1119" i="94"/>
  <c r="H31" i="87"/>
  <c r="C1119" i="94"/>
  <c r="P54" i="66"/>
  <c r="P79" i="94" s="1"/>
  <c r="D67" i="74"/>
  <c r="D1095" i="94" s="1"/>
  <c r="H22" i="87"/>
  <c r="D1087" i="94"/>
  <c r="E39" i="87"/>
  <c r="K1118" i="94"/>
  <c r="O421" i="72"/>
  <c r="I99" i="74"/>
  <c r="I1127" i="94" s="1"/>
  <c r="I1120" i="94"/>
  <c r="H98" i="74"/>
  <c r="H1126" i="94" s="1"/>
  <c r="H36" i="87"/>
  <c r="H1119" i="94"/>
  <c r="D99" i="74"/>
  <c r="D1127" i="94" s="1"/>
  <c r="D1120" i="94"/>
  <c r="H10" i="87"/>
  <c r="B1055" i="94"/>
  <c r="H24" i="87"/>
  <c r="F1087" i="94"/>
  <c r="C99" i="74"/>
  <c r="C1127" i="94" s="1"/>
  <c r="C1120" i="94"/>
  <c r="H44" i="87"/>
  <c r="F1149" i="94"/>
  <c r="H35" i="87"/>
  <c r="G1119" i="94"/>
  <c r="F98" i="74"/>
  <c r="F1126" i="94" s="1"/>
  <c r="H34" i="87"/>
  <c r="F1119" i="94"/>
  <c r="E16" i="87"/>
  <c r="H1054" i="94"/>
  <c r="H37" i="87"/>
  <c r="I1119" i="94"/>
  <c r="J98" i="74"/>
  <c r="J1126" i="94" s="1"/>
  <c r="H38" i="87"/>
  <c r="J1119" i="94"/>
  <c r="H14" i="87"/>
  <c r="F1055" i="94"/>
  <c r="H43" i="87"/>
  <c r="E1149" i="94"/>
  <c r="H19" i="87"/>
  <c r="K1055" i="94"/>
  <c r="K58" i="74"/>
  <c r="P418" i="94"/>
  <c r="H30" i="87"/>
  <c r="B1119" i="94"/>
  <c r="C12" i="86"/>
  <c r="B1069" i="94"/>
  <c r="I68" i="74"/>
  <c r="I1096" i="94" s="1"/>
  <c r="I1088" i="94"/>
  <c r="F36" i="74"/>
  <c r="F1064" i="94" s="1"/>
  <c r="F1056" i="94"/>
  <c r="H11" i="87"/>
  <c r="C1055" i="94"/>
  <c r="H13" i="87"/>
  <c r="E1055" i="94"/>
  <c r="H42" i="87"/>
  <c r="D1149" i="94"/>
  <c r="H18" i="87"/>
  <c r="J1055" i="94"/>
  <c r="C127" i="74"/>
  <c r="C1155" i="94" s="1"/>
  <c r="E41" i="87"/>
  <c r="C1148" i="94"/>
  <c r="E21" i="87"/>
  <c r="C1086" i="94"/>
  <c r="H41" i="87"/>
  <c r="C1149" i="94"/>
  <c r="H23" i="87"/>
  <c r="E1087" i="94"/>
  <c r="H39" i="87"/>
  <c r="K1119" i="94"/>
  <c r="G35" i="74"/>
  <c r="G1063" i="94" s="1"/>
  <c r="H15" i="87"/>
  <c r="G1055" i="94"/>
  <c r="E68" i="74"/>
  <c r="E1096" i="94" s="1"/>
  <c r="E1088" i="94"/>
  <c r="C36" i="74"/>
  <c r="C1064" i="94" s="1"/>
  <c r="C1056" i="94"/>
  <c r="H67" i="74"/>
  <c r="H1095" i="94" s="1"/>
  <c r="H26" i="87"/>
  <c r="H1087" i="94"/>
  <c r="I35" i="74"/>
  <c r="I1063" i="94" s="1"/>
  <c r="H17" i="87"/>
  <c r="I1055" i="94"/>
  <c r="D35" i="74"/>
  <c r="D1063" i="94" s="1"/>
  <c r="H12" i="87"/>
  <c r="D1055" i="94"/>
  <c r="C67" i="74"/>
  <c r="C1095" i="94" s="1"/>
  <c r="H21" i="87"/>
  <c r="C1087" i="94"/>
  <c r="E129" i="74"/>
  <c r="E1157" i="94" s="1"/>
  <c r="E1150" i="94"/>
  <c r="C11" i="86"/>
  <c r="B1068" i="94"/>
  <c r="I36" i="74"/>
  <c r="I1064" i="94" s="1"/>
  <c r="I1056" i="94"/>
  <c r="F68" i="78"/>
  <c r="E514" i="94"/>
  <c r="F514" i="94" s="1"/>
  <c r="J25" i="75"/>
  <c r="J794" i="94" s="1"/>
  <c r="L794" i="94" s="1"/>
  <c r="M794" i="94" s="1"/>
  <c r="J23" i="75"/>
  <c r="L23" i="75" s="1"/>
  <c r="M23" i="75" s="1"/>
  <c r="J21" i="75"/>
  <c r="J790" i="94" s="1"/>
  <c r="L790" i="94" s="1"/>
  <c r="M790" i="94" s="1"/>
  <c r="L411" i="94"/>
  <c r="L412" i="94" s="1"/>
  <c r="C1059" i="94"/>
  <c r="B63" i="74"/>
  <c r="F34" i="86" s="1"/>
  <c r="P422" i="94"/>
  <c r="C39" i="74"/>
  <c r="C1067" i="94" s="1"/>
  <c r="C10" i="86"/>
  <c r="B1067" i="94"/>
  <c r="B21" i="87"/>
  <c r="C1085" i="94"/>
  <c r="B18" i="87"/>
  <c r="J1053" i="94"/>
  <c r="B44" i="87"/>
  <c r="F1147" i="94"/>
  <c r="B38" i="87"/>
  <c r="J1117" i="94"/>
  <c r="B13" i="87"/>
  <c r="E1053" i="94"/>
  <c r="B36" i="87"/>
  <c r="H1117" i="94"/>
  <c r="B19" i="87"/>
  <c r="K1053" i="94"/>
  <c r="B16" i="87"/>
  <c r="H1053" i="94"/>
  <c r="B32" i="87"/>
  <c r="D1117" i="94"/>
  <c r="B15" i="87"/>
  <c r="G1053" i="94"/>
  <c r="B41" i="87"/>
  <c r="C1147" i="94"/>
  <c r="B39" i="87"/>
  <c r="K1117" i="94"/>
  <c r="B14" i="87"/>
  <c r="F1053" i="94"/>
  <c r="B40" i="87"/>
  <c r="B1147" i="94"/>
  <c r="B28" i="87"/>
  <c r="J1085" i="94"/>
  <c r="B33" i="87"/>
  <c r="E1117" i="94"/>
  <c r="B35" i="87"/>
  <c r="G1117" i="94"/>
  <c r="B29" i="87"/>
  <c r="K1085" i="94"/>
  <c r="B30" i="87"/>
  <c r="B1117" i="94"/>
  <c r="B24" i="87"/>
  <c r="F1085" i="94"/>
  <c r="B43" i="87"/>
  <c r="E1147" i="94"/>
  <c r="B22" i="87"/>
  <c r="D1085" i="94"/>
  <c r="B26" i="87"/>
  <c r="H1085" i="94"/>
  <c r="B23" i="87"/>
  <c r="E1085" i="94"/>
  <c r="B34" i="87"/>
  <c r="F1117" i="94"/>
  <c r="B11" i="87"/>
  <c r="C1053" i="94"/>
  <c r="B31" i="87"/>
  <c r="C1117" i="94"/>
  <c r="B25" i="87"/>
  <c r="G1085" i="94"/>
  <c r="B10" i="87"/>
  <c r="B1053" i="94"/>
  <c r="B20" i="87"/>
  <c r="B1085" i="94"/>
  <c r="B17" i="87"/>
  <c r="I1053" i="94"/>
  <c r="B42" i="87"/>
  <c r="D1147" i="94"/>
  <c r="B27" i="87"/>
  <c r="I1085" i="94"/>
  <c r="B12" i="87"/>
  <c r="D1053" i="94"/>
  <c r="B37" i="87"/>
  <c r="I1117" i="94"/>
  <c r="F84" i="92"/>
  <c r="J18" i="75"/>
  <c r="L18" i="75" s="1"/>
  <c r="M18" i="75" s="1"/>
  <c r="J19" i="75"/>
  <c r="J788" i="94" s="1"/>
  <c r="L788" i="94" s="1"/>
  <c r="M788" i="94" s="1"/>
  <c r="E65" i="89"/>
  <c r="A2" i="88"/>
  <c r="H1" i="95"/>
  <c r="K40" i="66"/>
  <c r="I65" i="94"/>
  <c r="P6" i="75"/>
  <c r="T1833" i="94"/>
  <c r="N775" i="94"/>
  <c r="P775" i="94"/>
  <c r="O65"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L38" i="75"/>
  <c r="M38" i="75" s="1"/>
  <c r="J807" i="94"/>
  <c r="L807" i="94" s="1"/>
  <c r="M807" i="94" s="1"/>
  <c r="L46" i="75"/>
  <c r="M46" i="75" s="1"/>
  <c r="J815" i="94"/>
  <c r="L815" i="94" s="1"/>
  <c r="M815" i="94"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L33" i="75"/>
  <c r="M33" i="75" s="1"/>
  <c r="J802" i="94"/>
  <c r="L802" i="94" s="1"/>
  <c r="M802"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29" i="75"/>
  <c r="M29" i="75" s="1"/>
  <c r="L37" i="75"/>
  <c r="M37" i="75" s="1"/>
  <c r="L39" i="75"/>
  <c r="M39" i="75" s="1"/>
  <c r="L47" i="75"/>
  <c r="M47" i="75" s="1"/>
  <c r="L41" i="75"/>
  <c r="M41" i="75" s="1"/>
  <c r="L30" i="75"/>
  <c r="M30" i="75" s="1"/>
  <c r="L43" i="75"/>
  <c r="M43" i="75" s="1"/>
  <c r="L17" i="75"/>
  <c r="M17" i="75" s="1"/>
  <c r="L44" i="75"/>
  <c r="M44" i="75" s="1"/>
  <c r="A123" i="75"/>
  <c r="M294" i="72"/>
  <c r="Q338" i="72"/>
  <c r="C63" i="74"/>
  <c r="B44" i="78"/>
  <c r="F47" i="78" s="1"/>
  <c r="C8" i="90"/>
  <c r="C139" i="90" s="1"/>
  <c r="J20" i="75"/>
  <c r="J789" i="94" s="1"/>
  <c r="L789" i="94" s="1"/>
  <c r="M789" i="94" s="1"/>
  <c r="F37" i="78"/>
  <c r="F483" i="94" s="1"/>
  <c r="D31" i="74"/>
  <c r="F35" i="78"/>
  <c r="J22" i="75"/>
  <c r="J791" i="94" s="1"/>
  <c r="L791" i="94" s="1"/>
  <c r="M791" i="94" s="1"/>
  <c r="I31" i="74"/>
  <c r="C34" i="86" s="1"/>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K66" i="74"/>
  <c r="K1094" i="94" s="1"/>
  <c r="E51" i="86"/>
  <c r="B129" i="74"/>
  <c r="B1157" i="94" s="1"/>
  <c r="I58" i="74"/>
  <c r="D26" i="74"/>
  <c r="C90" i="74"/>
  <c r="G90" i="74"/>
  <c r="H34" i="74"/>
  <c r="H1062" i="94" s="1"/>
  <c r="K99" i="74"/>
  <c r="K1127" i="94" s="1"/>
  <c r="I90" i="74"/>
  <c r="E58" i="74"/>
  <c r="E65" i="82" s="1"/>
  <c r="I26" i="74"/>
  <c r="F58" i="74"/>
  <c r="J170" i="78"/>
  <c r="E90" i="74"/>
  <c r="H58" i="74"/>
  <c r="H65" i="82" s="1"/>
  <c r="K26" i="74"/>
  <c r="F90" i="74"/>
  <c r="B26" i="74"/>
  <c r="C75" i="84" s="1"/>
  <c r="I32" i="86"/>
  <c r="F51" i="86"/>
  <c r="D32" i="86"/>
  <c r="F12" i="86"/>
  <c r="H90" i="74"/>
  <c r="D58" i="74"/>
  <c r="G26" i="74"/>
  <c r="G58" i="74"/>
  <c r="D120" i="74"/>
  <c r="F120" i="74"/>
  <c r="D90" i="74"/>
  <c r="C26" i="74"/>
  <c r="J26" i="74"/>
  <c r="E26" i="74"/>
  <c r="E31" i="74"/>
  <c r="F14" i="86" s="1"/>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C45" i="82"/>
  <c r="E56" i="86"/>
  <c r="I36" i="86"/>
  <c r="C34" i="84"/>
  <c r="F128" i="74"/>
  <c r="F1156" i="94" s="1"/>
  <c r="B98" i="74"/>
  <c r="B1126" i="94" s="1"/>
  <c r="E52" i="86"/>
  <c r="C31" i="86"/>
  <c r="H12" i="86"/>
  <c r="D36" i="74"/>
  <c r="D1064" i="94" s="1"/>
  <c r="K45" i="82"/>
  <c r="E36" i="74"/>
  <c r="E1064" i="94" s="1"/>
  <c r="C29" i="84"/>
  <c r="K26" i="84" s="1"/>
  <c r="G36" i="86"/>
  <c r="H56" i="86"/>
  <c r="C56" i="86"/>
  <c r="F15" i="85"/>
  <c r="K67" i="74"/>
  <c r="K1095" i="94" s="1"/>
  <c r="C66" i="74"/>
  <c r="C1094" i="94" s="1"/>
  <c r="C65" i="82"/>
  <c r="D11" i="86"/>
  <c r="G68" i="74"/>
  <c r="G1096" i="94" s="1"/>
  <c r="C36" i="86"/>
  <c r="H36" i="86"/>
  <c r="D36" i="86"/>
  <c r="G34" i="86"/>
  <c r="G12" i="86"/>
  <c r="G99" i="74"/>
  <c r="G1127" i="94" s="1"/>
  <c r="C30" i="74"/>
  <c r="C1058" i="94" s="1"/>
  <c r="H16" i="86"/>
  <c r="I16" i="86"/>
  <c r="D14" i="86"/>
  <c r="D63" i="74"/>
  <c r="F31" i="74"/>
  <c r="G51" i="86"/>
  <c r="C52" i="86"/>
  <c r="I31" i="86"/>
  <c r="G52" i="86"/>
  <c r="D51" i="86"/>
  <c r="H51" i="86"/>
  <c r="F63" i="74"/>
  <c r="F31" i="86"/>
  <c r="J31" i="74"/>
  <c r="F52" i="86"/>
  <c r="H31" i="86"/>
  <c r="H36" i="74"/>
  <c r="H1064" i="94" s="1"/>
  <c r="B45" i="82"/>
  <c r="I45" i="82"/>
  <c r="G11" i="86"/>
  <c r="E99" i="74"/>
  <c r="E1127" i="94" s="1"/>
  <c r="G45" i="82"/>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D21" i="74" s="1"/>
  <c r="D1049" i="94" s="1"/>
  <c r="C23" i="74"/>
  <c r="C1051" i="94" s="1"/>
  <c r="J132" i="78"/>
  <c r="J149" i="78" s="1"/>
  <c r="HP48" i="75"/>
  <c r="K120" i="75" s="1"/>
  <c r="IA48" i="75"/>
  <c r="H45" i="82"/>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O333" i="72"/>
  <c r="O1988" i="94" s="1"/>
  <c r="K236" i="72"/>
  <c r="E11" i="72"/>
  <c r="E1666" i="94" s="1"/>
  <c r="P340" i="72"/>
  <c r="O89" i="72"/>
  <c r="O1744" i="94" s="1"/>
  <c r="P175" i="72"/>
  <c r="J68" i="74" l="1"/>
  <c r="J1096" i="94" s="1"/>
  <c r="D129" i="74"/>
  <c r="D1157" i="94" s="1"/>
  <c r="E66" i="74"/>
  <c r="E1094" i="94" s="1"/>
  <c r="F99" i="74"/>
  <c r="F1127" i="94" s="1"/>
  <c r="F1150" i="94"/>
  <c r="R1144" i="94" s="1"/>
  <c r="S1144" i="94" s="1"/>
  <c r="R86" i="74"/>
  <c r="S86" i="74" s="1"/>
  <c r="D10" i="86"/>
  <c r="R116" i="74"/>
  <c r="S116" i="74" s="1"/>
  <c r="F68" i="74"/>
  <c r="F1096" i="94" s="1"/>
  <c r="K1056" i="94"/>
  <c r="K36" i="74"/>
  <c r="K1064" i="94" s="1"/>
  <c r="C1088" i="94"/>
  <c r="C68" i="74"/>
  <c r="C1096" i="94" s="1"/>
  <c r="J1056" i="94"/>
  <c r="J36" i="74"/>
  <c r="J1064" i="94" s="1"/>
  <c r="B1088" i="94"/>
  <c r="B68" i="74"/>
  <c r="B1096" i="94" s="1"/>
  <c r="J45" i="82"/>
  <c r="E18" i="87"/>
  <c r="J1054" i="94"/>
  <c r="E13" i="87"/>
  <c r="E1054" i="94"/>
  <c r="E22" i="87"/>
  <c r="D1086" i="94"/>
  <c r="K34" i="74"/>
  <c r="K1062" i="94" s="1"/>
  <c r="E19" i="87"/>
  <c r="K1054" i="94"/>
  <c r="E14" i="87"/>
  <c r="F1054" i="94"/>
  <c r="E11" i="87"/>
  <c r="C1054" i="94"/>
  <c r="E33" i="87"/>
  <c r="E1118" i="94"/>
  <c r="G97" i="74"/>
  <c r="G1125" i="94" s="1"/>
  <c r="E35" i="87"/>
  <c r="G1118" i="94"/>
  <c r="R1114" i="94"/>
  <c r="S1114" i="94" s="1"/>
  <c r="E36" i="87"/>
  <c r="H1118" i="94"/>
  <c r="E28" i="87"/>
  <c r="J1086" i="94"/>
  <c r="E32" i="87"/>
  <c r="D1118" i="94"/>
  <c r="E31" i="87"/>
  <c r="C1118" i="94"/>
  <c r="E30" i="87"/>
  <c r="B1118" i="94"/>
  <c r="E44" i="87"/>
  <c r="F1148" i="94"/>
  <c r="F65" i="82"/>
  <c r="E24" i="87"/>
  <c r="F1086" i="94"/>
  <c r="E12" i="87"/>
  <c r="D1054" i="94"/>
  <c r="E38" i="87"/>
  <c r="J1118" i="94"/>
  <c r="E20" i="87"/>
  <c r="B1086" i="94"/>
  <c r="E42" i="87"/>
  <c r="D1148" i="94"/>
  <c r="E17" i="87"/>
  <c r="I1054" i="94"/>
  <c r="E27" i="87"/>
  <c r="I1086" i="94"/>
  <c r="E29" i="87"/>
  <c r="K1086" i="94"/>
  <c r="E127" i="74"/>
  <c r="E1155" i="94" s="1"/>
  <c r="E43" i="87"/>
  <c r="E1148" i="94"/>
  <c r="G65" i="82"/>
  <c r="E25" i="87"/>
  <c r="G1086" i="94"/>
  <c r="E10" i="87"/>
  <c r="B1054" i="94"/>
  <c r="E23" i="87"/>
  <c r="E1086" i="94"/>
  <c r="E26" i="87"/>
  <c r="H1086" i="94"/>
  <c r="E40" i="87"/>
  <c r="B1148" i="94"/>
  <c r="E15" i="87"/>
  <c r="G1054" i="94"/>
  <c r="E34" i="87"/>
  <c r="F1118" i="94"/>
  <c r="E37" i="87"/>
  <c r="I1118" i="94"/>
  <c r="J787" i="94"/>
  <c r="L787" i="94" s="1"/>
  <c r="M787" i="94" s="1"/>
  <c r="Q340" i="72"/>
  <c r="F34" i="78"/>
  <c r="F481" i="94"/>
  <c r="F480" i="94" s="1"/>
  <c r="H18" i="84"/>
  <c r="J18" i="84" s="1"/>
  <c r="J2057" i="94"/>
  <c r="G1881" i="94"/>
  <c r="P1215" i="94"/>
  <c r="I438" i="94"/>
  <c r="B1059" i="94"/>
  <c r="B43" i="74"/>
  <c r="F1059" i="94"/>
  <c r="E1059" i="94"/>
  <c r="I14" i="86"/>
  <c r="H1059" i="94"/>
  <c r="E14" i="86"/>
  <c r="D1059" i="94"/>
  <c r="C1091" i="94"/>
  <c r="B1091" i="94"/>
  <c r="F1091" i="94"/>
  <c r="D1091" i="94"/>
  <c r="E1091" i="94"/>
  <c r="H14" i="86"/>
  <c r="G1059" i="94"/>
  <c r="I1059" i="94"/>
  <c r="J1059" i="94"/>
  <c r="E34" i="86"/>
  <c r="K1059" i="94"/>
  <c r="D39" i="74"/>
  <c r="L19" i="75"/>
  <c r="M19" i="75" s="1"/>
  <c r="L154" i="75"/>
  <c r="M154" i="75"/>
  <c r="K57" i="73" s="1"/>
  <c r="K1227" i="94" s="1"/>
  <c r="N1227" i="94" s="1"/>
  <c r="B34" i="95"/>
  <c r="B46" i="91"/>
  <c r="B163" i="95"/>
  <c r="B476" i="91"/>
  <c r="B72" i="95"/>
  <c r="B176" i="91"/>
  <c r="B187" i="95"/>
  <c r="B555" i="91"/>
  <c r="B182" i="95"/>
  <c r="B538" i="91"/>
  <c r="B144" i="95"/>
  <c r="B414" i="91"/>
  <c r="B78" i="95"/>
  <c r="B187" i="91"/>
  <c r="B38" i="95"/>
  <c r="B63" i="91"/>
  <c r="B126" i="95"/>
  <c r="B346" i="91"/>
  <c r="B150" i="95"/>
  <c r="B425" i="91"/>
  <c r="B58" i="95"/>
  <c r="B125" i="91"/>
  <c r="B154" i="95"/>
  <c r="B442" i="91"/>
  <c r="B43" i="95"/>
  <c r="B80" i="91"/>
  <c r="B86" i="95"/>
  <c r="B221" i="91"/>
  <c r="B48" i="95"/>
  <c r="B97" i="91"/>
  <c r="B130" i="95"/>
  <c r="B363" i="91"/>
  <c r="B91" i="95"/>
  <c r="B238" i="91"/>
  <c r="B139" i="95"/>
  <c r="B397" i="91"/>
  <c r="B158" i="95"/>
  <c r="B459" i="91"/>
  <c r="B54" i="95"/>
  <c r="B108" i="91"/>
  <c r="B102" i="95"/>
  <c r="B266" i="91"/>
  <c r="B192" i="95"/>
  <c r="B572" i="91"/>
  <c r="B67" i="95"/>
  <c r="B159" i="91"/>
  <c r="B115" i="95"/>
  <c r="B317" i="91"/>
  <c r="B178" i="95"/>
  <c r="B521" i="91"/>
  <c r="B120" i="95"/>
  <c r="B334" i="91"/>
  <c r="B96" i="95"/>
  <c r="B255" i="91"/>
  <c r="B106" i="95"/>
  <c r="B283" i="91"/>
  <c r="B30" i="95"/>
  <c r="B29" i="91"/>
  <c r="B134" i="95"/>
  <c r="B380" i="91"/>
  <c r="B82" i="95"/>
  <c r="B204" i="91"/>
  <c r="B174" i="95"/>
  <c r="B504" i="91"/>
  <c r="B62" i="95"/>
  <c r="B142" i="91"/>
  <c r="B110" i="95"/>
  <c r="B300" i="91"/>
  <c r="B168" i="95"/>
  <c r="B493" i="91"/>
  <c r="H92" i="73"/>
  <c r="T1836" i="94"/>
  <c r="H1262" i="94"/>
  <c r="Q998" i="94"/>
  <c r="K65" i="94"/>
  <c r="P150" i="72"/>
  <c r="P1805" i="94" s="1"/>
  <c r="P1830" i="94"/>
  <c r="P333"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E21" i="74" s="1"/>
  <c r="E1049" i="94" s="1"/>
  <c r="P140" i="75"/>
  <c r="K151" i="75"/>
  <c r="P130" i="75"/>
  <c r="M149" i="75"/>
  <c r="O125" i="75"/>
  <c r="P138" i="75"/>
  <c r="R30" i="74"/>
  <c r="R1058" i="94" s="1"/>
  <c r="O166" i="75"/>
  <c r="O168" i="75" s="1"/>
  <c r="O170" i="75" s="1"/>
  <c r="P108" i="75"/>
  <c r="P93" i="75"/>
  <c r="K37" i="84"/>
  <c r="K35" i="84"/>
  <c r="J151" i="78"/>
  <c r="J153" i="78" s="1"/>
  <c r="E3" i="86"/>
  <c r="B4" i="82"/>
  <c r="C18" i="84"/>
  <c r="J402" i="72"/>
  <c r="G226" i="72"/>
  <c r="J226" i="72" s="1"/>
  <c r="K9" i="88"/>
  <c r="K23" i="88" s="1"/>
  <c r="K28" i="88" s="1"/>
  <c r="F39" i="88" s="1"/>
  <c r="I59" i="68"/>
  <c r="P141" i="75"/>
  <c r="M152" i="75"/>
  <c r="E75" i="84"/>
  <c r="E77" i="84" s="1"/>
  <c r="C77" i="84"/>
  <c r="G75" i="84"/>
  <c r="G77" i="84" s="1"/>
  <c r="K75" i="84"/>
  <c r="K77" i="84" s="1"/>
  <c r="I75" i="84"/>
  <c r="I77" i="84" s="1"/>
  <c r="P114" i="75"/>
  <c r="G14" i="86"/>
  <c r="G101" i="90"/>
  <c r="Q58" i="73" l="1"/>
  <c r="Q1228" i="94" s="1"/>
  <c r="R1082" i="94"/>
  <c r="S1082" i="94" s="1"/>
  <c r="C40" i="84"/>
  <c r="P428" i="94"/>
  <c r="P429" i="94"/>
  <c r="I439" i="94"/>
  <c r="M2058" i="94"/>
  <c r="J2058" i="94"/>
  <c r="J2059" i="94" s="1"/>
  <c r="B1071" i="94"/>
  <c r="C43" i="74"/>
  <c r="D1067" i="94"/>
  <c r="E39" i="74"/>
  <c r="E10" i="86"/>
  <c r="E30" i="74"/>
  <c r="E1058" i="94" s="1"/>
  <c r="D1058" i="94"/>
  <c r="N996" i="94"/>
  <c r="H57" i="73"/>
  <c r="H1227" i="94" s="1"/>
  <c r="F1227" i="94"/>
  <c r="I1227" i="94" s="1"/>
  <c r="H63" i="73"/>
  <c r="H1233" i="94" s="1"/>
  <c r="F1233" i="94"/>
  <c r="I1233" i="94" s="1"/>
  <c r="F1219" i="94"/>
  <c r="I1225" i="94"/>
  <c r="I1232" i="94"/>
  <c r="I58" i="73"/>
  <c r="F1228" i="94"/>
  <c r="I1228" i="94" s="1"/>
  <c r="N1225" i="94"/>
  <c r="N1232" i="94"/>
  <c r="F1221" i="94"/>
  <c r="I45" i="73"/>
  <c r="F1215" i="94"/>
  <c r="I1215" i="94" s="1"/>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I51" i="73" s="1"/>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K56" i="73"/>
  <c r="K1226" i="94" s="1"/>
  <c r="N1226" i="94" s="1"/>
  <c r="P154" i="75"/>
  <c r="N42" i="73"/>
  <c r="M42" i="73"/>
  <c r="M1212" i="94" s="1"/>
  <c r="C81" i="84"/>
  <c r="C80" i="84"/>
  <c r="F13" i="74"/>
  <c r="F21" i="74" s="1"/>
  <c r="F1049" i="94" s="1"/>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P430" i="94" l="1"/>
  <c r="C1071" i="94"/>
  <c r="D43" i="74"/>
  <c r="E1067" i="94"/>
  <c r="F39" i="74"/>
  <c r="F10" i="86"/>
  <c r="I1230" i="94"/>
  <c r="I1218" i="94"/>
  <c r="N1211" i="94"/>
  <c r="N66" i="73"/>
  <c r="K1236" i="94"/>
  <c r="N1236" i="94" s="1"/>
  <c r="I52" i="73"/>
  <c r="F1222" i="94"/>
  <c r="I1222" i="94" s="1"/>
  <c r="F1230" i="94"/>
  <c r="M43" i="73"/>
  <c r="M1213" i="94" s="1"/>
  <c r="K1213" i="94"/>
  <c r="N1213" i="94" s="1"/>
  <c r="K1230" i="94"/>
  <c r="I66" i="73"/>
  <c r="F1236" i="94"/>
  <c r="I1236" i="94" s="1"/>
  <c r="I1237" i="94" s="1"/>
  <c r="I1211" i="94"/>
  <c r="I1216" i="94" s="1"/>
  <c r="F1216" i="94"/>
  <c r="N1230" i="94"/>
  <c r="N65" i="73"/>
  <c r="K1235" i="94"/>
  <c r="M45" i="73"/>
  <c r="M1215" i="94" s="1"/>
  <c r="K1215" i="94"/>
  <c r="N1215" i="94" s="1"/>
  <c r="E14" i="74"/>
  <c r="E1042" i="94" s="1"/>
  <c r="B1042" i="94"/>
  <c r="K463" i="73"/>
  <c r="K1633" i="94"/>
  <c r="N1630" i="94"/>
  <c r="N1629" i="94"/>
  <c r="L43" i="73"/>
  <c r="L1213" i="94" s="1"/>
  <c r="G1213" i="94"/>
  <c r="L51" i="73"/>
  <c r="G1221" i="94"/>
  <c r="I1221" i="94" s="1"/>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G21" i="74" s="1"/>
  <c r="G1049" i="94" s="1"/>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D1071" i="94" l="1"/>
  <c r="E43" i="74"/>
  <c r="G10" i="86"/>
  <c r="F1067" i="94"/>
  <c r="G39" i="74"/>
  <c r="H10" i="86" s="1"/>
  <c r="C1048" i="94"/>
  <c r="E1048" i="94"/>
  <c r="D1048" i="94"/>
  <c r="F1048" i="94"/>
  <c r="N67" i="73"/>
  <c r="F1237" i="94"/>
  <c r="F1223" i="94"/>
  <c r="I1223" i="94"/>
  <c r="H1239" i="94" s="1"/>
  <c r="N1235" i="94"/>
  <c r="N1237" i="94" s="1"/>
  <c r="K1237" i="94"/>
  <c r="K1216" i="94"/>
  <c r="N1216" i="94"/>
  <c r="M600" i="94"/>
  <c r="M601" i="94" s="1"/>
  <c r="M603" i="94" s="1"/>
  <c r="H8" i="88"/>
  <c r="I8" i="88" s="1"/>
  <c r="J600" i="94"/>
  <c r="J601" i="94" s="1"/>
  <c r="J603" i="94" s="1"/>
  <c r="N1003" i="94"/>
  <c r="Q1003" i="94"/>
  <c r="Q1015"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H21" i="74" s="1"/>
  <c r="H1049" i="94" s="1"/>
  <c r="G23" i="74"/>
  <c r="G1051" i="94" s="1"/>
  <c r="G14" i="74"/>
  <c r="G1042" i="94" s="1"/>
  <c r="G20" i="74"/>
  <c r="P154" i="78"/>
  <c r="P155" i="78" s="1"/>
  <c r="P157" i="78" s="1"/>
  <c r="E172" i="90"/>
  <c r="E173" i="90" s="1"/>
  <c r="B22" i="74"/>
  <c r="B1050" i="94" s="1"/>
  <c r="C66" i="84"/>
  <c r="N234" i="75"/>
  <c r="Q234" i="75"/>
  <c r="Q246" i="75"/>
  <c r="I53" i="73"/>
  <c r="F69" i="73"/>
  <c r="E15" i="74" l="1"/>
  <c r="N1634" i="94"/>
  <c r="O1634" i="94" s="1"/>
  <c r="S1805" i="94"/>
  <c r="E1071" i="94"/>
  <c r="F43" i="74"/>
  <c r="H39" i="74"/>
  <c r="G1067" i="94"/>
  <c r="G1048" i="94"/>
  <c r="K1239" i="94"/>
  <c r="F1239" i="94"/>
  <c r="D15" i="74"/>
  <c r="C15" i="74"/>
  <c r="B16" i="74"/>
  <c r="B19" i="74" s="1"/>
  <c r="B1047" i="94" s="1"/>
  <c r="C53" i="84"/>
  <c r="I53" i="84" s="1"/>
  <c r="I54" i="84" s="1"/>
  <c r="I56" i="84" s="1"/>
  <c r="I64" i="84" s="1"/>
  <c r="G15" i="74"/>
  <c r="G1043" i="94" s="1"/>
  <c r="M1239" i="94"/>
  <c r="F15" i="74"/>
  <c r="B1043" i="94"/>
  <c r="C20" i="84"/>
  <c r="J604" i="94"/>
  <c r="O2077" i="94"/>
  <c r="O2078" i="94" s="1"/>
  <c r="O2083" i="94"/>
  <c r="O2084" i="94" s="1"/>
  <c r="I1941" i="94"/>
  <c r="N1631" i="94"/>
  <c r="O1402" i="94"/>
  <c r="AE562" i="94"/>
  <c r="M1478" i="94"/>
  <c r="L1478" i="94" s="1"/>
  <c r="M1475" i="94"/>
  <c r="L1475" i="94" s="1"/>
  <c r="AE559" i="94"/>
  <c r="AE560" i="94"/>
  <c r="AE563" i="94"/>
  <c r="AE561" i="94"/>
  <c r="AE564" i="94"/>
  <c r="Q229" i="75"/>
  <c r="N227" i="75"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E16" i="74"/>
  <c r="E1044" i="94" s="1"/>
  <c r="K5" i="74"/>
  <c r="K1033" i="94" s="1"/>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H15" i="74"/>
  <c r="H1043" i="94" s="1"/>
  <c r="H14" i="74"/>
  <c r="H1042" i="94" s="1"/>
  <c r="H20" i="74"/>
  <c r="I22" i="74" l="1"/>
  <c r="I1050" i="94" s="1"/>
  <c r="I21" i="74"/>
  <c r="I1049" i="94" s="1"/>
  <c r="B1044" i="94"/>
  <c r="J4" i="91"/>
  <c r="C1043" i="94"/>
  <c r="B38" i="74"/>
  <c r="B1066" i="94" s="1"/>
  <c r="D1043" i="94"/>
  <c r="E1043" i="94"/>
  <c r="E38" i="74"/>
  <c r="E1066" i="94" s="1"/>
  <c r="F1071" i="94"/>
  <c r="G43" i="74"/>
  <c r="H1067" i="94"/>
  <c r="I39" i="74"/>
  <c r="C30" i="86" s="1"/>
  <c r="I10" i="86"/>
  <c r="H1048" i="94"/>
  <c r="C16" i="74"/>
  <c r="C1044" i="94" s="1"/>
  <c r="E53" i="84"/>
  <c r="E54" i="84" s="1"/>
  <c r="E56" i="84" s="1"/>
  <c r="E64" i="84" s="1"/>
  <c r="E70" i="84" s="1"/>
  <c r="E76" i="84" s="1"/>
  <c r="E73" i="84" s="1"/>
  <c r="L4" i="95"/>
  <c r="C54" i="84"/>
  <c r="C56" i="84" s="1"/>
  <c r="C64" i="84" s="1"/>
  <c r="C70" i="84" s="1"/>
  <c r="C76" i="84" s="1"/>
  <c r="C73" i="84" s="1"/>
  <c r="K7" i="74"/>
  <c r="K1035" i="94" s="1"/>
  <c r="K53" i="84"/>
  <c r="K54" i="84" s="1"/>
  <c r="K56" i="84" s="1"/>
  <c r="K64" i="84" s="1"/>
  <c r="K70" i="84" s="1"/>
  <c r="K72" i="84" s="1"/>
  <c r="G53" i="84"/>
  <c r="G54" i="84" s="1"/>
  <c r="D16" i="74"/>
  <c r="D1044" i="94" s="1"/>
  <c r="G16" i="74"/>
  <c r="B24" i="74"/>
  <c r="F1043" i="94"/>
  <c r="F16" i="74"/>
  <c r="F38" i="74" s="1"/>
  <c r="F1066" i="94" s="1"/>
  <c r="O58" i="72"/>
  <c r="O1713" i="94" s="1"/>
  <c r="AF562" i="94"/>
  <c r="N1633" i="94"/>
  <c r="K1634" i="94"/>
  <c r="AF559" i="9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O50" i="72"/>
  <c r="O1705" i="94" s="1"/>
  <c r="R1705" i="94" s="1"/>
  <c r="I70" i="84"/>
  <c r="I76" i="84" s="1"/>
  <c r="I73" i="84" s="1"/>
  <c r="E19" i="74"/>
  <c r="E1047" i="94" s="1"/>
  <c r="C33" i="86"/>
  <c r="D13" i="86"/>
  <c r="H16" i="74"/>
  <c r="H1044" i="94" s="1"/>
  <c r="E13" i="86"/>
  <c r="I53" i="82"/>
  <c r="J30" i="74"/>
  <c r="J1058" i="94" s="1"/>
  <c r="L240" i="72"/>
  <c r="K240" i="72"/>
  <c r="I23" i="74"/>
  <c r="I1051" i="94" s="1"/>
  <c r="J13" i="74"/>
  <c r="J21" i="74" s="1"/>
  <c r="J1049" i="94" s="1"/>
  <c r="I15" i="74"/>
  <c r="I1043" i="94" s="1"/>
  <c r="I14" i="74"/>
  <c r="I1042" i="94" s="1"/>
  <c r="I20" i="74"/>
  <c r="I13" i="86"/>
  <c r="H13" i="86"/>
  <c r="F13" i="86"/>
  <c r="G13" i="86"/>
  <c r="A9" i="83"/>
  <c r="C19" i="74" l="1"/>
  <c r="C1047" i="94" s="1"/>
  <c r="G1044" i="94"/>
  <c r="G38" i="74"/>
  <c r="G1066" i="94" s="1"/>
  <c r="H38" i="74"/>
  <c r="H1066" i="94" s="1"/>
  <c r="C38" i="74"/>
  <c r="C1066" i="94" s="1"/>
  <c r="D38" i="74"/>
  <c r="D1066" i="94" s="1"/>
  <c r="B1052" i="94"/>
  <c r="B37" i="74"/>
  <c r="B1065" i="94" s="1"/>
  <c r="B33" i="74"/>
  <c r="B1061" i="94" s="1"/>
  <c r="G1071" i="94"/>
  <c r="H43" i="74"/>
  <c r="I1067" i="94"/>
  <c r="J39" i="74"/>
  <c r="I1048" i="94"/>
  <c r="B44" i="82"/>
  <c r="B46" i="82" s="1"/>
  <c r="G56" i="84"/>
  <c r="G64" i="84" s="1"/>
  <c r="G70" i="84" s="1"/>
  <c r="G72" i="84" s="1"/>
  <c r="C72" i="84"/>
  <c r="D19" i="74"/>
  <c r="D1047" i="94" s="1"/>
  <c r="B32" i="74"/>
  <c r="B1060" i="94" s="1"/>
  <c r="G19" i="74"/>
  <c r="G1047" i="94" s="1"/>
  <c r="F1044" i="94"/>
  <c r="F19" i="74"/>
  <c r="E118" i="78"/>
  <c r="A118" i="78" s="1"/>
  <c r="P1713" i="94"/>
  <c r="P50" i="72"/>
  <c r="P1705" i="94" s="1"/>
  <c r="K21" i="88"/>
  <c r="K30" i="88" s="1"/>
  <c r="K34" i="88" s="1"/>
  <c r="J169" i="78"/>
  <c r="J615" i="94" s="1"/>
  <c r="J617" i="94" s="1"/>
  <c r="J619" i="94" s="1"/>
  <c r="J622" i="94" s="1"/>
  <c r="J626" i="94" s="1"/>
  <c r="K13" i="88"/>
  <c r="R50" i="72"/>
  <c r="I72" i="84"/>
  <c r="E72" i="84"/>
  <c r="K76" i="84"/>
  <c r="K73" i="84" s="1"/>
  <c r="E24" i="74"/>
  <c r="D24" i="74"/>
  <c r="C24" i="74"/>
  <c r="K30" i="74"/>
  <c r="K1058" i="94" s="1"/>
  <c r="J53" i="82"/>
  <c r="K13" i="74"/>
  <c r="K21" i="74" s="1"/>
  <c r="K1049" i="94" s="1"/>
  <c r="J23" i="74"/>
  <c r="J1051" i="94" s="1"/>
  <c r="J14" i="74"/>
  <c r="J1042" i="94" s="1"/>
  <c r="J15" i="74"/>
  <c r="J1043" i="94" s="1"/>
  <c r="J20" i="74"/>
  <c r="J22" i="74"/>
  <c r="J1050" i="94" s="1"/>
  <c r="I16" i="74"/>
  <c r="I1044" i="94" s="1"/>
  <c r="H19" i="74"/>
  <c r="H1047" i="94" s="1"/>
  <c r="J630" i="94" l="1"/>
  <c r="M628" i="94"/>
  <c r="D33" i="74"/>
  <c r="D1061" i="94" s="1"/>
  <c r="D37" i="74"/>
  <c r="D1065" i="94" s="1"/>
  <c r="I38" i="74"/>
  <c r="I1066" i="94" s="1"/>
  <c r="C33" i="74"/>
  <c r="C1061" i="94" s="1"/>
  <c r="C37" i="74"/>
  <c r="C1065" i="94" s="1"/>
  <c r="E33" i="74"/>
  <c r="E1061" i="94" s="1"/>
  <c r="E37" i="74"/>
  <c r="E1065" i="94" s="1"/>
  <c r="H1071" i="94"/>
  <c r="I43" i="74"/>
  <c r="D30" i="86"/>
  <c r="J1067" i="94"/>
  <c r="K39" i="74"/>
  <c r="E30" i="86" s="1"/>
  <c r="B51" i="82"/>
  <c r="J1048" i="94"/>
  <c r="G76" i="84"/>
  <c r="G73" i="84" s="1"/>
  <c r="G24" i="74"/>
  <c r="S20" i="74"/>
  <c r="S1048" i="94" s="1"/>
  <c r="C9" i="86"/>
  <c r="C17" i="86" s="1"/>
  <c r="C18" i="86" s="1"/>
  <c r="C20" i="86" s="1"/>
  <c r="C24" i="86" s="1"/>
  <c r="K6" i="86" s="1"/>
  <c r="G66" i="86" s="1"/>
  <c r="N85" i="85" s="1"/>
  <c r="F1047" i="94"/>
  <c r="F24" i="74"/>
  <c r="E564" i="94"/>
  <c r="A564" i="94" s="1"/>
  <c r="C32" i="74"/>
  <c r="C1060" i="94" s="1"/>
  <c r="C1052" i="94"/>
  <c r="E44" i="82"/>
  <c r="E46" i="82" s="1"/>
  <c r="E1052" i="94"/>
  <c r="D44" i="82"/>
  <c r="D46" i="82" s="1"/>
  <c r="D1052" i="94"/>
  <c r="J171" i="78"/>
  <c r="J173" i="78" s="1"/>
  <c r="E32" i="74"/>
  <c r="D32" i="74"/>
  <c r="D1060" i="94" s="1"/>
  <c r="C44" i="82"/>
  <c r="C46" i="82" s="1"/>
  <c r="G32" i="74"/>
  <c r="I19" i="74"/>
  <c r="K23" i="74"/>
  <c r="K1051" i="94" s="1"/>
  <c r="B45" i="74"/>
  <c r="B53" i="74" s="1"/>
  <c r="B1081" i="94" s="1"/>
  <c r="K14" i="74"/>
  <c r="K1042" i="94" s="1"/>
  <c r="K15" i="74"/>
  <c r="K1043" i="94" s="1"/>
  <c r="K20" i="74"/>
  <c r="K22" i="74"/>
  <c r="K1050" i="94" s="1"/>
  <c r="H24" i="74"/>
  <c r="D33" i="86"/>
  <c r="B62" i="74"/>
  <c r="B1090" i="94" s="1"/>
  <c r="K53" i="82"/>
  <c r="J16" i="74"/>
  <c r="J1044" i="94" s="1"/>
  <c r="B15" i="82" l="1"/>
  <c r="J176" i="78"/>
  <c r="J180" i="78" s="1"/>
  <c r="J38" i="74"/>
  <c r="J1066" i="94" s="1"/>
  <c r="H1052" i="94"/>
  <c r="H33" i="74"/>
  <c r="H1061" i="94" s="1"/>
  <c r="H37" i="74"/>
  <c r="H1065" i="94" s="1"/>
  <c r="F33" i="74"/>
  <c r="F1061" i="94" s="1"/>
  <c r="F37" i="74"/>
  <c r="F1065" i="94" s="1"/>
  <c r="G1052" i="94"/>
  <c r="G33" i="74"/>
  <c r="G1061" i="94" s="1"/>
  <c r="G37" i="74"/>
  <c r="G1065" i="94" s="1"/>
  <c r="I1071" i="94"/>
  <c r="J43" i="74"/>
  <c r="B71" i="74"/>
  <c r="K1067" i="94"/>
  <c r="K1048" i="94"/>
  <c r="G44" i="82"/>
  <c r="G46" i="82" s="1"/>
  <c r="S21" i="74"/>
  <c r="S1049" i="94" s="1"/>
  <c r="D9" i="86"/>
  <c r="D17" i="86" s="1"/>
  <c r="D18" i="86" s="1"/>
  <c r="D20" i="86" s="1"/>
  <c r="D24" i="86" s="1"/>
  <c r="K7" i="86" s="1"/>
  <c r="F1052" i="94"/>
  <c r="F32" i="74"/>
  <c r="S24" i="74" s="1"/>
  <c r="S1052" i="94" s="1"/>
  <c r="F44" i="82"/>
  <c r="D51" i="82"/>
  <c r="E51" i="82"/>
  <c r="H9" i="86"/>
  <c r="H17" i="86" s="1"/>
  <c r="H18" i="86" s="1"/>
  <c r="H20" i="86" s="1"/>
  <c r="H24" i="86" s="1"/>
  <c r="K11" i="86" s="1"/>
  <c r="G1060" i="94"/>
  <c r="F9" i="86"/>
  <c r="F17" i="86" s="1"/>
  <c r="F18" i="86" s="1"/>
  <c r="F20" i="86" s="1"/>
  <c r="F24" i="86" s="1"/>
  <c r="K9" i="86" s="1"/>
  <c r="E1060" i="94"/>
  <c r="I24" i="74"/>
  <c r="I1047" i="94"/>
  <c r="S23" i="74"/>
  <c r="S1051" i="94" s="1"/>
  <c r="E9" i="86"/>
  <c r="E17" i="86" s="1"/>
  <c r="E18" i="86" s="1"/>
  <c r="E20" i="86" s="1"/>
  <c r="E24" i="86" s="1"/>
  <c r="K8" i="86" s="1"/>
  <c r="C51" i="82"/>
  <c r="S22" i="74"/>
  <c r="S1050" i="94" s="1"/>
  <c r="J19" i="74"/>
  <c r="H44" i="82"/>
  <c r="H32" i="74"/>
  <c r="H1060" i="94" s="1"/>
  <c r="K16" i="74"/>
  <c r="K1044" i="94" s="1"/>
  <c r="C45" i="74"/>
  <c r="C53" i="74" s="1"/>
  <c r="C1081" i="94" s="1"/>
  <c r="B55" i="74"/>
  <c r="B1083" i="94" s="1"/>
  <c r="B47" i="74"/>
  <c r="B1075" i="94" s="1"/>
  <c r="B46" i="74"/>
  <c r="B1074" i="94" s="1"/>
  <c r="B52" i="74"/>
  <c r="B54" i="74"/>
  <c r="B1082" i="94" s="1"/>
  <c r="C62" i="74"/>
  <c r="C1090" i="94" s="1"/>
  <c r="B73" i="82"/>
  <c r="E33" i="86"/>
  <c r="M182" i="78" l="1"/>
  <c r="J184" i="78"/>
  <c r="K38" i="74"/>
  <c r="K1066" i="94" s="1"/>
  <c r="I1052" i="94"/>
  <c r="I33" i="74"/>
  <c r="I1061" i="94" s="1"/>
  <c r="I37" i="74"/>
  <c r="I1065" i="94" s="1"/>
  <c r="J1071" i="94"/>
  <c r="K43" i="74"/>
  <c r="F30" i="86"/>
  <c r="B1099" i="94"/>
  <c r="C71" i="74"/>
  <c r="G51" i="82"/>
  <c r="B1080" i="94"/>
  <c r="S25" i="74"/>
  <c r="S1053" i="94" s="1"/>
  <c r="F51" i="82"/>
  <c r="F46" i="82"/>
  <c r="F1060" i="94"/>
  <c r="G9" i="86"/>
  <c r="G17" i="86" s="1"/>
  <c r="G18" i="86" s="1"/>
  <c r="G20" i="86" s="1"/>
  <c r="G24" i="86" s="1"/>
  <c r="K10" i="86" s="1"/>
  <c r="I44" i="82"/>
  <c r="I46" i="82" s="1"/>
  <c r="J24" i="74"/>
  <c r="J1047" i="94"/>
  <c r="I32" i="74"/>
  <c r="I1060" i="94" s="1"/>
  <c r="C73" i="82"/>
  <c r="D62" i="74"/>
  <c r="D1090" i="94" s="1"/>
  <c r="C47" i="74"/>
  <c r="C1075" i="94" s="1"/>
  <c r="C55" i="74"/>
  <c r="C1083" i="94" s="1"/>
  <c r="D45" i="74"/>
  <c r="D53" i="74" s="1"/>
  <c r="D1081" i="94" s="1"/>
  <c r="C46" i="74"/>
  <c r="C1074" i="94" s="1"/>
  <c r="C52" i="74"/>
  <c r="C54" i="74"/>
  <c r="C1082" i="94" s="1"/>
  <c r="B48" i="74"/>
  <c r="B1076" i="94" s="1"/>
  <c r="I9" i="86"/>
  <c r="S26" i="74"/>
  <c r="S1054" i="94" s="1"/>
  <c r="H51" i="82"/>
  <c r="H46" i="82"/>
  <c r="F33" i="86"/>
  <c r="K19" i="74"/>
  <c r="K1047" i="94" s="1"/>
  <c r="I34" i="94" l="1"/>
  <c r="C21" i="86"/>
  <c r="L50" i="68"/>
  <c r="E99" i="78"/>
  <c r="L49" i="68"/>
  <c r="I9" i="66"/>
  <c r="M61" i="85"/>
  <c r="P61" i="85" s="1"/>
  <c r="B70" i="74"/>
  <c r="B1098" i="94" s="1"/>
  <c r="J1052" i="94"/>
  <c r="J33" i="74"/>
  <c r="J1061" i="94" s="1"/>
  <c r="J37" i="74"/>
  <c r="J1065" i="94" s="1"/>
  <c r="K1071" i="94"/>
  <c r="B75" i="74"/>
  <c r="G30" i="86"/>
  <c r="C1099" i="94"/>
  <c r="D71" i="74"/>
  <c r="C1080" i="94"/>
  <c r="I51" i="82"/>
  <c r="J44" i="82"/>
  <c r="J51" i="82" s="1"/>
  <c r="J32" i="74"/>
  <c r="S28" i="74" s="1"/>
  <c r="S1056" i="94" s="1"/>
  <c r="C29" i="86"/>
  <c r="C37" i="86" s="1"/>
  <c r="C38" i="86" s="1"/>
  <c r="C40" i="86" s="1"/>
  <c r="C44" i="86" s="1"/>
  <c r="K13" i="86" s="1"/>
  <c r="S27" i="74"/>
  <c r="S1055" i="94" s="1"/>
  <c r="I17" i="86"/>
  <c r="I18" i="86" s="1"/>
  <c r="I20" i="86" s="1"/>
  <c r="I24" i="86" s="1"/>
  <c r="K12" i="86" s="1"/>
  <c r="E45" i="74"/>
  <c r="E53" i="74" s="1"/>
  <c r="E1081" i="94" s="1"/>
  <c r="D55" i="74"/>
  <c r="D1083" i="94" s="1"/>
  <c r="D47" i="74"/>
  <c r="D1075" i="94" s="1"/>
  <c r="D46" i="74"/>
  <c r="D1074" i="94" s="1"/>
  <c r="D52" i="74"/>
  <c r="D54" i="74"/>
  <c r="D1082" i="94" s="1"/>
  <c r="E62" i="74"/>
  <c r="E1090" i="94" s="1"/>
  <c r="D73" i="82"/>
  <c r="G33" i="86"/>
  <c r="K24" i="74"/>
  <c r="B51" i="74"/>
  <c r="B1079" i="94" s="1"/>
  <c r="C48" i="74"/>
  <c r="C1076" i="94" s="1"/>
  <c r="J99" i="78" l="1"/>
  <c r="E545" i="94"/>
  <c r="J545" i="94" s="1"/>
  <c r="N50" i="68"/>
  <c r="N429" i="94" s="1"/>
  <c r="L429" i="94"/>
  <c r="C41" i="86"/>
  <c r="D41" i="86" s="1"/>
  <c r="E41" i="86" s="1"/>
  <c r="D21" i="86"/>
  <c r="C22" i="86"/>
  <c r="C42" i="86" s="1"/>
  <c r="D42" i="86" s="1"/>
  <c r="E42" i="86" s="1"/>
  <c r="L428" i="94"/>
  <c r="N49" i="68"/>
  <c r="N428" i="94" s="1"/>
  <c r="B14" i="82"/>
  <c r="C70" i="74"/>
  <c r="C1098" i="94" s="1"/>
  <c r="K1052" i="94"/>
  <c r="K33" i="74"/>
  <c r="K1061" i="94" s="1"/>
  <c r="K37" i="74"/>
  <c r="K1065" i="94" s="1"/>
  <c r="D29" i="86"/>
  <c r="D37" i="86" s="1"/>
  <c r="D38" i="86" s="1"/>
  <c r="D40" i="86" s="1"/>
  <c r="D44" i="86" s="1"/>
  <c r="K14" i="86" s="1"/>
  <c r="B1103" i="94"/>
  <c r="C75" i="74"/>
  <c r="H30" i="86"/>
  <c r="E71" i="74"/>
  <c r="D1099" i="94"/>
  <c r="D1080" i="94"/>
  <c r="J46" i="82"/>
  <c r="J1060" i="94"/>
  <c r="C51" i="74"/>
  <c r="E73" i="82"/>
  <c r="F62" i="74"/>
  <c r="F1090" i="94" s="1"/>
  <c r="D48" i="74"/>
  <c r="D1076" i="94" s="1"/>
  <c r="B56" i="74"/>
  <c r="K44" i="82"/>
  <c r="K32" i="74"/>
  <c r="K1060" i="94" s="1"/>
  <c r="E46" i="74"/>
  <c r="E1074" i="94" s="1"/>
  <c r="E55" i="74"/>
  <c r="E1083" i="94" s="1"/>
  <c r="F45" i="74"/>
  <c r="F53" i="74" s="1"/>
  <c r="F1081" i="94" s="1"/>
  <c r="E47" i="74"/>
  <c r="E1075" i="94" s="1"/>
  <c r="E52" i="74"/>
  <c r="E54" i="74"/>
  <c r="E1082" i="94" s="1"/>
  <c r="H33" i="86"/>
  <c r="B20" i="82" l="1"/>
  <c r="B21" i="82" s="1"/>
  <c r="G20" i="82"/>
  <c r="E21" i="86"/>
  <c r="D22" i="86"/>
  <c r="D70" i="74"/>
  <c r="D1098" i="94" s="1"/>
  <c r="B1084" i="94"/>
  <c r="B65" i="74"/>
  <c r="B1093" i="94" s="1"/>
  <c r="B69" i="74"/>
  <c r="B1097" i="94" s="1"/>
  <c r="C1103" i="94"/>
  <c r="D75" i="74"/>
  <c r="I30" i="86"/>
  <c r="F71" i="74"/>
  <c r="E1099" i="94"/>
  <c r="E1080" i="94"/>
  <c r="C56" i="74"/>
  <c r="C1079" i="94"/>
  <c r="D51" i="74"/>
  <c r="D1079" i="94" s="1"/>
  <c r="F55" i="74"/>
  <c r="F1083" i="94" s="1"/>
  <c r="F47" i="74"/>
  <c r="F1075" i="94" s="1"/>
  <c r="F46" i="74"/>
  <c r="F1074" i="94" s="1"/>
  <c r="G45" i="74"/>
  <c r="G53" i="74" s="1"/>
  <c r="G1081" i="94" s="1"/>
  <c r="F52" i="74"/>
  <c r="F54" i="74"/>
  <c r="F1082" i="94" s="1"/>
  <c r="E48" i="74"/>
  <c r="E1076" i="94" s="1"/>
  <c r="E29" i="86"/>
  <c r="S29" i="74"/>
  <c r="S1057" i="94" s="1"/>
  <c r="F73" i="82"/>
  <c r="G62" i="74"/>
  <c r="G1090" i="94" s="1"/>
  <c r="K51" i="82"/>
  <c r="K46" i="82"/>
  <c r="B25" i="82" s="1"/>
  <c r="I33" i="86"/>
  <c r="B64" i="82"/>
  <c r="B64" i="74"/>
  <c r="B1092" i="94" s="1"/>
  <c r="F21" i="86" l="1"/>
  <c r="E22" i="86"/>
  <c r="C1084" i="94"/>
  <c r="C65" i="74"/>
  <c r="C1093" i="94" s="1"/>
  <c r="C69" i="74"/>
  <c r="C1097" i="94" s="1"/>
  <c r="E70" i="74"/>
  <c r="E1098" i="94" s="1"/>
  <c r="D1103" i="94"/>
  <c r="E75" i="74"/>
  <c r="C50" i="86"/>
  <c r="G71" i="74"/>
  <c r="F1099" i="94"/>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H53" i="74" s="1"/>
  <c r="H1081" i="94" s="1"/>
  <c r="G46" i="74"/>
  <c r="G1074" i="94" s="1"/>
  <c r="G52" i="74"/>
  <c r="G54" i="74"/>
  <c r="G1082" i="94" s="1"/>
  <c r="G21" i="86" l="1"/>
  <c r="F22" i="86"/>
  <c r="F70" i="74"/>
  <c r="F1098" i="94" s="1"/>
  <c r="D1084" i="94"/>
  <c r="D65" i="74"/>
  <c r="D1093" i="94" s="1"/>
  <c r="D69" i="74"/>
  <c r="D1097" i="94" s="1"/>
  <c r="E1103" i="94"/>
  <c r="F75" i="74"/>
  <c r="D50" i="86"/>
  <c r="H71" i="74"/>
  <c r="G1099" i="94"/>
  <c r="G1080" i="94"/>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I53" i="74" s="1"/>
  <c r="I1081" i="94" s="1"/>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H21" i="86" l="1"/>
  <c r="G22" i="86"/>
  <c r="D57" i="86"/>
  <c r="D58" i="86" s="1"/>
  <c r="D60" i="86" s="1"/>
  <c r="D64" i="86" s="1"/>
  <c r="K21" i="86" s="1"/>
  <c r="E65" i="74"/>
  <c r="E1093" i="94" s="1"/>
  <c r="E69" i="74"/>
  <c r="E1097" i="94" s="1"/>
  <c r="G70" i="74"/>
  <c r="G1098" i="94" s="1"/>
  <c r="F1103" i="94"/>
  <c r="G75" i="74"/>
  <c r="G1103" i="94" s="1"/>
  <c r="I71" i="74"/>
  <c r="E50" i="86"/>
  <c r="H1099" i="94"/>
  <c r="H1080" i="94"/>
  <c r="E64" i="82"/>
  <c r="E71" i="82" s="1"/>
  <c r="E74" i="82" s="1"/>
  <c r="E1084" i="94"/>
  <c r="E64" i="74"/>
  <c r="B76" i="82"/>
  <c r="E53" i="86"/>
  <c r="H29" i="86"/>
  <c r="S32" i="74"/>
  <c r="S1060" i="94" s="1"/>
  <c r="J45" i="74"/>
  <c r="J53" i="74" s="1"/>
  <c r="J1081" i="94" s="1"/>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H22" i="86" l="1"/>
  <c r="I21" i="86"/>
  <c r="I22" i="86" s="1"/>
  <c r="E57" i="86"/>
  <c r="E58" i="86" s="1"/>
  <c r="E60" i="86" s="1"/>
  <c r="E64" i="86" s="1"/>
  <c r="K22" i="86" s="1"/>
  <c r="H70" i="74"/>
  <c r="H1098" i="94" s="1"/>
  <c r="F1084" i="94"/>
  <c r="F65" i="74"/>
  <c r="F1093" i="94" s="1"/>
  <c r="F69" i="74"/>
  <c r="F1097" i="94" s="1"/>
  <c r="F50" i="86"/>
  <c r="J71" i="74"/>
  <c r="G50" i="86" s="1"/>
  <c r="I1099" i="94"/>
  <c r="I1080" i="94"/>
  <c r="E66" i="82"/>
  <c r="S33" i="74"/>
  <c r="S1061" i="94" s="1"/>
  <c r="E1092" i="94"/>
  <c r="I29" i="86"/>
  <c r="I37" i="86" s="1"/>
  <c r="I38" i="86" s="1"/>
  <c r="I40" i="86" s="1"/>
  <c r="I44" i="86" s="1"/>
  <c r="K19" i="86" s="1"/>
  <c r="J47" i="74"/>
  <c r="J1075" i="94" s="1"/>
  <c r="K45" i="74"/>
  <c r="K53" i="74" s="1"/>
  <c r="K1081" i="94" s="1"/>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l="1"/>
  <c r="F58" i="86" s="1"/>
  <c r="F60" i="86" s="1"/>
  <c r="F64" i="86" s="1"/>
  <c r="K23" i="86" s="1"/>
  <c r="G1084" i="94"/>
  <c r="G65" i="74"/>
  <c r="G1093" i="94" s="1"/>
  <c r="G69" i="74"/>
  <c r="G1097" i="94" s="1"/>
  <c r="I70" i="74"/>
  <c r="I1098" i="94" s="1"/>
  <c r="K71" i="74"/>
  <c r="J1099" i="94"/>
  <c r="J1080" i="94"/>
  <c r="I51" i="74"/>
  <c r="F66" i="82"/>
  <c r="F71" i="82"/>
  <c r="F74" i="82" s="1"/>
  <c r="G53" i="86"/>
  <c r="G57" i="86" s="1"/>
  <c r="G58" i="86" s="1"/>
  <c r="G60" i="86" s="1"/>
  <c r="G64" i="86" s="1"/>
  <c r="K24" i="86" s="1"/>
  <c r="G64" i="82"/>
  <c r="G64" i="74"/>
  <c r="G1092" i="94" s="1"/>
  <c r="J48" i="74"/>
  <c r="J1076" i="94" s="1"/>
  <c r="C49" i="86"/>
  <c r="S34" i="74"/>
  <c r="K73" i="82"/>
  <c r="B94" i="74"/>
  <c r="B1122" i="94" s="1"/>
  <c r="B77" i="74"/>
  <c r="B85" i="74" s="1"/>
  <c r="B1113" i="94" s="1"/>
  <c r="K55" i="74"/>
  <c r="K1083" i="94" s="1"/>
  <c r="K46" i="74"/>
  <c r="K1074" i="94" s="1"/>
  <c r="K47" i="74"/>
  <c r="K1075" i="94" s="1"/>
  <c r="K52" i="74"/>
  <c r="K54" i="74"/>
  <c r="K1082" i="94" s="1"/>
  <c r="H56" i="74"/>
  <c r="J70" i="74" l="1"/>
  <c r="J1098" i="94" s="1"/>
  <c r="H1084" i="94"/>
  <c r="H65" i="74"/>
  <c r="H1093" i="94" s="1"/>
  <c r="H69" i="74"/>
  <c r="H1097" i="94" s="1"/>
  <c r="H50" i="86"/>
  <c r="L63" i="85"/>
  <c r="O8" i="86"/>
  <c r="O14" i="86" s="1"/>
  <c r="O33" i="86" s="1"/>
  <c r="H63" i="86" s="1"/>
  <c r="K1099" i="94"/>
  <c r="C85" i="90"/>
  <c r="B102" i="74"/>
  <c r="L93" i="85"/>
  <c r="K1080" i="94"/>
  <c r="F45" i="68"/>
  <c r="F424" i="94" s="1"/>
  <c r="S1062" i="94"/>
  <c r="I56" i="74"/>
  <c r="I1079" i="94"/>
  <c r="J51" i="74"/>
  <c r="C57" i="86"/>
  <c r="C58" i="86" s="1"/>
  <c r="C60" i="86" s="1"/>
  <c r="C64" i="86" s="1"/>
  <c r="K20" i="86" s="1"/>
  <c r="F75" i="82"/>
  <c r="F76" i="82" s="1"/>
  <c r="B87" i="74"/>
  <c r="B1115" i="94" s="1"/>
  <c r="B78" i="74"/>
  <c r="B1106" i="94" s="1"/>
  <c r="B79" i="74"/>
  <c r="B1107" i="94" s="1"/>
  <c r="C77" i="74"/>
  <c r="C85" i="74" s="1"/>
  <c r="C1113" i="94" s="1"/>
  <c r="B84" i="74"/>
  <c r="B86" i="74"/>
  <c r="B1114" i="94" s="1"/>
  <c r="S35" i="74"/>
  <c r="S1063" i="94" s="1"/>
  <c r="H64" i="82"/>
  <c r="H64" i="74"/>
  <c r="H1092" i="94" s="1"/>
  <c r="H53" i="86"/>
  <c r="G66" i="82"/>
  <c r="G71" i="82"/>
  <c r="G74" i="82" s="1"/>
  <c r="K48" i="74"/>
  <c r="K1076" i="94" s="1"/>
  <c r="C94" i="74"/>
  <c r="C1122" i="94" s="1"/>
  <c r="H57" i="86" l="1"/>
  <c r="H58" i="86" s="1"/>
  <c r="H60" i="86" s="1"/>
  <c r="H64" i="86" s="1"/>
  <c r="K25" i="86" s="1"/>
  <c r="I1084" i="94"/>
  <c r="I65" i="74"/>
  <c r="I1093" i="94" s="1"/>
  <c r="I69" i="74"/>
  <c r="I1097" i="94" s="1"/>
  <c r="K70" i="74"/>
  <c r="K1098" i="94" s="1"/>
  <c r="C102" i="74"/>
  <c r="B1130" i="94"/>
  <c r="B1112" i="94"/>
  <c r="I64" i="74"/>
  <c r="I1092" i="94" s="1"/>
  <c r="L45" i="68"/>
  <c r="L424" i="94" s="1"/>
  <c r="J56" i="74"/>
  <c r="J1079" i="94"/>
  <c r="I64" i="82"/>
  <c r="I71" i="82" s="1"/>
  <c r="I74" i="82" s="1"/>
  <c r="K51" i="74"/>
  <c r="K1079" i="94" s="1"/>
  <c r="B80" i="74"/>
  <c r="B1108" i="94" s="1"/>
  <c r="S36" i="74"/>
  <c r="S1064" i="94" s="1"/>
  <c r="S37" i="74"/>
  <c r="S1065" i="94" s="1"/>
  <c r="D94" i="74"/>
  <c r="D1122" i="94" s="1"/>
  <c r="H66" i="82"/>
  <c r="H71" i="82"/>
  <c r="H74" i="82" s="1"/>
  <c r="C78" i="74"/>
  <c r="C1106" i="94" s="1"/>
  <c r="D77" i="74"/>
  <c r="D85" i="74" s="1"/>
  <c r="D1113" i="94" s="1"/>
  <c r="C87" i="74"/>
  <c r="C1115" i="94" s="1"/>
  <c r="C79" i="74"/>
  <c r="C1107" i="94" s="1"/>
  <c r="C84" i="74"/>
  <c r="C86" i="74"/>
  <c r="C1114" i="94" s="1"/>
  <c r="G75" i="82"/>
  <c r="G76" i="82" s="1"/>
  <c r="B101" i="74" l="1"/>
  <c r="B1129" i="94" s="1"/>
  <c r="J1084" i="94"/>
  <c r="J65" i="74"/>
  <c r="J1093" i="94" s="1"/>
  <c r="J69" i="74"/>
  <c r="J1097" i="94" s="1"/>
  <c r="D102" i="74"/>
  <c r="C1130" i="94"/>
  <c r="C1112" i="94"/>
  <c r="J64" i="82"/>
  <c r="J71" i="82" s="1"/>
  <c r="J74" i="82" s="1"/>
  <c r="I66" i="82"/>
  <c r="J64" i="74"/>
  <c r="J1092" i="94" s="1"/>
  <c r="F85" i="92"/>
  <c r="F89" i="92" s="1"/>
  <c r="F105" i="92" s="1"/>
  <c r="E77" i="74"/>
  <c r="E85" i="74" s="1"/>
  <c r="E1113" i="94" s="1"/>
  <c r="D78" i="74"/>
  <c r="D1106" i="94" s="1"/>
  <c r="D79" i="74"/>
  <c r="D1107" i="94" s="1"/>
  <c r="D87" i="74"/>
  <c r="D1115" i="94" s="1"/>
  <c r="D84" i="74"/>
  <c r="D86" i="74"/>
  <c r="D1114" i="94" s="1"/>
  <c r="C80" i="74"/>
  <c r="C1108" i="94" s="1"/>
  <c r="I75" i="82"/>
  <c r="I76" i="82" s="1"/>
  <c r="E94" i="74"/>
  <c r="E1122" i="94" s="1"/>
  <c r="B83" i="74"/>
  <c r="B1111" i="94" s="1"/>
  <c r="H75" i="82"/>
  <c r="H76" i="82" s="1"/>
  <c r="K56" i="74"/>
  <c r="C101" i="74" l="1"/>
  <c r="C1129" i="94" s="1"/>
  <c r="K1084" i="94"/>
  <c r="K69" i="74"/>
  <c r="K1097" i="94" s="1"/>
  <c r="K65" i="74"/>
  <c r="K1093" i="94" s="1"/>
  <c r="E102" i="74"/>
  <c r="D1130" i="94"/>
  <c r="J66" i="82"/>
  <c r="D1112" i="94"/>
  <c r="S38" i="74"/>
  <c r="S1066" i="94" s="1"/>
  <c r="C83" i="74"/>
  <c r="C1111" i="94" s="1"/>
  <c r="F94" i="74"/>
  <c r="F1122" i="94" s="1"/>
  <c r="K64" i="74"/>
  <c r="K1092" i="94" s="1"/>
  <c r="K64" i="82"/>
  <c r="D80" i="74"/>
  <c r="D1108" i="94" s="1"/>
  <c r="J75" i="82"/>
  <c r="J76" i="82" s="1"/>
  <c r="F77" i="74"/>
  <c r="F85" i="74" s="1"/>
  <c r="F1113" i="94" s="1"/>
  <c r="E87" i="74"/>
  <c r="E1115" i="94" s="1"/>
  <c r="E78" i="74"/>
  <c r="E1106" i="94" s="1"/>
  <c r="E79" i="74"/>
  <c r="E1107" i="94" s="1"/>
  <c r="E84" i="74"/>
  <c r="E86" i="74"/>
  <c r="E1114" i="94" s="1"/>
  <c r="B88" i="74"/>
  <c r="B96" i="74" l="1"/>
  <c r="B1124" i="94" s="1"/>
  <c r="B100" i="74"/>
  <c r="B1128" i="94" s="1"/>
  <c r="D101" i="74"/>
  <c r="D1129" i="94" s="1"/>
  <c r="E1130" i="94"/>
  <c r="F102" i="74"/>
  <c r="E1112" i="94"/>
  <c r="B95" i="74"/>
  <c r="B1123" i="94" s="1"/>
  <c r="B1116" i="94"/>
  <c r="C88" i="74"/>
  <c r="D83" i="74"/>
  <c r="D1111" i="94" s="1"/>
  <c r="E80" i="74"/>
  <c r="E1108" i="94" s="1"/>
  <c r="K71" i="82"/>
  <c r="K74" i="82" s="1"/>
  <c r="K66" i="82"/>
  <c r="F87" i="74"/>
  <c r="F1115" i="94" s="1"/>
  <c r="G77" i="74"/>
  <c r="G85" i="74" s="1"/>
  <c r="G1113" i="94" s="1"/>
  <c r="F79" i="74"/>
  <c r="F1107" i="94" s="1"/>
  <c r="F78" i="74"/>
  <c r="F1106" i="94" s="1"/>
  <c r="F84" i="74"/>
  <c r="F86" i="74"/>
  <c r="F1114" i="94" s="1"/>
  <c r="S39" i="74"/>
  <c r="S1067" i="94" s="1"/>
  <c r="G94" i="74"/>
  <c r="G1122" i="94" s="1"/>
  <c r="E101" i="74" l="1"/>
  <c r="E1129" i="94" s="1"/>
  <c r="C96" i="74"/>
  <c r="C1124" i="94" s="1"/>
  <c r="C100" i="74"/>
  <c r="C1128" i="94" s="1"/>
  <c r="G102" i="74"/>
  <c r="F1130" i="94"/>
  <c r="F1112" i="94"/>
  <c r="C95" i="74"/>
  <c r="C1123" i="94" s="1"/>
  <c r="C1116" i="94"/>
  <c r="E83" i="74"/>
  <c r="E1111" i="94" s="1"/>
  <c r="G78" i="74"/>
  <c r="G1106" i="94" s="1"/>
  <c r="G87" i="74"/>
  <c r="G1115" i="94" s="1"/>
  <c r="G79" i="74"/>
  <c r="G1107" i="94" s="1"/>
  <c r="H77" i="74"/>
  <c r="H85" i="74" s="1"/>
  <c r="H1113" i="94" s="1"/>
  <c r="G84" i="74"/>
  <c r="G86" i="74"/>
  <c r="G1114" i="94" s="1"/>
  <c r="K75" i="82"/>
  <c r="K76" i="82" s="1"/>
  <c r="H94" i="74"/>
  <c r="H1122" i="94" s="1"/>
  <c r="F80" i="74"/>
  <c r="F1108" i="94" s="1"/>
  <c r="D88" i="74"/>
  <c r="F101" i="74" l="1"/>
  <c r="F1129" i="94" s="1"/>
  <c r="D96" i="74"/>
  <c r="D1124" i="94" s="1"/>
  <c r="D100" i="74"/>
  <c r="D1128" i="94" s="1"/>
  <c r="H102" i="74"/>
  <c r="G1130" i="94"/>
  <c r="G1112" i="94"/>
  <c r="D95" i="74"/>
  <c r="D1123" i="94" s="1"/>
  <c r="D1116" i="94"/>
  <c r="E88" i="74"/>
  <c r="F83" i="74"/>
  <c r="F1111" i="94" s="1"/>
  <c r="H87" i="74"/>
  <c r="H1115" i="94" s="1"/>
  <c r="H79" i="74"/>
  <c r="H1107" i="94" s="1"/>
  <c r="H78" i="74"/>
  <c r="H1106" i="94" s="1"/>
  <c r="I77" i="74"/>
  <c r="I85" i="74" s="1"/>
  <c r="I1113" i="94" s="1"/>
  <c r="H84" i="74"/>
  <c r="H86" i="74"/>
  <c r="H1114" i="94" s="1"/>
  <c r="G80" i="74"/>
  <c r="G1108" i="94" s="1"/>
  <c r="I94" i="74"/>
  <c r="I1122" i="94" s="1"/>
  <c r="G101" i="74" l="1"/>
  <c r="G1129" i="94" s="1"/>
  <c r="E96" i="74"/>
  <c r="E1124" i="94" s="1"/>
  <c r="E100" i="74"/>
  <c r="E1128" i="94" s="1"/>
  <c r="H1130" i="94"/>
  <c r="I102" i="74"/>
  <c r="H1112" i="94"/>
  <c r="E95" i="74"/>
  <c r="E1123" i="94" s="1"/>
  <c r="E1116" i="94"/>
  <c r="F88" i="74"/>
  <c r="G83" i="74"/>
  <c r="G1111" i="94" s="1"/>
  <c r="I87" i="74"/>
  <c r="I1115" i="94" s="1"/>
  <c r="I78" i="74"/>
  <c r="I1106" i="94" s="1"/>
  <c r="J77" i="74"/>
  <c r="J85" i="74" s="1"/>
  <c r="J1113" i="94" s="1"/>
  <c r="I79" i="74"/>
  <c r="I1107" i="94" s="1"/>
  <c r="I84" i="74"/>
  <c r="I86" i="74"/>
  <c r="I1114" i="94" s="1"/>
  <c r="H80" i="74"/>
  <c r="H1108" i="94" s="1"/>
  <c r="J94" i="74"/>
  <c r="J1122" i="94" s="1"/>
  <c r="H101" i="74" l="1"/>
  <c r="H1129" i="94" s="1"/>
  <c r="F96" i="74"/>
  <c r="F1124" i="94" s="1"/>
  <c r="F100" i="74"/>
  <c r="F1128" i="94" s="1"/>
  <c r="I1130" i="94"/>
  <c r="J102" i="74"/>
  <c r="I1112" i="94"/>
  <c r="F95" i="74"/>
  <c r="F1123" i="94" s="1"/>
  <c r="F1116" i="94"/>
  <c r="J79" i="74"/>
  <c r="J1107" i="94" s="1"/>
  <c r="K77" i="74"/>
  <c r="K85" i="74" s="1"/>
  <c r="K1113" i="94" s="1"/>
  <c r="J78" i="74"/>
  <c r="J1106" i="94" s="1"/>
  <c r="J87" i="74"/>
  <c r="J1115" i="94" s="1"/>
  <c r="J84" i="74"/>
  <c r="J86" i="74"/>
  <c r="J1114" i="94" s="1"/>
  <c r="I80" i="74"/>
  <c r="I1108" i="94" s="1"/>
  <c r="K94" i="74"/>
  <c r="K1122" i="94" s="1"/>
  <c r="G88" i="74"/>
  <c r="H83" i="74"/>
  <c r="H1111" i="94" s="1"/>
  <c r="I101" i="74" l="1"/>
  <c r="I1129" i="94" s="1"/>
  <c r="G96" i="74"/>
  <c r="G1124" i="94" s="1"/>
  <c r="G100" i="74"/>
  <c r="G1128" i="94" s="1"/>
  <c r="J1130" i="94"/>
  <c r="K102" i="74"/>
  <c r="J1112" i="94"/>
  <c r="G95" i="74"/>
  <c r="G1123" i="94" s="1"/>
  <c r="G1116" i="94"/>
  <c r="H88" i="74"/>
  <c r="J80" i="74"/>
  <c r="J1108" i="94" s="1"/>
  <c r="B124" i="74"/>
  <c r="B1152" i="94" s="1"/>
  <c r="K79" i="74"/>
  <c r="K1107" i="94" s="1"/>
  <c r="B107" i="74"/>
  <c r="B115" i="74" s="1"/>
  <c r="B1143" i="94" s="1"/>
  <c r="K87" i="74"/>
  <c r="K1115" i="94" s="1"/>
  <c r="K78" i="74"/>
  <c r="K1106" i="94" s="1"/>
  <c r="K84" i="74"/>
  <c r="K86" i="74"/>
  <c r="K1114" i="94" s="1"/>
  <c r="I83" i="74"/>
  <c r="I1111" i="94" s="1"/>
  <c r="J101" i="74" l="1"/>
  <c r="J1129" i="94" s="1"/>
  <c r="H96" i="74"/>
  <c r="H1124" i="94" s="1"/>
  <c r="H100" i="74"/>
  <c r="H1128" i="94" s="1"/>
  <c r="B132" i="74"/>
  <c r="K1130" i="94"/>
  <c r="K1112" i="94"/>
  <c r="H95" i="74"/>
  <c r="H1123" i="94" s="1"/>
  <c r="H1116" i="94"/>
  <c r="J83" i="74"/>
  <c r="K80" i="74"/>
  <c r="K1108" i="94" s="1"/>
  <c r="C124" i="74"/>
  <c r="C1152" i="94" s="1"/>
  <c r="I88" i="74"/>
  <c r="B108" i="74"/>
  <c r="B1136" i="94" s="1"/>
  <c r="C107" i="74"/>
  <c r="C115" i="74" s="1"/>
  <c r="C1143" i="94" s="1"/>
  <c r="B109" i="74"/>
  <c r="B1137" i="94" s="1"/>
  <c r="B117" i="74"/>
  <c r="B1145" i="94" s="1"/>
  <c r="B114" i="74"/>
  <c r="B116" i="74"/>
  <c r="B1144" i="94" s="1"/>
  <c r="I96" i="74" l="1"/>
  <c r="I1124" i="94" s="1"/>
  <c r="I100" i="74"/>
  <c r="I1128" i="94" s="1"/>
  <c r="K101" i="74"/>
  <c r="K1129" i="94" s="1"/>
  <c r="B1160" i="94"/>
  <c r="C132" i="74"/>
  <c r="B1142" i="94"/>
  <c r="I95" i="74"/>
  <c r="I1123" i="94" s="1"/>
  <c r="I1116" i="94"/>
  <c r="J88" i="74"/>
  <c r="J1111" i="94"/>
  <c r="K83" i="74"/>
  <c r="D107" i="74"/>
  <c r="D115" i="74" s="1"/>
  <c r="D1143" i="94" s="1"/>
  <c r="C108" i="74"/>
  <c r="C1136" i="94" s="1"/>
  <c r="C117" i="74"/>
  <c r="C1145" i="94" s="1"/>
  <c r="C109" i="74"/>
  <c r="C1137" i="94" s="1"/>
  <c r="C114" i="74"/>
  <c r="C116" i="74"/>
  <c r="C1144" i="94" s="1"/>
  <c r="D124" i="74"/>
  <c r="D1152" i="94" s="1"/>
  <c r="B110" i="74"/>
  <c r="B1138" i="94" s="1"/>
  <c r="B131" i="74" l="1"/>
  <c r="B1159" i="94" s="1"/>
  <c r="J96" i="74"/>
  <c r="J1124" i="94" s="1"/>
  <c r="J100" i="74"/>
  <c r="J1128" i="94" s="1"/>
  <c r="C1160" i="94"/>
  <c r="D132" i="74"/>
  <c r="C1142" i="94"/>
  <c r="K88" i="74"/>
  <c r="K1111" i="94"/>
  <c r="J95" i="74"/>
  <c r="J1123" i="94" s="1"/>
  <c r="J1116" i="94"/>
  <c r="B113" i="74"/>
  <c r="B1141" i="94" s="1"/>
  <c r="C110" i="74"/>
  <c r="C1138" i="94" s="1"/>
  <c r="E124" i="74"/>
  <c r="E1152" i="94" s="1"/>
  <c r="D117" i="74"/>
  <c r="D1145" i="94" s="1"/>
  <c r="D108" i="74"/>
  <c r="D1136" i="94" s="1"/>
  <c r="E107" i="74"/>
  <c r="E115" i="74" s="1"/>
  <c r="E1143" i="94" s="1"/>
  <c r="D109" i="74"/>
  <c r="D1137" i="94" s="1"/>
  <c r="D114" i="74"/>
  <c r="D116" i="74"/>
  <c r="D1144" i="94" s="1"/>
  <c r="C131" i="74" l="1"/>
  <c r="C1159" i="94" s="1"/>
  <c r="K100" i="74"/>
  <c r="K1128" i="94" s="1"/>
  <c r="K96" i="74"/>
  <c r="K1124" i="94" s="1"/>
  <c r="D1160" i="94"/>
  <c r="E132" i="74"/>
  <c r="D1142" i="94"/>
  <c r="K95" i="74"/>
  <c r="K1123" i="94" s="1"/>
  <c r="K1116" i="94"/>
  <c r="B118" i="74"/>
  <c r="C113" i="74"/>
  <c r="C1141" i="94" s="1"/>
  <c r="F124" i="74"/>
  <c r="F1152" i="94" s="1"/>
  <c r="F107" i="74"/>
  <c r="F115" i="74" s="1"/>
  <c r="F1143" i="94" s="1"/>
  <c r="E108" i="74"/>
  <c r="E1136" i="94" s="1"/>
  <c r="E117" i="74"/>
  <c r="E1145" i="94" s="1"/>
  <c r="E109" i="74"/>
  <c r="E1137" i="94" s="1"/>
  <c r="E114" i="74"/>
  <c r="E116" i="74"/>
  <c r="E1144" i="94" s="1"/>
  <c r="D110" i="74"/>
  <c r="D1138" i="94" s="1"/>
  <c r="B126" i="74" l="1"/>
  <c r="B1154" i="94" s="1"/>
  <c r="B130" i="74"/>
  <c r="B1158" i="94" s="1"/>
  <c r="D131" i="74"/>
  <c r="D1159" i="94" s="1"/>
  <c r="E1160" i="94"/>
  <c r="F132" i="74"/>
  <c r="F1160" i="94" s="1"/>
  <c r="E1142" i="94"/>
  <c r="B125" i="74"/>
  <c r="B1153" i="94" s="1"/>
  <c r="B1146" i="94"/>
  <c r="C118" i="74"/>
  <c r="E110" i="74"/>
  <c r="E1138" i="94" s="1"/>
  <c r="F117" i="74"/>
  <c r="F1145" i="94" s="1"/>
  <c r="F109" i="74"/>
  <c r="F1137" i="94" s="1"/>
  <c r="F108" i="74"/>
  <c r="F1136" i="94" s="1"/>
  <c r="F114" i="74"/>
  <c r="F116" i="74"/>
  <c r="F1144" i="94" s="1"/>
  <c r="D113" i="74"/>
  <c r="D1141" i="94" s="1"/>
  <c r="E131" i="74" l="1"/>
  <c r="E1159" i="94" s="1"/>
  <c r="C126" i="74"/>
  <c r="C1154" i="94" s="1"/>
  <c r="C130" i="74"/>
  <c r="C1158" i="94" s="1"/>
  <c r="F1142" i="94"/>
  <c r="C125" i="74"/>
  <c r="C1153" i="94" s="1"/>
  <c r="C1146" i="94"/>
  <c r="E113" i="74"/>
  <c r="E1141" i="94" s="1"/>
  <c r="F110" i="74"/>
  <c r="F1138" i="94" s="1"/>
  <c r="D118" i="74"/>
  <c r="F131" i="74" l="1"/>
  <c r="F1159" i="94" s="1"/>
  <c r="D126" i="74"/>
  <c r="D1154" i="94" s="1"/>
  <c r="D130" i="74"/>
  <c r="D1158"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443" i="72" s="1"/>
  <c r="O6" i="72" s="1"/>
  <c r="E1674" i="94"/>
  <c r="O1956" i="94"/>
  <c r="E20" i="72" l="1"/>
  <c r="E1675" i="94" s="1"/>
  <c r="O1971" i="94"/>
  <c r="O2098" i="94" s="1"/>
  <c r="O1661" i="94" s="1"/>
  <c r="P316" i="72"/>
  <c r="P1971" i="94" s="1"/>
  <c r="P1956" i="94"/>
  <c r="P2098" i="94" s="1"/>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<sst xmlns="http://schemas.openxmlformats.org/spreadsheetml/2006/main" count="19343" uniqueCount="7134">
  <si>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</si>
  <si>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</si>
  <si>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</si>
  <si>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</si>
  <si>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</si>
  <si>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</si>
  <si>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</si>
  <si>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</si>
  <si>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</si>
  <si>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</si>
  <si>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</si>
  <si>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</si>
  <si>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</si>
  <si>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</si>
  <si>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</si>
  <si>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</si>
  <si>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</si>
  <si>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</si>
  <si>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</si>
  <si>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</si>
  <si>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</si>
  <si>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</si>
  <si>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</si>
  <si>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</si>
  <si>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</si>
  <si>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</si>
  <si>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</si>
  <si>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</si>
  <si>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</si>
  <si>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</si>
  <si>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</si>
  <si>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</si>
  <si>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</si>
  <si>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</si>
  <si>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</si>
  <si>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</si>
  <si>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</si>
  <si>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</si>
  <si>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</si>
  <si>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</si>
  <si>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</si>
  <si>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</si>
  <si>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</si>
  <si>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</si>
  <si>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</si>
  <si>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</si>
  <si>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</si>
  <si>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</si>
  <si>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</si>
  <si>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</si>
  <si>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</si>
  <si>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</si>
  <si>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</si>
  <si>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</si>
  <si>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</si>
  <si>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</si>
  <si>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</si>
  <si>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</si>
  <si>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</si>
  <si>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</si>
  <si>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</si>
  <si>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</si>
  <si>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</si>
  <si>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</si>
  <si>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</si>
  <si>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</si>
  <si>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</si>
  <si>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</si>
  <si>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</si>
  <si>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</si>
  <si>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</si>
  <si>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</si>
  <si>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</si>
  <si>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</si>
  <si>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</si>
  <si>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</si>
  <si>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</si>
  <si>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</si>
  <si>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</si>
  <si>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</si>
  <si>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</si>
  <si>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</si>
  <si>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</si>
  <si>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</si>
  <si>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</si>
  <si>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</si>
  <si>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</si>
  <si>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</si>
  <si>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</si>
  <si>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</si>
  <si>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</si>
  <si>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</si>
  <si>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</si>
  <si>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</si>
  <si>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</si>
  <si>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</si>
  <si>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</si>
  <si>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</si>
  <si>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</si>
  <si>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</si>
  <si>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</si>
  <si>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</si>
  <si>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</si>
  <si>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</si>
  <si>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</si>
  <si>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</si>
  <si>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</si>
  <si>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</si>
  <si>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</si>
  <si>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</si>
  <si>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</si>
  <si>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</si>
  <si>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</si>
  <si>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</si>
  <si>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</si>
  <si>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</si>
  <si>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</si>
  <si>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</si>
  <si>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</si>
  <si>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</si>
  <si>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</si>
  <si>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</si>
  <si>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</si>
  <si>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</si>
  <si>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</si>
  <si>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</si>
  <si>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</si>
  <si>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</si>
  <si>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</si>
  <si>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</si>
  <si>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</si>
  <si>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</si>
  <si>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</si>
  <si>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</si>
  <si>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</si>
  <si>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</si>
  <si>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</si>
  <si>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</si>
  <si>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</si>
  <si>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</si>
  <si>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</si>
  <si>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</si>
  <si>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</si>
  <si>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</si>
  <si>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</si>
  <si>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</si>
  <si>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</si>
  <si>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</si>
  <si>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</si>
  <si>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</si>
  <si>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</si>
  <si>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</si>
  <si>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</si>
  <si>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</si>
  <si>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</si>
  <si>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</si>
  <si>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</si>
  <si>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</si>
  <si>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</si>
  <si>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</si>
  <si>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</si>
  <si>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</si>
  <si>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</si>
  <si>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</si>
  <si>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</si>
  <si>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</si>
  <si>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</si>
  <si>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</si>
  <si>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</si>
  <si>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</si>
  <si>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</si>
  <si>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</si>
  <si>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</si>
  <si>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</si>
  <si>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</si>
  <si>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</si>
  <si>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</si>
  <si>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</si>
  <si>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</si>
  <si>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</si>
  <si>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</si>
  <si>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</si>
  <si>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</si>
  <si>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</si>
  <si>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</si>
  <si>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</si>
  <si>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</si>
  <si>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</si>
  <si>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</si>
  <si>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</si>
  <si>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</si>
  <si>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</si>
  <si>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</si>
  <si>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</si>
  <si>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</si>
  <si>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</si>
  <si>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</si>
  <si>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</si>
  <si>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</si>
  <si>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</si>
  <si>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</si>
  <si>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</si>
  <si>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</si>
  <si>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</si>
  <si>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</si>
  <si>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</si>
  <si>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</si>
  <si>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</si>
  <si>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</si>
  <si>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</si>
  <si>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</si>
  <si>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</si>
  <si>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</si>
  <si>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</si>
  <si>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</si>
  <si>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</si>
  <si>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</si>
  <si>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</si>
  <si>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</si>
  <si>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</si>
  <si>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</si>
  <si>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</si>
  <si>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</si>
  <si>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</si>
  <si>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</si>
  <si>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</si>
  <si>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</si>
  <si>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</si>
  <si>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</si>
  <si>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</si>
  <si>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</si>
  <si>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</si>
  <si>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</si>
  <si>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</si>
  <si>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</si>
  <si>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</si>
  <si>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</si>
  <si>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</si>
  <si>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</si>
  <si>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</si>
  <si>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</si>
  <si>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</si>
  <si>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</si>
  <si>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</si>
  <si>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</si>
  <si>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</si>
  <si>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</si>
  <si>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</si>
  <si>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</si>
  <si>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</si>
  <si>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</si>
  <si>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</si>
  <si>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</si>
  <si>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</si>
  <si>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</si>
  <si>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</si>
  <si>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</si>
  <si>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</si>
  <si>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</si>
  <si>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</si>
  <si>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</si>
  <si>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</si>
  <si>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</si>
  <si>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</si>
  <si>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</si>
  <si>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</si>
  <si>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</si>
  <si>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</si>
  <si>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</si>
  <si>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</si>
  <si>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</si>
  <si>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</si>
  <si>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</si>
  <si>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</si>
  <si>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</si>
  <si>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</si>
  <si>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</si>
  <si>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</si>
  <si>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</si>
  <si>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</si>
  <si>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</si>
  <si>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</si>
  <si>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</si>
  <si>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</si>
  <si>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</si>
  <si>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</si>
  <si>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</si>
  <si>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</si>
  <si>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</si>
  <si>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</si>
  <si>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</si>
  <si>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</si>
  <si>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</si>
  <si>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</si>
  <si>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</si>
  <si>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</si>
  <si>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</si>
  <si>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</si>
  <si>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</si>
  <si>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</si>
  <si>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</si>
  <si>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</si>
  <si>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</si>
  <si>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</si>
  <si>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</si>
  <si>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</si>
  <si>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</si>
  <si>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</si>
  <si>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</si>
  <si>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</si>
  <si>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</si>
  <si>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</si>
  <si>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</si>
  <si>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</si>
  <si>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</si>
  <si>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</si>
  <si>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</si>
  <si>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</si>
  <si>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</si>
  <si>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</si>
  <si>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</si>
  <si>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</si>
  <si>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</si>
  <si>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</si>
  <si>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</si>
  <si>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</si>
  <si>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</si>
  <si>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</si>
  <si>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</si>
  <si>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</si>
  <si>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</si>
  <si>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</si>
  <si>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</si>
  <si>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</si>
  <si>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</si>
  <si>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</si>
  <si>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</si>
  <si>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</si>
  <si>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</si>
  <si>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</si>
  <si>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</si>
  <si>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</si>
  <si>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</si>
  <si>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</si>
  <si>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</si>
  <si>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</si>
  <si>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</si>
  <si>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</si>
  <si>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</si>
  <si>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</si>
  <si>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</si>
  <si>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</si>
  <si>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</si>
  <si>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</si>
  <si>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</si>
  <si>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</si>
  <si>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</si>
  <si>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</si>
  <si>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</si>
  <si>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</si>
  <si>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</si>
  <si>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</si>
  <si>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</si>
  <si>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</si>
  <si>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</si>
  <si>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</si>
  <si>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</si>
  <si>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</si>
  <si>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</si>
  <si>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</si>
  <si>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</si>
  <si>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</si>
  <si>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</si>
  <si>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</si>
  <si>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</si>
  <si>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</si>
  <si>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</si>
  <si>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</si>
  <si>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</si>
  <si>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</si>
  <si>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</si>
  <si>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</si>
  <si>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</si>
  <si>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</si>
  <si>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</si>
  <si>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</si>
  <si>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</si>
  <si>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</si>
  <si>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</si>
  <si>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</si>
  <si>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</si>
  <si>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</si>
  <si>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</si>
  <si>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</si>
  <si>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</si>
  <si>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</si>
  <si>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</si>
  <si>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</si>
  <si>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</si>
  <si>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</si>
  <si>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</si>
  <si>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</si>
  <si>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</si>
  <si>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</si>
  <si>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</si>
  <si>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</si>
  <si>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</si>
  <si>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</si>
  <si>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</si>
  <si>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</si>
  <si>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</si>
  <si>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</si>
  <si>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</si>
  <si>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</si>
  <si>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</si>
  <si>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</si>
  <si>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</si>
  <si>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</si>
  <si>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</si>
  <si>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</si>
  <si>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</si>
  <si>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</si>
  <si>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</si>
  <si>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</si>
  <si>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</si>
  <si>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</si>
  <si>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</si>
  <si>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</si>
  <si>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</si>
  <si>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</si>
  <si>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</si>
  <si>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</si>
  <si>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</si>
  <si>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</si>
  <si>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</si>
  <si>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</si>
  <si>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</si>
  <si>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</si>
  <si>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</si>
  <si>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</si>
  <si>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</si>
  <si>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</si>
  <si>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</si>
  <si>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</si>
  <si>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</si>
  <si>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</si>
  <si>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</si>
  <si>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</si>
  <si>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</si>
  <si>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</si>
  <si>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</si>
  <si>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</si>
  <si>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</si>
  <si>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</si>
  <si>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</si>
  <si>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</si>
  <si>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</si>
  <si>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</si>
  <si>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</si>
  <si>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</si>
  <si>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</si>
  <si>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</si>
  <si>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</si>
  <si>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</si>
  <si>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</si>
  <si>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</si>
  <si>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</si>
  <si>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</si>
  <si>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</si>
  <si>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</si>
  <si>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</si>
  <si>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</si>
  <si>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</si>
  <si>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</si>
  <si>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</si>
  <si>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</si>
  <si>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</si>
  <si>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</si>
  <si>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</si>
  <si>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</si>
  <si>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</si>
  <si>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</si>
  <si>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</si>
  <si>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</si>
  <si>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</si>
  <si>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</si>
  <si>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</si>
  <si>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</si>
  <si>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</si>
  <si>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</si>
  <si>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</si>
  <si>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</si>
  <si>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</si>
  <si>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</si>
  <si>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</si>
  <si>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</si>
  <si>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</si>
  <si>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</si>
  <si>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</si>
  <si>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</si>
  <si>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</si>
  <si>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</si>
  <si>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</si>
  <si>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</si>
  <si>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</si>
  <si>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</si>
  <si>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</si>
  <si>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</si>
  <si>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</si>
  <si>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</si>
  <si>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</si>
  <si>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</si>
  <si>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</si>
  <si>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</si>
  <si>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</si>
  <si>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</si>
  <si>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</si>
  <si>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</si>
  <si>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</si>
  <si>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</si>
  <si>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</si>
  <si>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</si>
  <si>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</si>
  <si>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</si>
  <si>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</si>
  <si>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</si>
  <si>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</si>
  <si>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</si>
  <si>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</si>
  <si>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</si>
  <si>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</si>
  <si>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</si>
  <si>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</si>
  <si>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</si>
  <si>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</si>
  <si>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</si>
  <si>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</si>
  <si>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</si>
  <si>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</si>
  <si>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</si>
  <si>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</si>
  <si>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</si>
  <si>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</si>
  <si>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</si>
  <si>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</si>
  <si>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</si>
  <si>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</si>
  <si>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</si>
  <si>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</si>
  <si>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</si>
  <si>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</si>
  <si>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</si>
  <si>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</si>
  <si>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</si>
  <si>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</si>
  <si>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</si>
  <si>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</si>
  <si>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</si>
  <si>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</si>
  <si>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</si>
  <si>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</si>
  <si>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</si>
  <si>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</si>
  <si>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</si>
  <si>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</si>
  <si>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</si>
  <si>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</si>
  <si>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</si>
  <si>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</si>
  <si>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</si>
  <si>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</si>
  <si>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</si>
  <si>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</si>
  <si>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</si>
  <si>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</si>
  <si>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</si>
  <si>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</si>
  <si>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</si>
  <si>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</si>
  <si>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</si>
  <si>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</si>
  <si>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</si>
  <si>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</si>
  <si>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</si>
  <si>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</si>
  <si>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</si>
  <si>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</si>
  <si>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</si>
  <si>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</si>
  <si>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</si>
  <si>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</si>
  <si>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</si>
  <si>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</si>
  <si>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</si>
  <si>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</si>
  <si>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</si>
  <si>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</si>
  <si>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</si>
  <si>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</si>
  <si>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</si>
  <si>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</si>
  <si>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</si>
  <si>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</si>
  <si>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</si>
  <si>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</si>
  <si>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</si>
  <si>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</si>
  <si>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</si>
  <si>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</si>
  <si>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</si>
  <si>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</si>
  <si>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</si>
  <si>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</si>
  <si>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</si>
  <si>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</si>
  <si>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</si>
  <si>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</si>
  <si>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</si>
  <si>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</si>
  <si>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</si>
  <si>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</si>
  <si>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</si>
  <si>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</si>
  <si>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</si>
  <si>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</si>
  <si>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</si>
  <si>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</si>
  <si>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</si>
  <si>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</si>
  <si>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</si>
  <si>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</si>
  <si>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</si>
  <si>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</si>
  <si>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</si>
  <si>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</si>
  <si>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</si>
  <si>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</si>
  <si>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</si>
  <si>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</si>
  <si>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</si>
  <si>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</si>
  <si>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</si>
  <si>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</si>
  <si>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</si>
  <si>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</si>
  <si>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</si>
  <si>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</si>
  <si>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</si>
  <si>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</si>
  <si>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</si>
  <si>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</si>
  <si>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</si>
  <si>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</si>
  <si>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</si>
  <si>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</si>
  <si>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</si>
  <si>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</si>
  <si>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</si>
  <si>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</si>
  <si>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</si>
  <si>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</si>
  <si>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</si>
  <si>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</si>
  <si>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</si>
  <si>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</si>
  <si>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</si>
  <si>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</si>
  <si>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</si>
  <si>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</si>
  <si>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</si>
  <si>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</si>
  <si>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</si>
  <si>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</si>
  <si>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</si>
  <si>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</si>
  <si>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</si>
  <si>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</si>
  <si>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</si>
  <si>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</si>
  <si>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</si>
  <si>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</si>
  <si>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</si>
  <si>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</si>
  <si>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</si>
  <si>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</si>
  <si>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</si>
  <si>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</si>
  <si>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</si>
  <si>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</si>
  <si>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</si>
  <si>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</si>
  <si>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</si>
  <si>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</si>
  <si>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</si>
  <si>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</si>
  <si>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</si>
  <si>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</si>
  <si>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</si>
  <si>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</si>
  <si>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</si>
  <si>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</si>
  <si>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</si>
  <si>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</si>
  <si>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</si>
  <si>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</si>
  <si>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</si>
  <si>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</si>
  <si>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</si>
  <si>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</si>
  <si>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</si>
  <si>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</si>
  <si>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</si>
  <si>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</si>
  <si>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</si>
  <si>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</si>
  <si>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</si>
  <si>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</si>
  <si>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</si>
  <si>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</si>
  <si>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</si>
  <si>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</si>
  <si>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</si>
  <si>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</si>
  <si>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</si>
  <si>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</si>
  <si>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</si>
  <si>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</si>
  <si>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</si>
  <si>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</si>
  <si>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</si>
  <si>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</si>
  <si>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</si>
  <si>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</si>
  <si>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</si>
  <si>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</si>
  <si>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</si>
  <si>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</si>
  <si>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</si>
  <si>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</si>
  <si>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</si>
  <si>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</si>
  <si>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</si>
  <si>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</si>
  <si>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</si>
  <si>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</si>
  <si>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</si>
  <si>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</si>
  <si>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</si>
  <si>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</si>
  <si>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</si>
  <si>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</si>
  <si>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</si>
  <si>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</si>
  <si>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</si>
  <si>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</si>
  <si>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</si>
  <si>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</si>
  <si>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</si>
  <si>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</si>
  <si>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</si>
  <si>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</si>
  <si>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</si>
  <si>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</si>
  <si>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</si>
  <si>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</si>
  <si>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</si>
  <si>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</si>
  <si>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</si>
  <si>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</si>
  <si>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</si>
  <si>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</si>
  <si>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</si>
  <si>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</si>
  <si>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</si>
  <si>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</si>
  <si>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</si>
  <si>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</si>
  <si>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</si>
  <si>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</si>
  <si>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</si>
  <si>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</si>
  <si>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</si>
  <si>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</si>
  <si>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</si>
  <si>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</si>
  <si>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</si>
  <si>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</si>
  <si>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</si>
  <si>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</si>
  <si>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</si>
  <si>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</si>
  <si>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</si>
  <si>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</si>
  <si>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</si>
  <si>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</si>
  <si>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</si>
  <si>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</si>
  <si>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</si>
  <si>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</si>
  <si>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</si>
  <si>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</si>
  <si>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</si>
  <si>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</si>
  <si>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</si>
  <si>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</si>
  <si>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</si>
  <si>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</si>
  <si>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</si>
  <si>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</si>
  <si>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</si>
  <si>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</si>
  <si>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</si>
  <si>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</si>
  <si>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</si>
  <si>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</si>
  <si>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</si>
  <si>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</si>
  <si>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</si>
  <si>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</si>
  <si>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</si>
  <si>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</si>
  <si>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</si>
  <si>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</si>
  <si>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</si>
  <si>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</si>
  <si>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</si>
  <si>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</si>
  <si>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</si>
  <si>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</si>
  <si>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</si>
  <si>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</si>
  <si>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</si>
  <si>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</si>
  <si>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</si>
  <si>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</si>
  <si>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</si>
  <si>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</si>
  <si>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</si>
  <si>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</si>
  <si>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</si>
  <si>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</si>
  <si>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</si>
  <si>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</si>
  <si>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</si>
  <si>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</si>
  <si>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</si>
  <si>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</si>
  <si>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</si>
  <si>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</si>
  <si>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</si>
  <si>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</si>
  <si>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</si>
  <si>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</si>
  <si>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</si>
  <si>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</si>
  <si>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</si>
  <si>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</si>
  <si>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</si>
  <si>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</si>
  <si>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</si>
  <si>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</si>
  <si>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</si>
  <si>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</si>
  <si>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</si>
  <si>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</si>
  <si>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</si>
  <si>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</si>
  <si>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</si>
  <si>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</si>
  <si>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</si>
  <si>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</si>
  <si>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</si>
  <si>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</si>
  <si>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</si>
  <si>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</si>
  <si>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</si>
  <si>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</si>
  <si>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</si>
  <si>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</si>
  <si>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</si>
  <si>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</si>
  <si>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</si>
  <si>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</si>
  <si>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</si>
  <si>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</si>
  <si>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</si>
  <si>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</si>
  <si>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</si>
  <si>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</si>
  <si>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</si>
  <si>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</si>
  <si>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</si>
  <si>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</si>
  <si>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</si>
  <si>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</si>
  <si>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</si>
  <si>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</si>
  <si>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</si>
  <si>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</si>
  <si>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</si>
  <si>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</si>
  <si>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</si>
  <si>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</si>
  <si>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</si>
  <si>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</si>
  <si>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</si>
  <si>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</si>
  <si>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</si>
  <si>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</si>
  <si>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</si>
  <si>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</si>
  <si>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</si>
  <si>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</si>
  <si>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</si>
  <si>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</si>
  <si>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</si>
  <si>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</si>
  <si>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</si>
  <si>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</si>
  <si>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</si>
  <si>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</si>
  <si>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</si>
  <si>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</si>
  <si>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</si>
  <si>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</si>
  <si>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</si>
  <si>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</si>
  <si>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</si>
  <si>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</si>
  <si>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</si>
  <si>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</si>
  <si>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</si>
  <si>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</si>
  <si>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</si>
  <si>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</si>
  <si>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</si>
  <si>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</si>
  <si>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</si>
  <si>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</si>
  <si>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</si>
  <si>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</si>
  <si>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</si>
  <si>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</si>
  <si>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</si>
  <si>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</si>
  <si>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</si>
  <si>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</si>
  <si>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</si>
  <si>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</si>
  <si>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</si>
  <si>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</si>
  <si>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</si>
  <si>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</si>
  <si>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</si>
  <si>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</si>
  <si>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</si>
  <si>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</si>
  <si>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</si>
  <si>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</si>
  <si>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</si>
  <si>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</si>
  <si>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</si>
  <si>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</si>
  <si>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</si>
  <si>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</si>
  <si>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</si>
  <si>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</si>
  <si>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</si>
  <si>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</si>
  <si>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</si>
  <si>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</si>
  <si>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</si>
  <si>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</si>
  <si>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</si>
  <si>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</si>
  <si>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</si>
  <si>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</si>
  <si>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</si>
  <si>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</si>
  <si>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</si>
  <si>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</si>
  <si>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</si>
  <si>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</si>
  <si>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</si>
  <si>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</si>
  <si>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</si>
  <si>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</si>
  <si>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</si>
  <si>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</si>
  <si>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</si>
  <si>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</si>
  <si>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</si>
  <si>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</si>
  <si>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</si>
  <si>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</si>
  <si>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</si>
  <si>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</si>
  <si>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</si>
  <si>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</si>
  <si>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</si>
  <si>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</si>
  <si>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</si>
  <si>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</si>
  <si>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</si>
  <si>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</si>
  <si>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</si>
  <si>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</si>
  <si>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</si>
  <si>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</si>
  <si>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</si>
  <si>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</si>
  <si>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</si>
  <si>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</si>
  <si>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</si>
  <si>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</si>
  <si>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</si>
  <si>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</si>
  <si>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</si>
  <si>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</si>
  <si>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</si>
  <si>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</si>
  <si>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</si>
  <si>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</si>
  <si>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</si>
  <si>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</si>
  <si>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</si>
  <si>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</si>
  <si>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</si>
  <si>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</si>
  <si>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</si>
  <si>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</si>
  <si>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</si>
  <si>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</si>
  <si>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</si>
  <si>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</si>
  <si>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</si>
  <si>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</si>
  <si>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</si>
  <si>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</si>
  <si>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</si>
  <si>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</si>
  <si>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</si>
  <si>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</si>
  <si>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</si>
  <si>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</si>
  <si>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</si>
  <si>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</si>
  <si>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</si>
  <si>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</si>
  <si>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</si>
  <si>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</si>
  <si>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</si>
  <si>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</si>
  <si>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</si>
  <si>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</si>
  <si>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</si>
  <si>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</si>
  <si>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</si>
  <si>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</si>
  <si>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</si>
  <si>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</si>
  <si>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</si>
  <si>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</si>
  <si>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</si>
  <si>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</si>
  <si>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</si>
  <si>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</si>
  <si>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</si>
  <si>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</si>
  <si>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</si>
  <si>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</si>
  <si>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</si>
  <si>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</si>
  <si>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</si>
  <si>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</si>
  <si>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</si>
  <si>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</si>
  <si>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</si>
  <si>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</si>
  <si>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</si>
  <si>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</si>
  <si>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</si>
  <si>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</si>
  <si>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</si>
  <si>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</si>
  <si>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</si>
  <si>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</si>
  <si>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</si>
  <si>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</si>
  <si>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</si>
  <si>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</si>
  <si>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</si>
  <si>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</si>
  <si>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</si>
  <si>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</si>
  <si>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</si>
  <si>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</si>
  <si>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</si>
  <si>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</si>
  <si>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</si>
  <si>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</si>
  <si>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</si>
  <si>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</si>
  <si>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</si>
  <si>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</si>
  <si>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</si>
  <si>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</si>
  <si>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</si>
  <si>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</si>
  <si>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</si>
  <si>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</si>
  <si>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</si>
  <si>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</si>
  <si>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</si>
  <si>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</si>
  <si>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</si>
  <si>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</si>
  <si>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</si>
  <si>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</si>
  <si>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</si>
  <si>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</si>
  <si>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</si>
  <si>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</si>
  <si>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</si>
  <si>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</si>
  <si>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</si>
  <si>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</si>
  <si>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</si>
  <si>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</si>
  <si>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</si>
  <si>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</si>
  <si>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</si>
  <si>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</si>
  <si>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</si>
  <si>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</si>
  <si>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</si>
  <si>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</si>
  <si>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</si>
  <si>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</si>
  <si>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</si>
  <si>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</si>
  <si>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</si>
  <si>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</si>
  <si>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</si>
  <si>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</si>
  <si>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</si>
  <si>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</si>
  <si>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</si>
  <si>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</si>
  <si>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</si>
  <si>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</si>
  <si>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</si>
  <si>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</si>
  <si>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</si>
  <si>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</si>
  <si>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</si>
  <si>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</si>
  <si>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</si>
  <si>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</si>
  <si>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</si>
  <si>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</si>
  <si>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</si>
  <si>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</si>
  <si>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</si>
  <si>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</si>
  <si>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</si>
  <si>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</si>
  <si>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</si>
  <si>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</si>
  <si>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</si>
  <si>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</si>
  <si>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</si>
  <si>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</si>
  <si>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</si>
  <si>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</si>
  <si>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</si>
  <si>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</si>
  <si>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</si>
  <si>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</si>
  <si>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</si>
  <si>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</si>
  <si>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</si>
  <si>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</si>
  <si>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</si>
  <si>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</si>
  <si>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</si>
  <si>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</si>
  <si>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</si>
  <si>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</si>
  <si>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</si>
  <si>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</si>
  <si>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</si>
  <si>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</si>
  <si>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</si>
  <si>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</si>
  <si>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</si>
  <si>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</si>
  <si>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</si>
  <si>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</si>
  <si>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</si>
  <si>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</si>
  <si>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</si>
  <si>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</si>
  <si>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</si>
  <si>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</si>
  <si>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</si>
  <si>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</si>
  <si>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</si>
  <si>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</si>
  <si>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</si>
  <si>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</si>
  <si>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</si>
  <si>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</si>
  <si>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</si>
  <si>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</si>
  <si>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</si>
  <si>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</si>
  <si>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</si>
  <si>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</si>
  <si>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</si>
  <si>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</si>
  <si>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</si>
  <si>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</si>
  <si>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</si>
  <si>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</si>
  <si>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</si>
  <si>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</si>
  <si>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</si>
  <si>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</si>
  <si>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</si>
  <si>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</si>
  <si>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</si>
  <si>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</si>
  <si>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</si>
  <si>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</si>
  <si>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</si>
  <si>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</si>
  <si>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</si>
  <si>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</si>
  <si>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</si>
  <si>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</si>
  <si>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</si>
  <si>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</si>
  <si>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</si>
  <si>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</si>
  <si>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</si>
  <si>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</si>
  <si>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</si>
  <si>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</si>
  <si>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</si>
  <si>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</si>
  <si>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</si>
  <si>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</si>
  <si>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</si>
  <si>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</si>
  <si>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</si>
  <si>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</si>
  <si>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</si>
  <si>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</si>
  <si>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</si>
  <si>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</si>
  <si>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</si>
  <si>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</si>
  <si>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</si>
  <si>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</si>
  <si>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</si>
  <si>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</si>
  <si>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</si>
  <si>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</si>
  <si>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</si>
  <si>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</si>
  <si>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</si>
  <si>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</si>
  <si>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</si>
  <si>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</si>
  <si>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</si>
  <si>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</si>
  <si>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</si>
  <si>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</si>
  <si>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</si>
  <si>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</si>
  <si>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</si>
  <si>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</si>
  <si>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</si>
  <si>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</si>
  <si>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</si>
  <si>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</si>
  <si>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</si>
  <si>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</si>
  <si>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</si>
  <si>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</si>
  <si>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</si>
  <si>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</si>
  <si>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</si>
  <si>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</si>
  <si>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</si>
  <si>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</si>
  <si>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</si>
  <si>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</si>
  <si>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</si>
  <si>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</si>
  <si>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</si>
  <si>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</si>
  <si>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</si>
  <si>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</si>
  <si>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</si>
  <si>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</si>
  <si>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</si>
  <si>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</si>
  <si>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</si>
  <si>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</si>
  <si>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</si>
  <si>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</si>
  <si>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</si>
  <si>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</si>
  <si>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</si>
  <si>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</si>
  <si>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</si>
  <si>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</si>
  <si>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</si>
  <si>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</si>
  <si>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</si>
  <si>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</si>
  <si>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</si>
  <si>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</si>
  <si>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</si>
  <si>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</si>
  <si>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</si>
  <si>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</si>
  <si>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</si>
  <si>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</si>
  <si>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</si>
  <si>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</si>
  <si>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</si>
  <si>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</si>
  <si>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</si>
  <si>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</si>
  <si>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</si>
  <si>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</si>
  <si>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</si>
  <si>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</si>
  <si>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</si>
  <si>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</si>
  <si>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</si>
  <si>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</si>
  <si>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</si>
  <si>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</si>
  <si>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</si>
  <si>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</si>
  <si>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</si>
  <si>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</si>
  <si>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</si>
  <si>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</si>
  <si>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</si>
  <si>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</si>
  <si>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</si>
  <si>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</si>
  <si>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</si>
  <si>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</si>
  <si>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</si>
  <si>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</si>
  <si>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</si>
  <si>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</si>
  <si>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</si>
  <si>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</si>
  <si>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</si>
  <si>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</si>
  <si>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</si>
  <si>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</si>
  <si>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</si>
  <si>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</si>
  <si>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</si>
  <si>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</si>
  <si>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</si>
  <si>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</si>
  <si>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</si>
  <si>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</si>
  <si>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</si>
  <si>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</si>
  <si>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</si>
  <si>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</si>
  <si>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</si>
  <si>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</si>
  <si>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</si>
  <si>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</si>
  <si>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</si>
  <si>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</si>
  <si>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</si>
  <si>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</si>
  <si>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</si>
  <si>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</si>
  <si>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</si>
  <si>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</si>
  <si>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</si>
  <si>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</si>
  <si>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</si>
  <si>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</si>
  <si>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</si>
  <si>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</si>
  <si>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</si>
  <si>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</si>
  <si>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</si>
  <si>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</si>
  <si>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</si>
  <si>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</si>
  <si>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</si>
  <si>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</si>
  <si>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</si>
  <si>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</si>
  <si>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</si>
  <si>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</si>
  <si>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</si>
  <si>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</si>
  <si>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</si>
  <si>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</si>
  <si>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</si>
  <si>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</si>
  <si>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</si>
  <si>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</si>
  <si>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</si>
  <si>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</si>
  <si>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</si>
  <si>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</si>
  <si>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</si>
  <si>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</si>
  <si>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</si>
  <si>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</si>
  <si>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</si>
  <si>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</si>
  <si>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</si>
  <si>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</si>
  <si>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</si>
  <si>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</si>
  <si>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</si>
  <si>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</si>
  <si>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</si>
  <si>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</si>
  <si>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</si>
  <si>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</si>
  <si>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</si>
  <si>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</si>
  <si>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</si>
  <si>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</si>
  <si>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</si>
  <si>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</si>
  <si>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</si>
  <si>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</si>
  <si>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</si>
  <si>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</si>
  <si>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</si>
  <si>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</si>
  <si>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</si>
  <si>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</si>
  <si>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</si>
  <si>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</si>
  <si>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</si>
  <si>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</si>
  <si>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</si>
  <si>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</si>
  <si>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</si>
  <si>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</si>
  <si>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</si>
  <si>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</si>
  <si>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</si>
  <si>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</si>
  <si>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</si>
  <si>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</si>
  <si>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</si>
  <si>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</si>
  <si>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</si>
  <si>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</si>
  <si>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</si>
  <si>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</si>
  <si>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</si>
  <si>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</si>
  <si>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</si>
  <si>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</si>
  <si>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</si>
  <si>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</si>
  <si>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</si>
  <si>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</si>
  <si>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</si>
  <si>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</si>
  <si>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</si>
  <si>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</si>
  <si>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</si>
  <si>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</si>
  <si>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</si>
  <si>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</si>
  <si>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</si>
  <si>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</si>
  <si>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</si>
  <si>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</si>
  <si>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</si>
  <si>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</si>
  <si>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</si>
  <si>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</si>
  <si>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</si>
  <si>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</si>
  <si>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</si>
  <si>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</si>
  <si>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</si>
  <si>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</si>
  <si>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</si>
  <si>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</si>
  <si>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</si>
  <si>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</si>
  <si>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</si>
  <si>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</si>
  <si>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</si>
  <si>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</si>
  <si>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</si>
  <si>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</si>
  <si>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</si>
  <si>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</si>
  <si>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</si>
  <si>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</si>
  <si>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</si>
  <si>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</si>
  <si>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</si>
  <si>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</si>
  <si>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</si>
  <si>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</si>
  <si>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</si>
  <si>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</si>
  <si>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</si>
  <si>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</si>
  <si>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</si>
  <si>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</si>
  <si>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</si>
  <si>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</si>
  <si>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</si>
  <si>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</si>
  <si>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</si>
  <si>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</si>
  <si>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</si>
  <si>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</si>
  <si>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</si>
  <si>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</si>
  <si>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</si>
  <si>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</si>
  <si>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</si>
  <si>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</si>
  <si>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</si>
  <si>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</si>
  <si>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</si>
  <si>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</si>
  <si>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</si>
  <si>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</si>
  <si>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</si>
  <si>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</si>
  <si>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</si>
  <si>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</si>
  <si>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</si>
  <si>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</si>
  <si>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</si>
  <si>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</si>
  <si>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</si>
  <si>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</si>
  <si>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</si>
  <si>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</si>
  <si>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</si>
  <si>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</si>
  <si>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</si>
  <si>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</si>
  <si>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</si>
  <si>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</si>
  <si>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</si>
  <si>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</si>
  <si>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</si>
  <si>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</si>
  <si>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</si>
  <si>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</si>
  <si>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</si>
  <si>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</si>
  <si>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</si>
  <si>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</si>
  <si>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</si>
  <si>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</si>
  <si>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</si>
  <si>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</si>
  <si>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</si>
  <si>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</si>
  <si>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</si>
  <si>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</si>
  <si>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</si>
  <si>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</si>
  <si>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</si>
  <si>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</si>
  <si>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</si>
  <si>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</si>
  <si>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</si>
  <si>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</si>
  <si>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</si>
  <si>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</si>
  <si>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</si>
  <si>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</si>
  <si>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</si>
  <si>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</si>
  <si>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</si>
  <si>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</si>
  <si>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</si>
  <si>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</si>
  <si>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</si>
  <si>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</si>
  <si>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</si>
  <si>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</si>
  <si>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</si>
  <si>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</si>
  <si>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</si>
  <si>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</si>
  <si>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</si>
  <si>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</si>
  <si>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</si>
  <si>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</si>
  <si>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</si>
  <si>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</si>
  <si>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</si>
  <si>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</si>
  <si>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</si>
  <si>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</si>
  <si>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</si>
  <si>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</si>
  <si>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</si>
  <si>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</si>
  <si>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</si>
  <si>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</si>
  <si>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</si>
  <si>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</si>
  <si>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</si>
  <si>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</si>
  <si>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</si>
  <si>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</si>
  <si>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</si>
  <si>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</si>
  <si>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</si>
  <si>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</si>
  <si>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</si>
  <si>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</si>
  <si>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</si>
  <si>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</si>
  <si>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</si>
  <si>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</si>
  <si>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</si>
  <si>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</si>
  <si>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</si>
  <si>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</si>
  <si>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</si>
  <si>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</si>
  <si>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</si>
  <si>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</si>
  <si>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</si>
  <si>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</si>
  <si>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</si>
  <si>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</si>
  <si>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</si>
  <si>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</si>
  <si>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</si>
  <si>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</si>
  <si>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</si>
  <si>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</si>
  <si>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</si>
  <si>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</si>
  <si>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</si>
  <si>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</si>
  <si>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</si>
  <si>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</si>
  <si>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</si>
  <si>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</si>
  <si>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</si>
  <si>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</si>
  <si>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</si>
  <si>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</si>
  <si>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</si>
  <si>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</si>
  <si>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</si>
  <si>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</si>
  <si>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</si>
  <si>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</si>
  <si>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</si>
  <si>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</si>
  <si>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</si>
  <si>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</si>
  <si>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</si>
  <si>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</si>
  <si>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</si>
  <si>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</si>
  <si>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</si>
  <si>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</si>
  <si>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</si>
  <si>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</si>
  <si>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</si>
  <si>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</si>
  <si>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</si>
  <si>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</si>
  <si>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</si>
  <si>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</si>
  <si>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</si>
  <si>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</si>
  <si>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</si>
  <si>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</si>
  <si>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</si>
  <si>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</si>
  <si>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</si>
  <si>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</si>
  <si>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</si>
  <si>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</si>
  <si>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</si>
  <si>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</si>
  <si>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</si>
  <si>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</si>
  <si>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</si>
  <si>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</si>
  <si>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</si>
  <si>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</si>
  <si>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</si>
  <si>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</si>
  <si>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</si>
  <si>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</si>
  <si>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</si>
  <si>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</si>
  <si>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</si>
  <si>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</si>
  <si>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</si>
  <si>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</si>
  <si>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</si>
  <si>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</si>
  <si>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</si>
  <si>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</si>
  <si>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</si>
  <si>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</si>
  <si>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</si>
  <si>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</si>
  <si>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</si>
  <si>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</si>
  <si>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</si>
  <si>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</si>
  <si>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</si>
  <si>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</si>
  <si>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</si>
  <si>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</si>
  <si>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</si>
  <si>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</si>
  <si>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</si>
  <si>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</si>
  <si>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</si>
  <si>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</si>
  <si>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</si>
  <si>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</si>
  <si>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</si>
  <si>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</si>
  <si>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</si>
  <si>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</si>
  <si>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</si>
  <si>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</si>
  <si>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</si>
  <si>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</si>
  <si>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</si>
  <si>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</si>
  <si>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</si>
  <si>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</si>
  <si>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</si>
  <si>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</si>
  <si>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</si>
  <si>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</si>
  <si>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</si>
  <si>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</si>
  <si>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</si>
  <si>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</si>
  <si>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</si>
  <si>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</si>
  <si>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</si>
  <si>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</si>
  <si>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</si>
  <si>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</si>
  <si>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</si>
  <si>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</si>
  <si>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</si>
  <si>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</si>
  <si>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</si>
  <si>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</si>
  <si>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</si>
  <si>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</si>
  <si>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</si>
  <si>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</si>
  <si>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</si>
  <si>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</si>
  <si>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</si>
  <si>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</si>
  <si>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</si>
  <si>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</si>
  <si>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</si>
  <si>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</si>
  <si>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</si>
  <si>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</si>
  <si>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</si>
  <si>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</si>
  <si>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</si>
  <si>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</si>
  <si>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</si>
  <si>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</si>
  <si>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</si>
  <si>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</si>
  <si>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</si>
  <si>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</si>
  <si>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</si>
  <si>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</si>
  <si>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</si>
  <si>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</si>
  <si>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</si>
  <si>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</si>
  <si>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</si>
  <si>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</si>
  <si>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</si>
  <si>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</si>
  <si>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</si>
  <si>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</si>
  <si>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</si>
  <si>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</si>
  <si>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</si>
  <si>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</si>
  <si>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</si>
  <si>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</si>
  <si>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</si>
  <si>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</si>
  <si>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</si>
  <si>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</si>
  <si>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</si>
  <si>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</si>
  <si>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</si>
  <si>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</si>
  <si>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</si>
  <si>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</si>
  <si>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</si>
  <si>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</si>
  <si>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</si>
  <si>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</si>
  <si>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</si>
  <si>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</si>
  <si>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</si>
  <si>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</si>
  <si>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</si>
  <si>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</si>
  <si>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</si>
  <si>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</si>
  <si>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</si>
  <si>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</si>
  <si>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</si>
  <si>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</si>
  <si>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</si>
  <si>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</si>
  <si>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</si>
  <si>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</si>
  <si>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</si>
  <si>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</si>
  <si>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</si>
  <si>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</si>
  <si>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</si>
  <si>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</si>
  <si>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</si>
  <si>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</si>
  <si>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</si>
  <si>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</si>
  <si>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</si>
  <si>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</si>
  <si>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</si>
  <si>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</si>
  <si>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</si>
  <si>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</si>
  <si>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</si>
  <si>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</si>
  <si>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</si>
  <si>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</si>
  <si>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</si>
  <si>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</si>
  <si>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</si>
  <si>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</si>
  <si>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</si>
  <si>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</si>
  <si>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</si>
  <si>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</si>
  <si>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</si>
  <si>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</si>
  <si>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</si>
  <si>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</si>
  <si>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</si>
  <si>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</si>
  <si>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</si>
  <si>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</si>
  <si>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</si>
  <si>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</si>
  <si>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</si>
  <si>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</si>
  <si>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</si>
  <si>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</si>
  <si>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</si>
  <si>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</si>
  <si>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</si>
  <si>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</si>
  <si>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</si>
  <si>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</si>
  <si>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</si>
  <si>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</si>
  <si>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</si>
  <si>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</si>
  <si>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</si>
  <si>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</si>
  <si>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</si>
  <si>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</si>
  <si>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</si>
  <si>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</si>
  <si>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</si>
  <si>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</si>
  <si>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</si>
  <si>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</si>
  <si>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</si>
  <si>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</si>
  <si>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</si>
  <si>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</si>
  <si>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</si>
  <si>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</si>
  <si>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</si>
  <si>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</si>
  <si>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</si>
  <si>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</si>
  <si>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</si>
  <si>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</si>
  <si>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</si>
  <si>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</si>
  <si>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</si>
  <si>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</si>
  <si>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</si>
  <si>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</si>
  <si>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</si>
  <si>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</si>
  <si>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</si>
  <si>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</si>
  <si>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</si>
  <si>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</si>
  <si>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</si>
  <si>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</si>
  <si>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</si>
  <si>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</si>
  <si>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</si>
  <si>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</si>
  <si>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</si>
  <si>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</si>
  <si>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</si>
  <si>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</si>
  <si>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</si>
  <si>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</si>
  <si>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</si>
  <si>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</si>
  <si>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</si>
  <si>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</si>
  <si>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</si>
  <si>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</si>
  <si>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</si>
  <si>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</si>
  <si>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</si>
  <si>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</si>
  <si>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</si>
  <si>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</si>
  <si>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</si>
  <si>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</si>
  <si>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</si>
  <si>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</si>
  <si>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</si>
  <si>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</si>
  <si>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</si>
  <si>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</si>
  <si>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</si>
  <si>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</si>
  <si>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</si>
  <si>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</si>
  <si>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</si>
  <si>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</si>
  <si>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</si>
  <si>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</si>
  <si>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</si>
  <si>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</si>
  <si>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</si>
  <si>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</si>
  <si>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</si>
  <si>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</si>
  <si>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</si>
  <si>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</si>
  <si>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</si>
  <si>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</si>
  <si>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</si>
  <si>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</si>
  <si>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</si>
  <si>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</si>
  <si>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</si>
  <si>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</si>
  <si>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</si>
  <si>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</si>
  <si>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</si>
  <si>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</si>
  <si>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</si>
  <si>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</si>
  <si>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</si>
  <si>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</si>
  <si>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</si>
  <si>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</si>
  <si>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</si>
  <si>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</si>
  <si>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</si>
  <si>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</si>
  <si>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</si>
  <si>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</si>
  <si>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</si>
  <si>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</si>
  <si>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</si>
  <si>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</si>
  <si>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</si>
  <si>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</si>
  <si>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</si>
  <si>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</si>
  <si>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</si>
  <si>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</si>
  <si>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</si>
  <si>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</si>
  <si>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</si>
  <si>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</si>
  <si>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</si>
  <si>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</si>
  <si>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</si>
  <si>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</si>
  <si>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</si>
  <si>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</si>
  <si>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</si>
  <si>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</si>
  <si>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</si>
  <si>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</si>
  <si>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</si>
  <si>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</si>
  <si>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</si>
  <si>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</si>
  <si>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</si>
  <si>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</si>
  <si>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</si>
  <si>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</si>
  <si>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</si>
  <si>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</si>
  <si>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</si>
  <si>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</si>
  <si>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</si>
  <si>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</si>
  <si>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</si>
  <si>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</si>
  <si>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</si>
  <si>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</si>
  <si>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</si>
  <si>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</si>
  <si>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</si>
  <si>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</si>
  <si>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</si>
  <si>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</si>
  <si>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</si>
  <si>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</si>
  <si>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</si>
  <si>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</si>
  <si>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</si>
  <si>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</si>
  <si>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</si>
  <si>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</si>
  <si>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</si>
  <si>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</si>
  <si>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</si>
  <si>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</si>
  <si>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</si>
  <si>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</si>
  <si>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</si>
  <si>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</si>
  <si>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</si>
  <si>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</si>
  <si>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</si>
  <si>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</si>
  <si>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</si>
  <si>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</si>
  <si>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</si>
  <si>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</si>
  <si>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</si>
  <si>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</si>
  <si>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</si>
  <si>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</si>
  <si>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</si>
  <si>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</si>
  <si>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</si>
  <si>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</si>
  <si>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</si>
  <si>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</si>
  <si>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</si>
  <si>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</si>
  <si>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</si>
  <si>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</si>
  <si>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</si>
  <si>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</si>
  <si>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</si>
  <si>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</si>
  <si>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</si>
  <si>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</si>
  <si>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</si>
  <si>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</si>
  <si>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</si>
  <si>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</si>
  <si>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</si>
  <si>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</si>
  <si>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</si>
  <si>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</si>
  <si>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</si>
  <si>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</si>
  <si>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</si>
  <si>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</si>
  <si>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</si>
  <si>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</si>
  <si>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</si>
  <si>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</si>
  <si>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</si>
  <si>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</si>
  <si>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</si>
  <si>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</si>
  <si>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</si>
  <si>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</si>
  <si>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</si>
  <si>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</si>
  <si>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</si>
  <si>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</si>
  <si>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</si>
  <si>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</si>
  <si>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</si>
  <si>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</si>
  <si>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</si>
  <si>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</si>
  <si>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</si>
  <si>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</si>
  <si>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</si>
  <si>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</si>
  <si>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</si>
  <si>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</si>
  <si>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</si>
  <si>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</si>
  <si>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</si>
  <si>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</si>
  <si>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</si>
  <si>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</si>
  <si>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</si>
  <si>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</si>
  <si>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</si>
  <si>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</si>
  <si>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</si>
  <si>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</si>
  <si>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</si>
  <si>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</si>
  <si>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</si>
  <si>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</si>
  <si>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</si>
  <si>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</si>
  <si>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</si>
  <si>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</si>
  <si>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</si>
  <si>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</si>
  <si>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</si>
  <si>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</si>
  <si>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</si>
  <si>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</si>
  <si>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</si>
  <si>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</si>
  <si>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</si>
  <si>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</si>
  <si>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</si>
  <si>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</si>
  <si>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</si>
  <si>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</si>
  <si>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</si>
  <si>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</si>
  <si>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</si>
  <si>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</si>
  <si>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</si>
  <si>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</si>
  <si>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</si>
  <si>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</si>
  <si>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</si>
  <si>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</si>
  <si>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</si>
  <si>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</si>
  <si>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</si>
  <si>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</si>
  <si>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</si>
  <si>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</si>
  <si>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</si>
  <si>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</si>
  <si>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</si>
  <si>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</si>
  <si>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</si>
  <si>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</si>
  <si>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</si>
  <si>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</si>
  <si>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</si>
  <si>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</si>
  <si>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</si>
  <si>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</si>
  <si>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</si>
  <si>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</si>
  <si>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</si>
  <si>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</si>
  <si>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</si>
  <si>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</si>
  <si>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</si>
  <si>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</si>
  <si>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</si>
  <si>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</si>
  <si>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</si>
  <si>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</si>
  <si>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</si>
  <si>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</si>
  <si>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</si>
  <si>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</si>
  <si>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</si>
  <si>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</si>
  <si>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</si>
  <si>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</si>
  <si>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</si>
  <si>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</si>
  <si>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</si>
  <si>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</si>
  <si>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</si>
  <si>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</si>
  <si>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</si>
  <si>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</si>
  <si>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</si>
  <si>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</si>
  <si>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</si>
  <si>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</si>
  <si>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</si>
  <si>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</si>
  <si>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</si>
  <si>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</si>
  <si>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</si>
  <si>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</si>
  <si>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</si>
  <si>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</si>
  <si>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</si>
  <si>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</si>
  <si>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</si>
  <si>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</si>
  <si>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</si>
  <si>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</si>
  <si>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</si>
  <si>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</si>
  <si>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</si>
  <si>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</si>
  <si>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</si>
  <si>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</si>
  <si>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</si>
  <si>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</si>
  <si>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</si>
  <si>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</si>
  <si>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</si>
  <si>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</si>
  <si>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</si>
  <si>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</si>
  <si>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</si>
  <si>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</si>
  <si>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</si>
  <si>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</si>
  <si>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</si>
  <si>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</si>
  <si>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</si>
  <si>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</si>
  <si>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</si>
  <si>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</si>
  <si>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</si>
  <si>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</si>
  <si>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</si>
  <si>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</si>
  <si>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</si>
  <si>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</si>
  <si>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</si>
  <si>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</si>
  <si>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</si>
  <si>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</si>
  <si>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</si>
  <si>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</si>
  <si>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</si>
  <si>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</si>
  <si>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</si>
  <si>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</si>
  <si>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</si>
  <si>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</si>
  <si>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</si>
  <si>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</si>
  <si>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</si>
  <si>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</si>
  <si>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</si>
  <si>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</si>
  <si>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</si>
  <si>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</si>
  <si>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</si>
  <si>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</si>
  <si>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</si>
  <si>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</si>
  <si>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</si>
  <si>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</si>
  <si>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</si>
  <si>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</si>
  <si>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</si>
  <si>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</si>
  <si>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</si>
  <si>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</si>
  <si>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</si>
  <si>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</si>
  <si>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</si>
  <si>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</si>
  <si>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</si>
  <si>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</si>
  <si>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</si>
  <si>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</si>
  <si>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</si>
  <si>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</si>
  <si>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</si>
  <si>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</si>
  <si>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</si>
  <si>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</si>
  <si>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</si>
  <si>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</si>
  <si>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</si>
  <si>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</si>
  <si>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</si>
  <si>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</si>
  <si>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</si>
  <si>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</si>
  <si>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</si>
  <si>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</si>
  <si>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</si>
  <si>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</si>
  <si>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</si>
  <si>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</si>
  <si>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</si>
  <si>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</si>
  <si>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</si>
  <si>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</si>
  <si>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</si>
  <si>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</si>
  <si>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</si>
  <si>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</si>
  <si>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</si>
  <si>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</si>
  <si>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</si>
  <si>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</si>
  <si>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</si>
  <si>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</si>
  <si>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</si>
  <si>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</si>
  <si>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</si>
  <si>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</si>
  <si>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</si>
  <si>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</si>
  <si>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</si>
  <si>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</si>
  <si>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</si>
  <si>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</si>
  <si>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</si>
  <si>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</si>
  <si>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</si>
  <si>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</si>
  <si>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</si>
  <si>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</si>
  <si>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</si>
  <si>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</si>
  <si>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</si>
  <si>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</si>
  <si>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</si>
  <si>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</si>
  <si>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</si>
  <si>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</si>
  <si>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</si>
  <si>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</si>
  <si>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</si>
  <si>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</si>
  <si>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</si>
  <si>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</si>
  <si>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</si>
  <si>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</si>
  <si>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</si>
  <si>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</si>
  <si>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</si>
  <si>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</si>
  <si>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</si>
  <si>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</si>
  <si>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</si>
  <si>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</si>
  <si>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</si>
  <si>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</si>
  <si>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</si>
  <si>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</si>
  <si>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</si>
  <si>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</si>
  <si>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</si>
  <si>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</si>
  <si>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</si>
  <si>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</si>
  <si>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</si>
  <si>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</si>
  <si>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</si>
  <si>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</si>
  <si>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</si>
  <si>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</si>
  <si>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</si>
  <si>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</si>
  <si>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</si>
  <si>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</si>
  <si>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</si>
  <si>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</si>
  <si>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</si>
  <si>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</si>
  <si>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</si>
  <si>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</si>
  <si>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</si>
  <si>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</si>
  <si>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</si>
  <si>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</si>
  <si>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</si>
  <si>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</si>
  <si>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</si>
  <si>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</si>
  <si>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</si>
  <si>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</si>
  <si>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</si>
  <si>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</si>
  <si>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</si>
  <si>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</si>
  <si>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</si>
  <si>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</si>
  <si>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</si>
  <si>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</si>
  <si>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</si>
  <si>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</si>
  <si>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</si>
  <si>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</si>
  <si>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</si>
  <si>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</si>
  <si>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</si>
  <si>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</si>
  <si>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</si>
  <si>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</si>
  <si>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</si>
  <si>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</si>
  <si>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</si>
  <si>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</si>
  <si>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</si>
  <si>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</si>
  <si>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</si>
  <si>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</si>
  <si>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</si>
  <si>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</si>
  <si>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</si>
  <si>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</si>
  <si>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</si>
  <si>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</si>
  <si>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</si>
  <si>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</si>
  <si>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</si>
  <si>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</si>
  <si>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</si>
  <si>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</si>
  <si>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</si>
  <si>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</si>
  <si>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</si>
  <si>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</si>
  <si>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</si>
  <si>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</si>
  <si>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</si>
  <si>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</si>
  <si>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</si>
  <si>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</si>
  <si>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</si>
  <si>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</si>
  <si>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</si>
  <si>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</si>
  <si>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</si>
  <si>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</si>
  <si>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</si>
  <si>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</si>
  <si>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</si>
  <si>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</si>
  <si>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</si>
  <si>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</si>
  <si>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</si>
  <si>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</si>
  <si>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</si>
  <si>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</si>
  <si>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</si>
  <si>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</si>
  <si>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</si>
  <si>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</si>
  <si>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</si>
  <si>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</si>
  <si>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</si>
  <si>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</si>
  <si>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</si>
  <si>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</si>
  <si>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</si>
  <si>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</si>
  <si>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</si>
  <si>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</si>
  <si>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</si>
  <si>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</si>
  <si>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</si>
  <si>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</si>
  <si>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</si>
  <si>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</si>
  <si>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</si>
  <si>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</si>
  <si>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</si>
  <si>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</si>
  <si>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</si>
  <si>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</si>
  <si>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</si>
  <si>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</si>
  <si>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</si>
  <si>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</si>
  <si>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</si>
  <si>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</si>
  <si>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</si>
  <si>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</si>
  <si>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</si>
  <si>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</si>
  <si>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</si>
  <si>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</si>
  <si>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</si>
  <si>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</si>
  <si>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</si>
  <si>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</si>
  <si>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</si>
  <si>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</si>
  <si>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</si>
  <si>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</si>
  <si>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</si>
  <si>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</si>
  <si>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</si>
  <si>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</si>
  <si>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</si>
  <si>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</si>
  <si>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</si>
  <si>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</si>
  <si>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</si>
  <si>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</si>
  <si>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</si>
  <si>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</si>
  <si>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</si>
  <si>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</si>
  <si>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</si>
  <si>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</si>
  <si>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</si>
  <si>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</si>
  <si>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</si>
  <si>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</si>
  <si>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</si>
  <si>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</si>
  <si>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</si>
  <si>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</si>
  <si>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</si>
  <si>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</si>
  <si>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</si>
  <si>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</si>
  <si>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</si>
  <si>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</si>
  <si>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</si>
  <si>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</si>
  <si>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</si>
  <si>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</si>
  <si>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</si>
  <si>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</si>
  <si>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</si>
  <si>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</si>
  <si>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</si>
  <si>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</si>
  <si>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</si>
  <si>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</si>
  <si>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</si>
  <si>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</si>
  <si>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</si>
  <si>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</si>
  <si>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</si>
  <si>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</si>
  <si>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</si>
  <si>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</si>
  <si>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</si>
  <si>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</si>
  <si>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</si>
  <si>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</si>
  <si>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</si>
  <si>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</si>
  <si>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</si>
  <si>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</si>
  <si>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</si>
  <si>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</si>
  <si>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</si>
  <si>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</si>
  <si>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</si>
  <si>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</si>
  <si>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</si>
  <si>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</si>
  <si>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</si>
  <si>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</si>
  <si>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</si>
  <si>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</si>
  <si>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</si>
  <si>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</si>
  <si>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</si>
  <si>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</si>
  <si>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</si>
  <si>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</si>
  <si>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</si>
  <si>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</si>
  <si>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</si>
  <si>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</si>
  <si>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</si>
  <si>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</si>
  <si>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</si>
  <si>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</si>
  <si>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</si>
  <si>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</si>
  <si>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</si>
  <si>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</si>
  <si>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</si>
  <si>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</si>
  <si>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</si>
  <si>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</si>
  <si>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</si>
  <si>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</si>
  <si>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</si>
  <si>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</si>
  <si>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</si>
  <si>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</si>
  <si>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</si>
  <si>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</si>
  <si>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</si>
  <si>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</si>
  <si>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</si>
  <si>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</si>
  <si>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</si>
  <si>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</si>
  <si>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</si>
  <si>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</si>
  <si>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</si>
  <si>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</si>
  <si>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</si>
  <si>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</si>
  <si>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</si>
  <si>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</si>
  <si>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</si>
  <si>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</si>
  <si>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</si>
  <si>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</si>
  <si>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</si>
  <si>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</si>
  <si>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</si>
  <si>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</si>
  <si>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</si>
  <si>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</si>
  <si>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</si>
  <si>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</si>
  <si>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</si>
  <si>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</si>
  <si>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</si>
  <si>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</si>
  <si>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</si>
  <si>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</si>
  <si>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</si>
  <si>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</si>
  <si>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</si>
  <si>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</si>
  <si>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</si>
  <si>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</si>
  <si>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</si>
  <si>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</si>
  <si>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</si>
  <si>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</si>
  <si>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</si>
  <si>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</si>
  <si>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</si>
  <si>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</si>
  <si>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</si>
  <si>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</si>
  <si>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</si>
  <si>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</si>
  <si>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</si>
  <si>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</si>
  <si>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</si>
  <si>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</si>
  <si>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</si>
  <si>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</si>
  <si>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</si>
  <si>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</si>
  <si>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</si>
  <si>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</si>
  <si>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</si>
  <si>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</si>
  <si>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</si>
  <si>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</si>
  <si>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</si>
  <si>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</si>
  <si>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</si>
  <si>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</si>
  <si>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</si>
  <si>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</si>
  <si>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</si>
  <si>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</si>
  <si>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</si>
  <si>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</si>
  <si>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</si>
  <si>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</si>
  <si>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</si>
  <si>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</si>
  <si>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</si>
  <si>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</si>
  <si>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</si>
  <si>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</si>
  <si>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</si>
  <si>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</si>
  <si>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</si>
  <si>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</si>
  <si>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</si>
  <si>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</si>
  <si>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</si>
  <si>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</si>
  <si>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</si>
  <si>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</si>
  <si>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</si>
  <si>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</si>
  <si>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</si>
  <si>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</si>
  <si>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</si>
  <si>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</si>
  <si>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</si>
  <si>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</si>
  <si>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</si>
  <si>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</si>
  <si>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</si>
  <si>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</si>
  <si>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</si>
  <si>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</si>
  <si>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</si>
  <si>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</si>
  <si>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</si>
  <si>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</si>
  <si>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</si>
  <si>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</si>
  <si>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</si>
  <si>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</si>
  <si>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</si>
  <si>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</si>
  <si>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</si>
  <si>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</si>
  <si>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</si>
  <si>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</si>
  <si>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</si>
  <si>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</si>
  <si>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</si>
  <si>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</si>
  <si>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</si>
  <si>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</si>
  <si>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</si>
  <si>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</si>
  <si>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</si>
  <si>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</si>
  <si>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</si>
  <si>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</si>
  <si>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</si>
  <si>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</si>
  <si>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</si>
  <si>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</si>
  <si>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</si>
  <si>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</si>
  <si>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</si>
  <si>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</si>
  <si>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</si>
  <si>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</si>
  <si>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</si>
  <si>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</si>
  <si>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</si>
  <si>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</si>
  <si>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</si>
  <si>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</si>
  <si>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</si>
  <si>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</si>
  <si>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</si>
  <si>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</si>
  <si>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</si>
  <si>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</si>
  <si>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</si>
  <si>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</si>
  <si>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</si>
  <si>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</si>
  <si>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</si>
  <si>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</si>
  <si>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</si>
  <si>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</si>
  <si>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</si>
  <si>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</si>
  <si>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</si>
  <si>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</si>
  <si>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</si>
  <si>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</si>
  <si>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</si>
  <si>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</si>
  <si>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</si>
  <si>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</si>
  <si>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</si>
  <si>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</si>
  <si>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</si>
  <si>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</si>
  <si>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</si>
  <si>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</si>
  <si>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</si>
  <si>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</si>
  <si>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</si>
  <si>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</si>
  <si>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</si>
  <si>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</si>
  <si>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</si>
  <si>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</si>
  <si>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</si>
  <si>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</si>
  <si>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</si>
  <si>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</si>
  <si>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</si>
  <si>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</si>
  <si>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</si>
  <si>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</si>
  <si>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</si>
  <si>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</si>
  <si>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</si>
  <si>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</si>
  <si>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</si>
  <si>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</si>
  <si>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</si>
  <si>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</si>
  <si>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</si>
  <si>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</si>
  <si>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</si>
  <si>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</si>
  <si>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</si>
  <si>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</si>
  <si>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</si>
  <si>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</si>
  <si>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</si>
  <si>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</si>
  <si>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</si>
  <si>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</si>
  <si>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</si>
  <si>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</si>
  <si>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</si>
  <si>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</si>
  <si>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</si>
  <si>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</si>
  <si>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</si>
  <si>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</si>
  <si>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</si>
  <si>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</si>
  <si>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</si>
  <si>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</si>
  <si>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</si>
  <si>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</si>
  <si>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</si>
  <si>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</si>
  <si>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</si>
  <si>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</si>
  <si>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</si>
  <si>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</si>
  <si>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</si>
  <si>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</si>
  <si>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</si>
  <si>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</si>
  <si>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</si>
  <si>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</si>
  <si>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</si>
  <si>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</si>
  <si>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</si>
  <si>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</si>
  <si>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</si>
  <si>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</si>
  <si>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</si>
  <si>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</si>
  <si>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</si>
  <si>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</si>
  <si>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</si>
  <si>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</si>
  <si>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</si>
  <si>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</si>
  <si>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</si>
  <si>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</si>
  <si>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</si>
  <si>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</si>
  <si>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</si>
  <si>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</si>
  <si>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</si>
  <si>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</si>
  <si>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</si>
  <si>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</si>
  <si>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</si>
  <si>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</si>
  <si>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</si>
  <si>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</si>
  <si>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</si>
  <si>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</si>
  <si>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</si>
  <si>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</si>
  <si>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</si>
  <si>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</si>
  <si>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</si>
  <si>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</si>
  <si>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</si>
  <si>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</si>
  <si>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</si>
  <si>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</si>
  <si>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</si>
  <si>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</si>
  <si>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</si>
  <si>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</si>
  <si>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</si>
  <si>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</si>
  <si>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</si>
  <si>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</si>
  <si>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</si>
  <si>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</si>
  <si>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</si>
  <si>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</si>
  <si>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</si>
  <si>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</si>
  <si>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</si>
  <si>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</si>
  <si>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</si>
  <si>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</si>
  <si>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</si>
  <si>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</si>
  <si>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</si>
  <si>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</si>
  <si>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</si>
  <si>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</si>
  <si>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</si>
  <si>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</si>
  <si>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</si>
  <si>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</si>
  <si>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</si>
  <si>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</si>
  <si>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</si>
  <si>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</si>
  <si>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</si>
  <si>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</si>
  <si>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</si>
  <si>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</si>
  <si>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</si>
  <si>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</si>
  <si>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</si>
  <si>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</si>
  <si>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</si>
  <si>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</si>
  <si>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</si>
  <si>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</si>
  <si>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</si>
  <si>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</si>
  <si>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</si>
  <si>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</si>
  <si>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</si>
  <si>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</si>
  <si>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</si>
  <si>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</si>
  <si>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</si>
  <si>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</si>
  <si>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</si>
  <si>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</si>
  <si>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</si>
  <si>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</si>
  <si>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</si>
  <si>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</si>
  <si>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</si>
  <si>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</si>
  <si>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</si>
  <si>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</si>
  <si>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</si>
  <si>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</si>
  <si>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</si>
  <si>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</si>
  <si>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</si>
  <si>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</si>
  <si>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</si>
  <si>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</si>
  <si>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</si>
  <si>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</si>
  <si>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</si>
  <si>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</si>
  <si>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</si>
  <si>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</si>
  <si>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</si>
  <si>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</si>
  <si>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</si>
  <si>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</si>
  <si>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</si>
  <si>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</si>
  <si>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</si>
  <si>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</si>
  <si>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</si>
  <si>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</si>
  <si>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</si>
  <si>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</si>
  <si>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</si>
  <si>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</si>
  <si>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</si>
  <si>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</si>
  <si>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</si>
  <si>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</si>
  <si>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</si>
  <si>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</si>
  <si>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</si>
  <si>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</si>
  <si>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</si>
  <si>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</si>
  <si>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</si>
  <si>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</si>
  <si>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</si>
  <si>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</si>
  <si>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</si>
  <si>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</si>
  <si>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</si>
  <si>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</si>
  <si>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</si>
  <si>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</si>
  <si>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</si>
  <si>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</si>
  <si>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</si>
  <si>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</si>
  <si>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</si>
  <si>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</si>
  <si>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</si>
  <si>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</si>
  <si>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</si>
  <si>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</si>
  <si>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</si>
  <si>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</si>
  <si>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</si>
  <si>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</si>
  <si>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</si>
  <si>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</si>
  <si>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</si>
  <si>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</si>
  <si>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</si>
  <si>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</si>
  <si>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</si>
  <si>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</si>
  <si>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</si>
  <si>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</si>
  <si>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</si>
  <si>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</si>
  <si>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</si>
  <si>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</si>
  <si>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</si>
  <si>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</si>
  <si>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</si>
  <si>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</si>
  <si>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</si>
  <si>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</si>
  <si>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</si>
  <si>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</si>
  <si>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</si>
  <si>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</si>
  <si>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</si>
  <si>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</si>
  <si>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</si>
  <si>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</si>
  <si>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</si>
  <si>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</si>
  <si>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</si>
  <si>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</si>
  <si>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</si>
  <si>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</si>
  <si>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</si>
  <si>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</si>
  <si>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</si>
  <si>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</si>
  <si>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</si>
  <si>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</si>
  <si>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</si>
  <si>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</si>
  <si>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</si>
  <si>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</si>
  <si>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</si>
  <si>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</si>
  <si>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</si>
  <si>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</si>
  <si>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</si>
  <si>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</si>
  <si>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</si>
  <si>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</si>
  <si>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</si>
  <si>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</si>
  <si>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</si>
  <si>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</si>
  <si>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</si>
  <si>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</si>
  <si>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</si>
  <si>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</si>
  <si>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</si>
  <si>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</si>
  <si>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</si>
  <si>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</si>
  <si>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</si>
  <si>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</si>
  <si>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</si>
  <si>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</si>
  <si>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</si>
  <si>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</si>
  <si>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</si>
  <si>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</si>
  <si>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</si>
  <si>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</si>
  <si>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</si>
  <si>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</si>
  <si>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</si>
  <si>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</si>
  <si>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</si>
  <si>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</si>
  <si>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</si>
  <si>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</si>
  <si>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</si>
  <si>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</si>
  <si>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</si>
  <si>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</si>
  <si>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</si>
  <si>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</si>
  <si>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</si>
  <si>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</si>
  <si>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</si>
  <si>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</si>
  <si>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</si>
  <si>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</si>
  <si>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</si>
  <si>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</si>
  <si>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</si>
  <si>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</si>
  <si>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</si>
  <si>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</si>
  <si>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</si>
  <si>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</si>
  <si>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</si>
  <si>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</si>
  <si>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</si>
  <si>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</si>
  <si>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</si>
  <si>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</si>
  <si>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</si>
  <si>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</si>
  <si>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</si>
  <si>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</si>
  <si>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</si>
  <si>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</si>
  <si>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</si>
  <si>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</si>
  <si>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</si>
  <si>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</si>
  <si>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</si>
  <si>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</si>
  <si>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</si>
  <si>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</si>
  <si>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</si>
  <si>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</si>
  <si>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</si>
  <si>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</si>
  <si>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</si>
  <si>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</si>
  <si>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</si>
  <si>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</si>
  <si>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</si>
  <si>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</si>
  <si>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</si>
  <si>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</si>
  <si>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</si>
  <si>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</si>
  <si>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</si>
  <si>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</si>
  <si>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</si>
  <si>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</si>
  <si>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</si>
  <si>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</si>
  <si>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</si>
  <si>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</si>
  <si>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</si>
  <si>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</si>
  <si>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</si>
  <si>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</si>
  <si>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</si>
  <si>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</si>
  <si>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</si>
  <si>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</si>
  <si>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</si>
  <si>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</si>
  <si>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</si>
  <si>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</si>
  <si>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</si>
  <si>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</si>
  <si>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</si>
  <si>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</si>
  <si>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</si>
  <si>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</si>
  <si>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</si>
  <si>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</si>
  <si>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</si>
  <si>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</si>
  <si>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</si>
  <si>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</si>
  <si>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</si>
  <si>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</si>
  <si>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</si>
  <si>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</si>
  <si>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</si>
  <si>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</si>
  <si>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</si>
  <si>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</si>
  <si>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</si>
  <si>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</si>
  <si>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</si>
  <si>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</si>
  <si>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</si>
  <si>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</si>
  <si>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</si>
  <si>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</si>
  <si>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</si>
  <si>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</si>
  <si>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</si>
  <si>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</si>
  <si>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</si>
  <si>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</si>
  <si>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</si>
  <si>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</si>
  <si>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</si>
  <si>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</si>
  <si>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</si>
  <si>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</si>
  <si>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</si>
  <si>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</si>
  <si>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</si>
  <si>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</si>
  <si>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</si>
  <si>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</si>
  <si>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</si>
  <si>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</si>
  <si>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</si>
  <si>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</si>
  <si>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</si>
  <si>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</si>
  <si>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</si>
  <si>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</si>
  <si>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</si>
  <si>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</si>
  <si>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</si>
  <si>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</si>
  <si>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</si>
  <si>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</si>
  <si>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</si>
  <si>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</si>
  <si>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</si>
  <si>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</si>
  <si>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</si>
  <si>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</si>
  <si>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</si>
  <si>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</si>
  <si>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</si>
  <si>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</si>
  <si>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</si>
  <si>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</si>
  <si>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</si>
  <si>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</si>
  <si>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</si>
  <si>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</si>
  <si>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</si>
  <si>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</si>
  <si>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</si>
  <si>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</si>
  <si>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</si>
  <si>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</si>
  <si>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</si>
  <si>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</si>
  <si>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</si>
  <si>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</si>
  <si>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</si>
  <si>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</si>
  <si>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</si>
  <si>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</si>
  <si>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</si>
  <si>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</si>
  <si>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</si>
  <si>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</si>
  <si>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</si>
  <si>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</si>
  <si>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</si>
  <si>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</si>
  <si>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</si>
  <si>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</si>
  <si>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</si>
  <si>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</si>
  <si>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</si>
  <si>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</si>
  <si>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</si>
  <si>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</si>
  <si>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</si>
  <si>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</si>
  <si>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</si>
  <si>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</si>
  <si>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</si>
  <si>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</si>
  <si>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</si>
  <si>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</si>
  <si>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</si>
  <si>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</si>
  <si>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</si>
  <si>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</si>
  <si>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</si>
  <si>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</si>
  <si>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</si>
  <si>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</si>
  <si>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</si>
  <si>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</si>
  <si>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</si>
  <si>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</si>
  <si>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</si>
  <si>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</si>
  <si>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</si>
  <si>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</si>
  <si>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</si>
  <si>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</si>
  <si>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</si>
  <si>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</si>
  <si>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</si>
  <si>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</si>
  <si>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</si>
  <si>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</si>
  <si>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</si>
  <si>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</si>
  <si>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</si>
  <si>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</si>
  <si>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</si>
  <si>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</si>
  <si>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</si>
  <si>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</si>
  <si>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</si>
  <si>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</si>
  <si>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</si>
  <si>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</si>
  <si>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</si>
  <si>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</si>
  <si>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</si>
  <si>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</si>
  <si>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</si>
  <si>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</si>
  <si>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</si>
  <si>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</si>
  <si>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</si>
  <si>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</si>
  <si>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</si>
  <si>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</si>
  <si>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</si>
  <si>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</si>
  <si>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</si>
  <si>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</si>
  <si>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</si>
  <si>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</si>
  <si>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</si>
  <si>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</si>
  <si>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</si>
  <si>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</si>
  <si>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</si>
  <si>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</si>
  <si>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</si>
  <si>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</si>
  <si>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</si>
  <si>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</si>
  <si>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</si>
  <si>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</si>
  <si>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</si>
  <si>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</si>
  <si>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</si>
  <si>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</si>
  <si>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</si>
  <si>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</si>
  <si>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</si>
  <si>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</si>
  <si>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</si>
  <si>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</si>
  <si>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</si>
  <si>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</si>
  <si>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</si>
  <si>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</si>
  <si>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</si>
  <si>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</si>
  <si>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</si>
  <si>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</si>
  <si>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</si>
  <si>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</si>
  <si>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</si>
  <si>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</si>
  <si>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</si>
  <si>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</si>
  <si>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</si>
  <si>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</si>
  <si>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</si>
  <si>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</si>
  <si>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</si>
  <si>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</si>
  <si>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</si>
  <si>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</si>
  <si>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</si>
  <si>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</si>
  <si>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</si>
  <si>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</si>
  <si>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</si>
  <si>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</si>
  <si>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</si>
  <si>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</si>
  <si>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</si>
  <si>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</si>
  <si>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</si>
  <si>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</si>
  <si>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</si>
  <si>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</si>
  <si>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</si>
  <si>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</si>
  <si>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</si>
  <si>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</si>
  <si>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</si>
  <si>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</si>
  <si>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</si>
  <si>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</si>
  <si>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</si>
  <si>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</si>
  <si>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</si>
  <si>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</si>
  <si>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</si>
  <si>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</si>
  <si>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</si>
  <si>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</si>
  <si>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</si>
  <si>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</si>
  <si>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</si>
  <si>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</si>
  <si>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</si>
  <si>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</si>
  <si>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</si>
  <si>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</si>
  <si>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</si>
  <si>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</si>
  <si>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</si>
  <si>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</si>
  <si>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</si>
  <si>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</si>
  <si>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</si>
  <si>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</si>
  <si>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</si>
  <si>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</si>
  <si>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</si>
  <si>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</si>
  <si>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</si>
  <si>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</si>
  <si>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</si>
  <si>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</si>
  <si>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</si>
  <si>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</si>
  <si>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</si>
  <si>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</si>
  <si>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</si>
  <si>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</si>
  <si>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</si>
  <si>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</si>
  <si>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</si>
  <si>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</si>
  <si>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</si>
  <si>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</si>
  <si>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</si>
  <si>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</si>
  <si>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</si>
  <si>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</si>
  <si>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</si>
  <si>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</si>
  <si>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</si>
  <si>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</si>
  <si>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</si>
  <si>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</si>
  <si>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</si>
  <si>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</si>
  <si>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</si>
  <si>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</si>
  <si>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</si>
  <si>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</si>
  <si>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</si>
  <si>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</si>
  <si>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</si>
  <si>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</si>
  <si>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</si>
  <si>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</si>
  <si>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</si>
  <si>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</si>
  <si>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</si>
  <si>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</si>
  <si>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</si>
  <si>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</si>
  <si>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</si>
  <si>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</si>
  <si>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</si>
  <si>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</si>
  <si>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</si>
  <si>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</si>
  <si>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</si>
  <si>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</si>
  <si>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</si>
  <si>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</si>
  <si>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</si>
  <si>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</si>
  <si>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</si>
  <si>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</si>
  <si>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</si>
  <si>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</si>
  <si>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</si>
  <si>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</si>
  <si>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</si>
  <si>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</si>
  <si>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</si>
  <si>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</si>
  <si>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</si>
  <si>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</si>
  <si>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</si>
  <si>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</si>
  <si>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</si>
  <si>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</si>
  <si>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</si>
  <si>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</si>
  <si>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</si>
  <si>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</si>
  <si>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</si>
  <si>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</si>
  <si>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</si>
  <si>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</si>
  <si>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</si>
  <si>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</si>
  <si>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</si>
  <si>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</si>
  <si>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</si>
  <si>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</si>
  <si>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</si>
  <si>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</si>
  <si>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</si>
  <si>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</si>
  <si>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</si>
  <si>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</si>
  <si>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</si>
  <si>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</si>
  <si>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</si>
  <si>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</si>
  <si>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</si>
  <si>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</si>
  <si>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</si>
  <si>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</si>
  <si>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</si>
  <si>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</si>
  <si>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</si>
  <si>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</si>
  <si>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</si>
  <si>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</si>
  <si>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</si>
  <si>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</si>
  <si>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</si>
  <si>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</si>
  <si>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</si>
  <si>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</si>
  <si>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</si>
  <si>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</si>
  <si>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</si>
  <si>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</si>
  <si>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</si>
  <si>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</si>
  <si>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</si>
  <si>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</si>
  <si>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</si>
  <si>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</si>
  <si>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</si>
  <si>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</si>
  <si>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</si>
  <si>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</si>
  <si>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</si>
  <si>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</si>
  <si>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</si>
  <si>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</si>
  <si>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</si>
  <si>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</si>
  <si>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</si>
  <si>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</si>
  <si>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</si>
  <si>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</si>
  <si>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</si>
  <si>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</si>
  <si>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</si>
  <si>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</si>
  <si>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</si>
  <si>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</si>
  <si>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</si>
  <si>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</si>
  <si>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</si>
  <si>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</si>
  <si>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</si>
  <si>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</si>
  <si>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</si>
  <si>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</si>
  <si>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</si>
  <si>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</si>
  <si>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</si>
  <si>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</si>
  <si>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</si>
  <si>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</si>
  <si>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</si>
  <si>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</si>
  <si>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</si>
  <si>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</si>
  <si>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</si>
  <si>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</si>
  <si>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</si>
  <si>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</si>
  <si>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</si>
  <si>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</si>
  <si>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</si>
  <si>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</si>
  <si>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</si>
  <si>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</si>
  <si>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</si>
  <si>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</si>
  <si>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</si>
  <si>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</si>
  <si>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</si>
  <si>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</si>
  <si>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</si>
  <si>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</si>
  <si>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</si>
  <si>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</si>
  <si>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</si>
  <si>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</si>
  <si>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</si>
  <si>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</si>
  <si>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</si>
  <si>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</si>
  <si>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</si>
  <si>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</si>
  <si>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</si>
  <si>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</si>
  <si>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</si>
  <si>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</si>
  <si>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</si>
  <si>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</si>
  <si>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</si>
  <si>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</si>
  <si>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</si>
  <si>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</si>
  <si>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</si>
  <si>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</si>
  <si>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</si>
  <si>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</si>
  <si>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</si>
  <si>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</si>
  <si>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</si>
  <si>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</si>
  <si>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</si>
  <si>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</si>
  <si>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</si>
  <si>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</si>
  <si>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</si>
  <si>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</si>
  <si>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</si>
  <si>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</si>
  <si>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</si>
  <si>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</si>
  <si>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</si>
  <si>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</si>
  <si>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</si>
  <si>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</si>
  <si>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</si>
  <si>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</si>
  <si>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</si>
  <si>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</si>
  <si>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</si>
  <si>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</si>
  <si>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</si>
  <si>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</si>
  <si>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</si>
  <si>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</si>
  <si>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</si>
  <si>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</si>
  <si>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</si>
  <si>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</si>
  <si>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</si>
  <si>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</si>
  <si>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</si>
  <si>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</si>
  <si>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</si>
  <si>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</si>
  <si>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</si>
  <si>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</si>
  <si>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</si>
  <si>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</si>
  <si>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</si>
  <si>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</si>
  <si>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</si>
  <si>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</si>
  <si>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</si>
  <si>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</si>
  <si>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</si>
  <si>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</si>
  <si>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</si>
  <si>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</si>
  <si>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</si>
  <si>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</si>
  <si>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</si>
  <si>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</si>
  <si>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</si>
  <si>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</si>
  <si>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</si>
  <si>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</si>
  <si>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</si>
  <si>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</si>
  <si>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</si>
  <si>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</si>
  <si>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</si>
  <si>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</si>
  <si>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</si>
  <si>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</si>
  <si>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</si>
  <si>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</si>
  <si>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</si>
  <si>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</si>
  <si>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</si>
  <si>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</si>
  <si>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</si>
  <si>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</si>
  <si>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</si>
  <si>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</si>
  <si>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</si>
  <si>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</si>
  <si>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</si>
  <si>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</si>
  <si>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</si>
  <si>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</si>
  <si>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</si>
  <si>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</si>
  <si>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</si>
  <si>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</si>
  <si>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</si>
  <si>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</si>
  <si>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</si>
  <si>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</si>
  <si>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</si>
  <si>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</si>
  <si>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</si>
  <si>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</si>
  <si>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</si>
  <si>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</si>
  <si>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</si>
  <si>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</si>
  <si>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</si>
  <si>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</si>
  <si>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</si>
  <si>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</si>
  <si>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</si>
  <si>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</si>
  <si>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</si>
  <si>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</si>
  <si>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</si>
  <si>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</si>
  <si>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</si>
  <si>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</si>
  <si>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</si>
  <si>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</si>
  <si>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</si>
  <si>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</si>
  <si>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</si>
  <si>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</si>
  <si>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</si>
  <si>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</si>
  <si>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</si>
  <si>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</si>
  <si>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</si>
  <si>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</si>
  <si>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</si>
  <si>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</si>
  <si>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</si>
  <si>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</si>
  <si>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</si>
  <si>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</si>
  <si>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</si>
  <si>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</si>
  <si>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</si>
  <si>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</si>
  <si>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</si>
  <si>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</si>
  <si>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</si>
  <si>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</si>
  <si>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</si>
  <si>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</si>
  <si>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</si>
  <si>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</si>
  <si>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</si>
  <si>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</si>
  <si>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</si>
  <si>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</si>
  <si>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</si>
  <si>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</si>
  <si>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</si>
  <si>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</si>
  <si>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</si>
  <si>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</si>
  <si>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</si>
  <si>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</si>
  <si>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</si>
  <si>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</si>
  <si>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</si>
  <si>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</si>
  <si>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</si>
  <si>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</si>
  <si>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</si>
  <si>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</si>
  <si>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</si>
  <si>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</si>
  <si>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</si>
  <si>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</si>
  <si>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</si>
  <si>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</si>
  <si>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</si>
  <si>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</si>
  <si>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</si>
  <si>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</si>
  <si>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</si>
  <si>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</si>
  <si>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</si>
  <si>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</si>
  <si>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</si>
  <si>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</si>
  <si>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</si>
  <si>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</si>
  <si>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</si>
  <si>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</si>
  <si>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</si>
  <si>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</si>
  <si>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</si>
  <si>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</si>
  <si>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</si>
  <si>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</si>
  <si>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</si>
  <si>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</si>
  <si>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</si>
  <si>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</si>
  <si>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</si>
  <si>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</si>
  <si>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</si>
  <si>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</si>
  <si>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</si>
  <si>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</si>
  <si>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</si>
  <si>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</si>
  <si>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</si>
  <si>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</si>
  <si>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</si>
  <si>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</si>
  <si>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</si>
  <si>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</si>
  <si>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</si>
  <si>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</si>
  <si>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</si>
  <si>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</si>
  <si>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</si>
  <si>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</si>
  <si>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</si>
  <si>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</si>
  <si>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</si>
  <si>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</si>
  <si>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</si>
  <si>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</si>
  <si>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</si>
  <si>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</si>
  <si>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</si>
  <si>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</si>
  <si>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</si>
  <si>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</si>
  <si>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</si>
  <si>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</si>
  <si>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</si>
  <si>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</si>
  <si>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</si>
  <si>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</si>
  <si>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</si>
  <si>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</si>
  <si>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</si>
  <si>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</si>
  <si>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</si>
  <si>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</si>
  <si>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</si>
  <si>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</si>
  <si>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</si>
  <si>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</si>
  <si>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</si>
  <si>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</si>
  <si>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</si>
  <si>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</si>
  <si>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</si>
  <si>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</si>
  <si>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</si>
  <si>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</si>
  <si>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</si>
  <si>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</si>
  <si>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</si>
  <si>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</si>
  <si>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</si>
  <si>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</si>
  <si>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</si>
  <si>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</si>
  <si>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</si>
  <si>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</si>
  <si>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</si>
  <si>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</si>
  <si>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</si>
  <si>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</si>
  <si>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</si>
  <si>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</si>
  <si>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</si>
  <si>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</si>
  <si>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</si>
  <si>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</si>
  <si>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</si>
  <si>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</si>
  <si>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</si>
  <si>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</si>
  <si>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</si>
  <si>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</si>
  <si>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</si>
  <si>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</si>
  <si>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</si>
  <si>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</si>
  <si>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</si>
  <si>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</si>
  <si>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</si>
  <si>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</si>
  <si>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</si>
  <si>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</si>
  <si>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</si>
  <si>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</si>
  <si>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</si>
  <si>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</si>
  <si>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</si>
  <si>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</si>
  <si>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</si>
  <si>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</si>
  <si>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</si>
  <si>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</si>
  <si>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</si>
  <si>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</si>
  <si>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</si>
  <si>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</si>
  <si>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</si>
  <si>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</si>
  <si>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</si>
  <si>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</si>
  <si>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</si>
  <si>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</si>
  <si>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</si>
  <si>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</si>
  <si>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</si>
  <si>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</si>
  <si>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</si>
  <si>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</si>
  <si>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</si>
  <si>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</si>
  <si>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</si>
  <si>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</si>
  <si>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</si>
  <si>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</si>
  <si>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</si>
  <si>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</si>
  <si>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</si>
  <si>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</si>
  <si>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</si>
  <si>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</si>
  <si>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</si>
  <si>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</si>
  <si>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</si>
  <si>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</si>
  <si>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</si>
  <si>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</si>
  <si>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</si>
  <si>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</si>
  <si>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</si>
  <si>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</si>
  <si>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</si>
  <si>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</si>
  <si>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</si>
  <si>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</si>
  <si>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</si>
  <si>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</si>
  <si>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</si>
  <si>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</si>
  <si>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</si>
  <si>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</si>
  <si>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</si>
  <si>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</si>
  <si>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</si>
  <si>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</si>
  <si>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</si>
  <si>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</si>
  <si>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</si>
  <si>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</si>
  <si>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</si>
  <si>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</si>
  <si>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</si>
  <si>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</si>
  <si>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</si>
  <si>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</si>
  <si>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</si>
  <si>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</si>
  <si>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</si>
  <si>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</si>
  <si>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</si>
  <si>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</si>
  <si>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</si>
  <si>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</si>
  <si>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</si>
  <si>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</si>
  <si>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</si>
  <si>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</si>
  <si>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</si>
  <si>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</si>
  <si>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</si>
  <si>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</si>
  <si>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</si>
  <si>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</si>
  <si>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</si>
  <si>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</si>
  <si>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</si>
  <si>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</si>
  <si>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</si>
  <si>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</si>
  <si>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</si>
  <si>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</si>
  <si>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</si>
  <si>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</si>
  <si>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</si>
  <si>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</si>
  <si>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</si>
  <si>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</si>
  <si>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</si>
  <si>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</si>
  <si>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</si>
  <si>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</si>
  <si>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</si>
  <si>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</si>
  <si>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</si>
  <si>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</si>
  <si>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</si>
  <si>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</si>
  <si>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</si>
  <si>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</si>
  <si>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</si>
  <si>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</si>
  <si>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</si>
  <si>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</si>
  <si>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</si>
  <si>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</si>
  <si>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</si>
  <si>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</si>
  <si>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</si>
  <si>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</si>
  <si>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</si>
  <si>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</si>
  <si>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</si>
  <si>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</si>
  <si>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</si>
  <si>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</si>
  <si>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</si>
  <si>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</si>
  <si>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</si>
  <si>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</si>
  <si>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</si>
  <si>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</si>
  <si>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</si>
  <si>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</si>
  <si>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</si>
  <si>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</si>
  <si>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</si>
  <si>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</si>
  <si>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</si>
  <si>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</si>
  <si>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</si>
  <si>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</si>
  <si>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</si>
  <si>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</si>
  <si>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</si>
  <si>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</si>
  <si>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</si>
  <si>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</si>
  <si>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</si>
  <si>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</si>
  <si>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</si>
  <si>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</si>
  <si>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</si>
  <si>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</si>
  <si>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</si>
  <si>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</si>
  <si>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</si>
  <si>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</si>
  <si>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</si>
  <si>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</si>
  <si>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</si>
  <si>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</si>
  <si>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</si>
  <si>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</si>
  <si>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</si>
  <si>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</si>
  <si>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</si>
  <si>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</si>
  <si>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</si>
  <si>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</si>
  <si>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</si>
  <si>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</si>
  <si>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</si>
  <si>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</si>
  <si>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</si>
  <si>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</si>
  <si>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</si>
  <si>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</si>
  <si>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</si>
  <si>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</si>
  <si>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</si>
  <si>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</si>
  <si>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</si>
  <si>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</si>
  <si>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</si>
  <si>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</si>
  <si>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</si>
  <si>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</si>
  <si>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</si>
  <si>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</si>
  <si>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</si>
  <si>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</si>
  <si>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</si>
  <si>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</si>
  <si>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</si>
  <si>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</si>
  <si>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</si>
  <si>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</si>
  <si>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</si>
  <si>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</si>
  <si>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</si>
  <si>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</si>
  <si>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</si>
  <si>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</si>
  <si>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</si>
  <si>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</si>
  <si>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</si>
  <si>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</si>
  <si>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</si>
  <si>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</si>
  <si>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</si>
  <si>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</si>
  <si>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</si>
  <si>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</si>
  <si>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</si>
  <si>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</si>
  <si>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</si>
  <si>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</si>
  <si>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</si>
  <si>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</si>
  <si>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</si>
  <si>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</si>
  <si>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</si>
  <si>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</si>
  <si>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</si>
  <si>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</si>
  <si>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</si>
  <si>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</si>
  <si>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</si>
  <si>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</si>
  <si>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</si>
  <si>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</si>
  <si>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</si>
  <si>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</si>
  <si>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</si>
  <si>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</si>
  <si>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</si>
  <si>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</si>
  <si>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</si>
  <si>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</si>
  <si>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</si>
  <si>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</si>
  <si>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</si>
  <si>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</si>
  <si>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</si>
  <si>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</si>
  <si>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</si>
  <si>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</si>
  <si>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</si>
  <si>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</si>
  <si>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</si>
  <si>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</si>
  <si>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</si>
  <si>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</si>
  <si>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</si>
  <si>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</si>
  <si>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</si>
  <si>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</si>
  <si>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</si>
  <si>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</si>
  <si>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</si>
  <si>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</si>
  <si>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</si>
  <si>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</si>
  <si>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</si>
  <si>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</si>
  <si>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</si>
  <si>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</si>
  <si>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</si>
  <si>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</si>
  <si>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</si>
  <si>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</si>
  <si>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</si>
  <si>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</si>
  <si>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</si>
  <si>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</si>
  <si>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</si>
  <si>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</si>
  <si>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</si>
  <si>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</si>
  <si>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</si>
  <si>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</si>
  <si>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</si>
  <si>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</si>
  <si>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</si>
  <si>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</si>
  <si>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</si>
  <si>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</si>
  <si>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</si>
  <si>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</si>
  <si>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</si>
  <si>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</si>
  <si>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</si>
  <si>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</si>
  <si>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</si>
  <si>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</si>
  <si>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</si>
  <si>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</si>
  <si>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</si>
  <si>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</si>
  <si>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</si>
  <si>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</si>
  <si>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</si>
  <si>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</si>
  <si>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</si>
  <si>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</si>
  <si>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</si>
  <si>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</si>
  <si>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</si>
  <si>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</si>
  <si>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</si>
  <si>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</si>
  <si>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</si>
  <si>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</si>
  <si>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</si>
  <si>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</si>
  <si>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</si>
  <si>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</si>
  <si>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</si>
  <si>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</si>
  <si>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</si>
  <si>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</si>
  <si>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</si>
  <si>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</si>
  <si>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</si>
  <si>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</si>
  <si>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</si>
  <si>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</si>
  <si>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</si>
  <si>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</si>
  <si>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</si>
  <si>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</si>
  <si>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</si>
  <si>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</si>
  <si>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</si>
  <si>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</si>
  <si>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</si>
  <si>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</si>
  <si>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</si>
  <si>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</si>
  <si>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</si>
  <si>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</si>
  <si>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</si>
  <si>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</si>
  <si>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</si>
  <si>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</si>
  <si>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</si>
  <si>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</si>
  <si>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</si>
  <si>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</si>
  <si>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</si>
  <si>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</si>
  <si>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</si>
  <si>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</si>
  <si>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</si>
  <si>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</si>
  <si>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</si>
  <si>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</si>
  <si>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</si>
  <si>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</si>
  <si>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</si>
  <si>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</si>
  <si>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</si>
  <si>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</si>
  <si>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</si>
  <si>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</si>
  <si>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</si>
  <si>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</si>
  <si>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</si>
  <si>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</si>
  <si>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</si>
  <si>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</si>
  <si>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</si>
  <si>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</si>
  <si>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</si>
  <si>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</si>
  <si>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</si>
  <si>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</si>
  <si>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</si>
  <si>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</si>
  <si>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</si>
  <si>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</si>
  <si>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</si>
  <si>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</si>
  <si>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</si>
  <si>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</si>
  <si>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</si>
  <si>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</si>
  <si>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</si>
  <si>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</si>
  <si>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</si>
  <si>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</si>
  <si>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</si>
  <si>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</si>
  <si>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</si>
  <si>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</si>
  <si>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</si>
  <si>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</si>
  <si>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</si>
  <si>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</si>
  <si>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</si>
  <si>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</si>
  <si>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</si>
  <si>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</si>
  <si>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</si>
  <si>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</si>
  <si>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</si>
  <si>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</si>
  <si>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</si>
  <si>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</si>
  <si>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</si>
  <si>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</si>
  <si>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</si>
  <si>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</si>
  <si>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</si>
  <si>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</si>
  <si>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</si>
  <si>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</si>
  <si>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</si>
  <si>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</si>
  <si>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</si>
  <si>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</si>
  <si>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</si>
  <si>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</si>
  <si>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</si>
  <si>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</si>
  <si>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</si>
  <si>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</si>
  <si>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</si>
  <si>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</si>
  <si>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</si>
  <si>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</si>
  <si>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</si>
  <si>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</si>
  <si>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</si>
  <si>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</si>
  <si>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</si>
  <si>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</si>
  <si>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</si>
  <si>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</si>
  <si>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</si>
  <si>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</si>
  <si>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</si>
  <si>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</si>
  <si>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</si>
  <si>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</si>
  <si>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</si>
  <si>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</si>
  <si>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</si>
  <si>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</si>
  <si>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</si>
  <si>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</si>
  <si>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</si>
  <si>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</si>
  <si>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</si>
  <si>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</si>
  <si>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</si>
  <si>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</si>
  <si>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</si>
  <si>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</si>
  <si>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</si>
  <si>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</si>
  <si>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</si>
  <si>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</si>
  <si>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</si>
  <si>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</si>
  <si>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</si>
  <si>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</si>
  <si>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</si>
  <si>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</si>
  <si>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</si>
  <si>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</si>
  <si>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</si>
  <si>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</si>
  <si>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</si>
  <si>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</si>
  <si>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</si>
  <si>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</si>
  <si>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</si>
  <si>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</si>
  <si>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</si>
  <si>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</si>
  <si>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</si>
  <si>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</si>
  <si>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</si>
  <si>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</si>
  <si>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</si>
  <si>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</si>
  <si>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</si>
  <si>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</si>
  <si>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</si>
  <si>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</si>
  <si>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</si>
  <si>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</si>
  <si>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</si>
  <si>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</si>
  <si>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</si>
  <si>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</si>
  <si>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</si>
  <si>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</si>
  <si>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</si>
  <si>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</si>
  <si>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</si>
  <si>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</si>
  <si>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</si>
  <si>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</si>
  <si>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</si>
  <si>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</si>
  <si>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</si>
  <si>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</si>
  <si>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</si>
  <si>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</si>
  <si>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</si>
  <si>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</si>
  <si>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</si>
  <si>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</si>
  <si>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</si>
  <si>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</si>
  <si>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</si>
  <si>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</si>
  <si>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</si>
  <si>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</si>
  <si>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</si>
  <si>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</si>
  <si>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</si>
  <si>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</si>
  <si>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</si>
  <si>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</si>
  <si>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</si>
  <si>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</si>
  <si>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</si>
  <si>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</si>
  <si>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</si>
  <si>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</si>
  <si>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</si>
  <si>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</si>
  <si>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</si>
  <si>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</si>
  <si>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</si>
  <si>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</si>
  <si>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</si>
  <si>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</si>
  <si>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</si>
  <si>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</si>
  <si>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</si>
  <si>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</si>
  <si>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</si>
  <si>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</si>
  <si>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</si>
  <si>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</si>
  <si>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</si>
  <si>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</si>
  <si>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</si>
  <si>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</si>
  <si>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</si>
  <si>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</si>
  <si>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</si>
  <si>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</si>
  <si>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</si>
  <si>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</si>
  <si>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</si>
  <si>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</si>
  <si>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</si>
  <si>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</si>
  <si>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</si>
  <si>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</si>
  <si>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</si>
  <si>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</si>
  <si>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</si>
  <si>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</si>
  <si>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</si>
  <si>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</si>
  <si>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</si>
  <si>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</si>
  <si>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</si>
  <si>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</si>
  <si>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</si>
  <si>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</si>
  <si>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</si>
  <si>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</si>
  <si>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</si>
  <si>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</si>
  <si>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</si>
  <si>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</si>
  <si>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</si>
  <si>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</si>
  <si>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</si>
  <si>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</si>
  <si>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</si>
  <si>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</si>
  <si>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</si>
  <si>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</si>
  <si>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</si>
  <si>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</si>
  <si>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</si>
  <si>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</si>
  <si>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</si>
  <si>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</si>
  <si>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</si>
  <si>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</si>
  <si>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</si>
  <si>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</si>
  <si>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</si>
  <si>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</si>
  <si>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</si>
  <si>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</si>
  <si>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</si>
  <si>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</si>
  <si>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</si>
  <si>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</si>
  <si>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</si>
  <si>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</si>
  <si>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</si>
  <si>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</si>
  <si>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</si>
  <si>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</si>
  <si>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</si>
  <si>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</si>
  <si>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</si>
  <si>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</si>
  <si>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</si>
  <si>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</si>
  <si>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</si>
  <si>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</si>
  <si>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</si>
  <si>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</si>
  <si>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</si>
  <si>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</si>
  <si>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</si>
  <si>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</si>
  <si>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</si>
  <si>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</si>
  <si>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</si>
  <si>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</si>
  <si>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</si>
  <si>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</si>
  <si>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</si>
  <si>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</si>
  <si>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</si>
  <si>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</si>
  <si>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</si>
  <si>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</si>
  <si>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</si>
  <si>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</si>
  <si>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</si>
  <si>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</si>
  <si>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</si>
  <si>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</si>
  <si>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</si>
  <si>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</si>
  <si>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</si>
  <si>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</si>
  <si>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</si>
  <si>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</si>
  <si>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</si>
  <si>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</si>
  <si>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</si>
  <si>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</si>
  <si>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</si>
  <si>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</si>
  <si>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</si>
  <si>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</si>
  <si>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</si>
  <si>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</si>
  <si>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</si>
  <si>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</si>
  <si>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</si>
  <si>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</si>
  <si>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</si>
  <si>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</si>
  <si>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</si>
  <si>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</si>
  <si>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</si>
  <si>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</si>
  <si>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</si>
  <si>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</si>
  <si>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</si>
  <si>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</si>
  <si>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</si>
  <si>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</si>
  <si>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</si>
  <si>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</si>
  <si>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</si>
  <si>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</si>
  <si>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</si>
  <si>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</si>
  <si>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</si>
  <si>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</si>
  <si>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</si>
  <si>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</si>
  <si>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</si>
  <si>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</si>
  <si>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</si>
  <si>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</si>
  <si>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</si>
  <si>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</si>
  <si>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</si>
  <si>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</si>
  <si>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</si>
  <si>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</si>
  <si>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</si>
  <si>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</si>
  <si>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</si>
  <si>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</si>
  <si>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</si>
  <si>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</si>
  <si>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</si>
  <si>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</si>
  <si>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</si>
  <si>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</si>
  <si>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</si>
  <si>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</si>
  <si>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</si>
  <si>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</si>
  <si>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</si>
  <si>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</si>
  <si>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</si>
  <si>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</si>
  <si>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</si>
  <si>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</si>
  <si>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</si>
  <si>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</si>
  <si>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</si>
  <si>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</si>
  <si>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</si>
  <si>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</si>
  <si>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</si>
  <si>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</si>
  <si>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</si>
  <si>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</si>
  <si>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</si>
  <si>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</si>
  <si>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</si>
  <si>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</si>
  <si>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</si>
  <si>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</si>
  <si>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</si>
  <si>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</si>
  <si>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</si>
  <si>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</si>
  <si>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</si>
  <si>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</si>
  <si>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</si>
  <si>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</si>
  <si>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</si>
  <si>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</si>
  <si>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</si>
  <si>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</si>
  <si>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</si>
  <si>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</si>
  <si>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</si>
  <si>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</si>
  <si>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</si>
  <si>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</si>
  <si>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</si>
  <si>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</si>
  <si>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</si>
  <si>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</si>
  <si>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</si>
  <si>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</si>
  <si>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</si>
  <si>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</si>
  <si>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</si>
  <si>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</si>
  <si>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</si>
  <si>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</si>
  <si>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</si>
  <si>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</si>
  <si>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</si>
  <si>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</si>
  <si>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</si>
  <si>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</si>
  <si>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</si>
  <si>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</si>
  <si>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</si>
  <si>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</si>
  <si>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</si>
  <si>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</si>
  <si>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</si>
  <si>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</si>
  <si>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</si>
  <si>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</si>
  <si>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</si>
  <si>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</si>
  <si>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</si>
  <si>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</si>
  <si>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</si>
  <si>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</si>
  <si>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</si>
  <si>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</si>
  <si>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</si>
  <si>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</si>
  <si>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</si>
  <si>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</si>
  <si>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</si>
  <si>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</si>
  <si>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</si>
  <si>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</si>
  <si>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</si>
  <si>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</si>
  <si>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</si>
  <si>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</si>
  <si>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</si>
  <si>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</si>
  <si>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</si>
  <si>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</si>
  <si>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</si>
  <si>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</si>
  <si>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</si>
  <si>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</si>
  <si>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</si>
  <si>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</si>
  <si>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</si>
  <si>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</si>
  <si>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</si>
  <si>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</si>
  <si>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</si>
  <si>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</si>
  <si>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</si>
  <si>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</si>
  <si>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</si>
  <si>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</si>
  <si>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</si>
  <si>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</si>
  <si>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</si>
  <si>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</si>
  <si>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</si>
  <si>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</si>
  <si>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</si>
  <si>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</si>
  <si>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</si>
  <si>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</si>
  <si>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</si>
  <si>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</si>
  <si>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</si>
  <si>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</si>
  <si>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</si>
  <si>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</si>
  <si>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</si>
  <si>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</si>
  <si>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</si>
  <si>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</si>
  <si>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</si>
  <si>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</si>
  <si>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</si>
  <si>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</si>
  <si>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</si>
  <si>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</si>
  <si>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</si>
  <si>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</si>
  <si>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</si>
  <si>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</si>
  <si>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</si>
  <si>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</si>
  <si>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</si>
  <si>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</si>
  <si>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</si>
  <si>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</si>
  <si>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</si>
  <si>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</si>
  <si>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</si>
  <si>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</si>
  <si>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</si>
  <si>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</si>
  <si>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</si>
  <si>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</si>
  <si>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</si>
  <si>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</si>
  <si>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</si>
  <si>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</si>
  <si>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</si>
  <si>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</si>
  <si>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</si>
  <si>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</si>
  <si>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</si>
  <si>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</si>
  <si>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</si>
  <si>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</si>
  <si>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</si>
  <si>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</si>
  <si>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</si>
  <si>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</si>
  <si>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</si>
  <si>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</si>
  <si>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</si>
  <si>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</si>
  <si>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</si>
  <si>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</si>
  <si>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</si>
  <si>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</si>
  <si>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</si>
  <si>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</si>
  <si>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</si>
  <si>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</si>
  <si>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</si>
  <si>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</si>
  <si>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</si>
  <si>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</si>
  <si>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</si>
  <si>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</si>
  <si>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</si>
  <si>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</si>
  <si>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</si>
  <si>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</si>
  <si>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</si>
  <si>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</si>
  <si>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</si>
  <si>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</si>
  <si>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</si>
  <si>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</si>
  <si>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</si>
  <si>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</si>
  <si>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</si>
  <si>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</si>
  <si>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</si>
  <si>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</si>
  <si>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</si>
  <si>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</si>
  <si>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</si>
  <si>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</si>
  <si>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</si>
  <si>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</si>
  <si>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</si>
  <si>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</si>
  <si>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</si>
  <si>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</si>
  <si>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</si>
  <si>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</si>
  <si>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</si>
  <si>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</si>
  <si>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</si>
  <si>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</si>
  <si>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</si>
  <si>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</si>
  <si>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</si>
  <si>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</si>
  <si>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</si>
  <si>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</si>
  <si>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</si>
  <si>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</si>
  <si>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</si>
  <si>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</si>
  <si>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</si>
  <si>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</si>
  <si>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</si>
  <si>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</si>
  <si>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</si>
  <si>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</si>
  <si>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</si>
  <si>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</si>
  <si>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</si>
  <si>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</si>
  <si>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</si>
  <si>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</si>
  <si>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</si>
  <si>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</si>
  <si>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</si>
  <si>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</si>
  <si>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</si>
  <si>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</si>
  <si>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</si>
  <si>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</si>
  <si>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</si>
  <si>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</si>
  <si>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</si>
  <si>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</si>
  <si>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</si>
  <si>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</si>
  <si>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</si>
  <si>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</si>
  <si>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</si>
  <si>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</si>
  <si>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</si>
  <si>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</si>
  <si>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</si>
  <si>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</si>
  <si>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</si>
  <si>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</si>
  <si>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</si>
  <si>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</si>
  <si>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</si>
  <si>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</si>
  <si>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</si>
  <si>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</si>
  <si>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</si>
  <si>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</si>
  <si>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</si>
  <si>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</si>
  <si>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</si>
  <si>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</si>
  <si>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</si>
  <si>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</si>
  <si>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</si>
  <si>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</si>
  <si>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</si>
  <si>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</si>
  <si>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</si>
  <si>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</si>
  <si>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</si>
  <si>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</si>
  <si>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</si>
  <si>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</si>
  <si>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</si>
  <si>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</si>
  <si>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</si>
  <si>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</si>
  <si>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</si>
  <si>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</si>
  <si>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</si>
  <si>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</si>
  <si>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</si>
  <si>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</si>
  <si>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</si>
  <si>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</si>
  <si>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</si>
  <si>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</si>
  <si>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</si>
  <si>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</si>
  <si>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</si>
  <si>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</si>
  <si>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</si>
  <si>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</si>
  <si>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</si>
  <si>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</si>
  <si>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</si>
  <si>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</si>
  <si>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</si>
  <si>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</si>
  <si>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</si>
  <si>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</si>
  <si>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</si>
  <si>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</si>
  <si>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</si>
  <si>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</si>
  <si>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</si>
  <si>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</si>
  <si>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</si>
  <si>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</si>
  <si>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</si>
  <si>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</si>
  <si>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</si>
  <si>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</si>
  <si>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</si>
  <si>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</si>
  <si>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</si>
  <si>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</si>
  <si>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</si>
  <si>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</si>
  <si>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</si>
  <si>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</si>
  <si>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</si>
  <si>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</si>
  <si>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</si>
  <si>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</si>
  <si>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</si>
  <si>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</si>
  <si>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</si>
  <si>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</si>
  <si>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</si>
  <si>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</si>
  <si>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</si>
  <si>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</si>
  <si>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</si>
  <si>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</si>
  <si>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</si>
  <si>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</si>
  <si>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</si>
  <si>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</si>
  <si>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</si>
  <si>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</si>
  <si>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</si>
  <si>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</si>
  <si>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</si>
  <si>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</si>
  <si>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</si>
  <si>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</si>
  <si>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</si>
  <si>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</si>
  <si>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</si>
  <si>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</si>
  <si>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</si>
  <si>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</si>
  <si>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</si>
  <si>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</si>
  <si>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</si>
  <si>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</si>
  <si>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</si>
  <si>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</si>
  <si>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</si>
  <si>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</si>
  <si>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</si>
  <si>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</si>
  <si>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</si>
  <si>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</si>
  <si>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</si>
  <si>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</si>
  <si>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</si>
  <si>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</si>
  <si>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</si>
  <si>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</si>
  <si>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</si>
  <si>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</si>
  <si>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</si>
  <si>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</si>
  <si>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</si>
  <si>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</si>
  <si>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</si>
  <si>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</si>
  <si>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</si>
  <si>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</si>
  <si>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</si>
  <si>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</si>
  <si>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</si>
  <si>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</si>
  <si>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</si>
  <si>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</si>
  <si>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</si>
  <si>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</si>
  <si>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</si>
  <si>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</si>
  <si>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</si>
  <si>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</si>
  <si>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</si>
  <si>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</si>
  <si>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</si>
  <si>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</si>
  <si>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</si>
  <si>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</si>
  <si>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</si>
  <si>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</si>
  <si>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</si>
  <si>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</si>
  <si>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</si>
  <si>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</si>
  <si>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</si>
  <si>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</si>
  <si>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</si>
  <si>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</si>
  <si>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</si>
  <si>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</si>
  <si>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</si>
  <si>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</si>
  <si>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</si>
  <si>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</si>
  <si>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</si>
  <si>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</si>
  <si>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</si>
  <si>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</si>
  <si>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</si>
  <si>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</si>
  <si>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</si>
  <si>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</si>
  <si>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</si>
  <si>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</si>
  <si>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</si>
  <si>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</si>
  <si>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</si>
  <si>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</si>
  <si>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</si>
  <si>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</si>
  <si>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</si>
  <si>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</si>
  <si>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</si>
  <si>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</si>
  <si>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</si>
  <si>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</si>
  <si>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</si>
  <si>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</si>
  <si>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</si>
  <si>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</si>
  <si>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</si>
  <si>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</si>
  <si>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</si>
  <si>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</si>
  <si>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</si>
  <si>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</si>
  <si>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</si>
  <si>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</si>
  <si>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</si>
  <si>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</si>
  <si>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</si>
  <si>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</si>
  <si>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</si>
  <si>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</si>
  <si>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</si>
  <si>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</si>
  <si>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</si>
  <si>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</si>
  <si>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</si>
  <si>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</si>
  <si>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</si>
  <si>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</si>
  <si>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</si>
  <si>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</si>
  <si>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</si>
  <si>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</si>
  <si>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</si>
  <si>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</si>
  <si>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</si>
  <si>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</si>
  <si>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</si>
  <si>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</si>
  <si>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</si>
  <si>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</si>
  <si>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</si>
  <si>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</si>
  <si>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</si>
  <si>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</si>
  <si>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</si>
  <si>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</si>
  <si>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</si>
  <si>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</si>
  <si>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</si>
  <si>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</si>
  <si>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</si>
  <si>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</si>
  <si>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</si>
  <si>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</si>
  <si>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</si>
  <si>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</si>
  <si>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</si>
  <si>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</si>
  <si>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</si>
  <si>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</si>
  <si>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</si>
  <si>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</si>
  <si>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</si>
  <si>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</si>
  <si>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</si>
  <si>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</si>
  <si>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</si>
  <si>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</si>
  <si>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</si>
  <si>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</si>
  <si>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</si>
  <si>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</si>
  <si>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</si>
  <si>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</si>
  <si>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</si>
  <si>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</si>
  <si>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</si>
  <si>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</si>
  <si>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</si>
  <si>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</si>
  <si>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</si>
  <si>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</si>
  <si>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</si>
  <si>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</si>
  <si>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</si>
  <si>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</si>
  <si>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</si>
  <si>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</si>
  <si>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</si>
  <si>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</si>
  <si>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</si>
  <si>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</si>
  <si>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</si>
  <si>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</si>
  <si>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</si>
  <si>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</si>
  <si>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</si>
  <si>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</si>
  <si>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</si>
  <si>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</si>
  <si>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</si>
  <si>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</si>
  <si>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</si>
  <si>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</si>
  <si>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</si>
  <si>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</si>
  <si>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</si>
  <si>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</si>
  <si>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</si>
  <si>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</si>
  <si>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</si>
  <si>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</si>
  <si>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</si>
  <si>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</si>
  <si>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</si>
  <si>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</si>
  <si>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</si>
  <si>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</si>
  <si>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</si>
  <si>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</si>
  <si>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</si>
  <si>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</si>
  <si>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</si>
  <si>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</si>
  <si>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</si>
  <si>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</si>
  <si>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</si>
  <si>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</si>
  <si>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</si>
  <si>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</si>
  <si>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</si>
  <si>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</si>
  <si>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</si>
  <si>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</si>
  <si>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</si>
  <si>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</si>
  <si>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</si>
  <si>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</si>
  <si>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</si>
  <si>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</si>
  <si>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</si>
  <si>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</si>
  <si>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</si>
  <si>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</si>
  <si>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</si>
  <si>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</si>
  <si>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</si>
  <si>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</si>
  <si>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</si>
  <si>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</si>
  <si>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</si>
  <si>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</si>
  <si>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</si>
  <si>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</si>
  <si>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</si>
  <si>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</si>
  <si>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</si>
  <si>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</si>
  <si>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</si>
  <si>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</si>
  <si>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</si>
  <si>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</si>
  <si>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</si>
  <si>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</si>
  <si>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</si>
  <si>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</si>
  <si>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</si>
  <si>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</si>
  <si>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</si>
  <si>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</si>
  <si>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</si>
  <si>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</si>
  <si>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</si>
  <si>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</si>
  <si>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</si>
  <si>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</si>
  <si>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</si>
  <si>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</si>
  <si>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</si>
  <si>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</si>
  <si>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</si>
  <si>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</si>
  <si>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</si>
  <si>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</si>
  <si>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</si>
  <si>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</si>
  <si>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</si>
  <si>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</si>
  <si>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</si>
  <si>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</si>
  <si>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</si>
  <si>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</si>
  <si>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</si>
  <si>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</si>
  <si>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</si>
  <si>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</si>
  <si>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</si>
  <si>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</si>
  <si>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</si>
  <si>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</si>
  <si>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</si>
  <si>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</si>
  <si>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</si>
  <si>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</si>
  <si>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</si>
  <si>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</si>
  <si>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</si>
  <si>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</si>
  <si>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</si>
  <si>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</si>
  <si>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</si>
  <si>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</si>
  <si>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</si>
  <si>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</si>
  <si>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</si>
  <si>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</si>
  <si>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</si>
  <si>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</si>
  <si>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</si>
  <si>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</si>
  <si>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</si>
  <si>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</si>
  <si>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</si>
  <si>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</si>
  <si>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</si>
  <si>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</si>
  <si>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</si>
  <si>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</si>
  <si>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</si>
  <si>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</si>
  <si>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</si>
  <si>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</si>
  <si>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</si>
  <si>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</si>
  <si>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</si>
  <si>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</si>
  <si>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</si>
  <si>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</si>
  <si>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</si>
  <si>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</si>
  <si>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</si>
  <si>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</si>
  <si>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</si>
  <si>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</si>
  <si>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</si>
  <si>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</si>
  <si>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</si>
  <si>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</si>
  <si>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</si>
  <si>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</si>
  <si>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</si>
  <si>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</si>
  <si>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</si>
  <si>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</si>
  <si>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</si>
  <si>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</si>
  <si>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</si>
  <si>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</si>
  <si>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</si>
  <si>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</si>
  <si>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</si>
  <si>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</si>
  <si>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</si>
  <si>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</si>
  <si>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</si>
  <si>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</si>
  <si>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</si>
  <si>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</si>
  <si>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</si>
  <si>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</si>
  <si>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</si>
  <si>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</si>
  <si>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</si>
  <si>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</si>
  <si>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</si>
  <si>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</si>
  <si>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</si>
  <si>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</si>
  <si>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</si>
  <si>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</si>
  <si>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</si>
  <si>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</si>
  <si>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</si>
  <si>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</si>
  <si>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</si>
  <si>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</si>
  <si>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</si>
  <si>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</si>
  <si>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</si>
  <si>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</si>
  <si>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</si>
  <si>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</si>
  <si>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</si>
  <si>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</si>
  <si>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</si>
  <si>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</si>
  <si>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</si>
  <si>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</si>
  <si>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</si>
  <si>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</si>
  <si>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</si>
  <si>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</si>
  <si>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</si>
  <si>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</si>
  <si>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</si>
  <si>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</si>
  <si>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</si>
  <si>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</si>
  <si>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</si>
  <si>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</si>
  <si>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</si>
  <si>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</si>
  <si>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</si>
  <si>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</si>
  <si>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</si>
  <si>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</si>
  <si>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</si>
  <si>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</si>
  <si>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</si>
  <si>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</si>
  <si>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</si>
  <si>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</si>
  <si>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</si>
  <si>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</si>
  <si>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</si>
  <si>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</si>
  <si>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</si>
  <si>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</si>
  <si>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</si>
  <si>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</si>
  <si>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</si>
  <si>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</si>
  <si>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</si>
  <si>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</si>
  <si>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</si>
  <si>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</si>
  <si>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</si>
  <si>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</si>
  <si>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</si>
  <si>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</si>
  <si>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</si>
  <si>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</si>
  <si>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</si>
  <si>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</si>
  <si>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</si>
  <si>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</si>
  <si>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</si>
  <si>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</si>
  <si>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</si>
  <si>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</si>
  <si>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</si>
  <si>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</si>
  <si>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</si>
  <si>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</si>
  <si>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</si>
  <si>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</si>
  <si>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</si>
  <si>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</si>
  <si>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</si>
  <si>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</si>
  <si>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</si>
  <si>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</si>
  <si>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</si>
  <si>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</si>
  <si>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</si>
  <si>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</si>
  <si>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</si>
  <si>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</si>
  <si>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</si>
  <si>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</si>
  <si>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</si>
  <si>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</si>
  <si>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</si>
  <si>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</si>
  <si>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</si>
  <si>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</si>
  <si>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</si>
  <si>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</si>
  <si>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</si>
  <si>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</si>
  <si>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</si>
  <si>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</si>
  <si>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</si>
  <si>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</si>
  <si>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</si>
  <si>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</si>
  <si>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</si>
  <si>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</si>
  <si>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</si>
  <si>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</si>
  <si>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</si>
  <si>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</si>
  <si>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</si>
  <si>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</si>
  <si>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</si>
  <si>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</si>
  <si>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</si>
  <si>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</si>
  <si>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</si>
  <si>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</si>
  <si>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</si>
  <si>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</si>
  <si>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</si>
  <si>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</si>
  <si>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</si>
  <si>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</si>
  <si>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</si>
  <si>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</si>
  <si>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</si>
  <si>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</si>
  <si>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</si>
  <si>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</si>
  <si>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</si>
  <si>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</si>
  <si>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</si>
  <si>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</si>
  <si>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</si>
  <si>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</si>
  <si>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</si>
  <si>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</si>
  <si>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</si>
  <si>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</si>
  <si>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</si>
  <si>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</si>
  <si>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</si>
  <si>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</si>
  <si>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</si>
  <si>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</si>
  <si>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</si>
  <si>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</si>
  <si>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</si>
  <si>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</si>
  <si>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</si>
  <si>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</si>
  <si>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</si>
  <si>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</si>
  <si>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</si>
  <si>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</si>
  <si>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</si>
  <si>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</si>
  <si>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</si>
  <si>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</si>
  <si>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</si>
  <si>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</si>
  <si>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</si>
  <si>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</si>
  <si>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</si>
  <si>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</si>
  <si>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</si>
  <si>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</si>
  <si>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</si>
  <si>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</si>
  <si>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</si>
  <si>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</si>
  <si>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</si>
  <si>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</si>
  <si>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</si>
  <si>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</si>
  <si>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</si>
  <si>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</si>
  <si>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</si>
  <si>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</si>
  <si>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</si>
  <si>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</si>
  <si>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</si>
  <si>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</si>
  <si>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</si>
  <si>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</si>
  <si>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</si>
  <si>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</si>
  <si>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</si>
  <si>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</si>
  <si>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</si>
  <si>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</si>
  <si>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</si>
  <si>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</si>
  <si>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</si>
  <si>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</si>
  <si>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</si>
  <si>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</si>
  <si>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</si>
  <si>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</si>
  <si>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</si>
  <si>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</si>
  <si>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</si>
  <si>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</si>
  <si>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</si>
  <si>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</si>
  <si>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</si>
  <si>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</si>
  <si>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</si>
  <si>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</si>
  <si>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</si>
  <si>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</si>
  <si>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</si>
  <si>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</si>
  <si>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</si>
  <si>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</si>
  <si>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</si>
  <si>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</si>
  <si>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</si>
  <si>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</si>
  <si>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</si>
  <si>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</si>
  <si>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</si>
  <si>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</si>
  <si>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</si>
  <si>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</si>
  <si>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</si>
  <si>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</si>
  <si>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</si>
  <si>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</si>
  <si>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</si>
  <si>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</si>
  <si>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</si>
  <si>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</si>
  <si>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</si>
  <si>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</si>
  <si>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</si>
  <si>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</si>
  <si>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</si>
  <si>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</si>
  <si>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</si>
  <si>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</si>
  <si>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</si>
  <si>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</si>
  <si>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</si>
  <si>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</si>
  <si>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</si>
  <si>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</si>
  <si>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</si>
  <si>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</si>
  <si>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</si>
  <si>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</si>
  <si>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</si>
  <si>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</si>
  <si>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</si>
  <si>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</si>
  <si>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</si>
  <si>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</si>
  <si>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</si>
  <si>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</si>
  <si>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</si>
  <si>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</si>
  <si>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</si>
  <si>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</si>
  <si>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</si>
  <si>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</si>
  <si>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</si>
  <si>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</si>
  <si>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</si>
  <si>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</si>
  <si>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</si>
  <si>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</si>
  <si>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</si>
  <si>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</si>
  <si>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</si>
  <si>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</si>
  <si>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</si>
  <si>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</si>
  <si>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</si>
  <si>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</si>
  <si>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</si>
  <si>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</si>
  <si>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</si>
  <si>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</si>
  <si>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</si>
  <si>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</si>
  <si>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</si>
  <si>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</si>
  <si>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</si>
  <si>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</si>
  <si>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</si>
  <si>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</si>
  <si>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</si>
  <si>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</si>
  <si>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</si>
  <si>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</si>
  <si>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</si>
  <si>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</si>
  <si>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</si>
  <si>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</si>
  <si>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</si>
  <si>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</si>
  <si>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</si>
  <si>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</si>
  <si>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</si>
  <si>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</si>
  <si>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</si>
  <si>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</si>
  <si>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</si>
  <si>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</si>
  <si>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</si>
  <si>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</si>
  <si>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</si>
  <si>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</si>
  <si>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</si>
  <si>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</si>
  <si>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</si>
  <si>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</si>
  <si>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</si>
  <si>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</si>
  <si>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</si>
  <si>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</si>
  <si>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</si>
  <si>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</si>
  <si>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</si>
  <si>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</si>
  <si>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</si>
  <si>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</si>
  <si>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</si>
  <si>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</si>
  <si>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</si>
  <si>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</si>
  <si>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</si>
  <si>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</si>
  <si>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</si>
  <si>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</si>
  <si>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</si>
  <si>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</si>
  <si>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</si>
  <si>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</si>
  <si>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</si>
  <si>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</si>
  <si>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</si>
  <si>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</si>
  <si>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</si>
  <si>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</si>
  <si>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</si>
  <si>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</si>
  <si>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</si>
  <si>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</si>
  <si>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</si>
  <si>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</si>
  <si>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</si>
  <si>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</si>
  <si>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</si>
  <si>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</si>
  <si>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</si>
  <si>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</si>
  <si>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</si>
  <si>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</si>
  <si>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</si>
  <si>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</si>
  <si>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</si>
  <si>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</si>
  <si>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</si>
  <si>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</si>
  <si>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</si>
  <si>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</si>
  <si>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</si>
  <si>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</si>
  <si>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</si>
  <si>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</si>
  <si>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</si>
  <si>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</si>
  <si>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</si>
  <si>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</si>
  <si>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</si>
  <si>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</si>
  <si>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</si>
  <si>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</si>
  <si>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</si>
  <si>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</si>
  <si>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</si>
  <si>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</si>
  <si>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</si>
  <si>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</si>
  <si>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</si>
  <si>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</si>
  <si>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</si>
  <si>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</si>
  <si>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</si>
  <si>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</si>
  <si>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</si>
  <si>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</si>
  <si>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</si>
  <si>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</si>
  <si>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</si>
  <si>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</si>
  <si>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</si>
  <si>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</si>
  <si>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</si>
  <si>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</si>
  <si>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</si>
  <si>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</si>
  <si>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</si>
  <si>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</si>
  <si>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</si>
  <si>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</si>
  <si>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</si>
  <si>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</si>
  <si>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</si>
  <si>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</si>
  <si>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</si>
  <si>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</si>
  <si>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</si>
  <si>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</si>
  <si>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</si>
  <si>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</si>
  <si>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</si>
  <si>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</si>
  <si>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</si>
  <si>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</si>
  <si>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</si>
  <si>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</si>
  <si>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</si>
  <si>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</si>
  <si>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</si>
  <si>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</si>
  <si>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</si>
  <si>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</si>
  <si>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</si>
  <si>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</si>
  <si>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</si>
  <si>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</si>
  <si>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</si>
  <si>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</si>
  <si>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</si>
  <si>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</si>
  <si>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</si>
  <si>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</si>
  <si>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</si>
  <si>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</si>
  <si>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</si>
  <si>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</si>
  <si>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</si>
  <si>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</si>
  <si>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</si>
  <si>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</si>
  <si>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</si>
  <si>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</si>
  <si>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</si>
  <si>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</si>
  <si>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</si>
  <si>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</si>
  <si>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</si>
  <si>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</si>
  <si>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</si>
  <si>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</si>
  <si>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</si>
  <si>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</si>
  <si>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</si>
  <si>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</si>
  <si>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</si>
  <si>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</si>
  <si>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</si>
  <si>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</si>
  <si>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</si>
  <si>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</si>
  <si>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</si>
  <si>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</si>
  <si>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</si>
  <si>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</si>
  <si>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</si>
  <si>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</si>
  <si>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</si>
  <si>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</si>
  <si>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</si>
  <si>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</si>
  <si>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</si>
  <si>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</si>
  <si>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</si>
  <si>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</si>
  <si>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</si>
  <si>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</si>
  <si>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</si>
  <si>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</si>
  <si>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</si>
  <si>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</si>
  <si>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</si>
  <si>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</si>
  <si>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</si>
  <si>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</si>
  <si>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</si>
  <si>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</si>
  <si>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</si>
  <si>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</si>
  <si>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</si>
  <si>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</si>
  <si>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</si>
  <si>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</si>
  <si>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</si>
  <si>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</si>
  <si>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</si>
  <si>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</si>
  <si>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</si>
  <si>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</si>
  <si>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</si>
  <si>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</si>
  <si>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</si>
  <si>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</si>
  <si>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</si>
  <si>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</si>
  <si>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</si>
  <si>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</si>
  <si>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</si>
  <si>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</si>
  <si>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</si>
  <si>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</si>
  <si>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</si>
  <si>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</si>
  <si>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</si>
  <si>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</si>
  <si>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</si>
  <si>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</si>
  <si>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</si>
  <si>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</si>
  <si>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</si>
  <si>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</si>
  <si>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</si>
  <si>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</si>
  <si>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</si>
  <si>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</si>
  <si>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</si>
  <si>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</si>
  <si>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</si>
  <si>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</si>
  <si>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</si>
  <si>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</si>
  <si>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</si>
  <si>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</si>
  <si>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</si>
  <si>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</si>
  <si>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</si>
  <si>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</si>
  <si>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</si>
  <si>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</si>
  <si>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</si>
  <si>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</si>
  <si>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</si>
  <si>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</si>
  <si>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</si>
  <si>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</si>
  <si>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</si>
  <si>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</si>
  <si>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</si>
  <si>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</si>
  <si>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</si>
  <si>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</si>
  <si>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</si>
  <si>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</si>
  <si>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</si>
  <si>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</si>
  <si>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</si>
  <si>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</si>
  <si>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</si>
  <si>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</si>
  <si>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</si>
  <si>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</si>
  <si>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</si>
  <si>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</si>
  <si>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</si>
  <si>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</si>
  <si>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</si>
  <si>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</si>
  <si>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</si>
  <si>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</si>
  <si>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</si>
  <si>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</si>
  <si>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</si>
  <si>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</si>
  <si>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</si>
  <si>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</si>
  <si>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</si>
  <si>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</si>
  <si>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</si>
  <si>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</si>
  <si>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</si>
  <si>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</si>
  <si>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</si>
  <si>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</si>
  <si>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</si>
  <si>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</si>
  <si>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</si>
  <si>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</si>
  <si>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</si>
  <si>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</si>
  <si>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</si>
  <si>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</si>
  <si>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</si>
  <si>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</si>
  <si>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</si>
  <si>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</si>
  <si>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</si>
  <si>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</si>
  <si>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</si>
  <si>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</si>
  <si>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</si>
  <si>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</si>
  <si>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</si>
  <si>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</si>
  <si>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</si>
  <si>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</si>
  <si>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</si>
  <si>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</si>
  <si>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</si>
  <si>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</si>
  <si>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</si>
  <si>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</si>
  <si>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</si>
  <si>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</si>
  <si>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</si>
  <si>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</si>
  <si>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</si>
  <si>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</si>
  <si>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</si>
  <si>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</si>
  <si>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</si>
  <si>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</si>
  <si>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</si>
  <si>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</si>
  <si>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</si>
  <si>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</si>
  <si>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</si>
  <si>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</si>
  <si>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</si>
  <si>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</si>
  <si>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</si>
  <si>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</si>
  <si>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</si>
  <si>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</si>
  <si>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</si>
  <si>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</si>
  <si>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</si>
  <si>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</si>
  <si>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</si>
  <si>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</si>
  <si>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</si>
  <si>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</si>
  <si>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</si>
  <si>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</si>
  <si>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</si>
  <si>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</si>
  <si>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</si>
  <si>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</si>
  <si>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</si>
  <si>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</si>
  <si>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</si>
  <si>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</si>
  <si>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</si>
  <si>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</si>
  <si>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</si>
  <si>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</si>
  <si>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</si>
  <si>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</si>
  <si>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</si>
  <si>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</si>
  <si>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</si>
  <si>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</si>
  <si>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</si>
  <si>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</si>
  <si>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</si>
  <si>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</si>
  <si>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</si>
  <si>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</si>
  <si>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</si>
  <si>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</si>
  <si>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</si>
  <si>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</si>
  <si>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</si>
  <si>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</si>
  <si>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</si>
  <si>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</si>
  <si>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</si>
  <si>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</si>
  <si>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</si>
  <si>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</si>
  <si>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</si>
  <si>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</si>
  <si>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</si>
  <si>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</si>
  <si>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</si>
  <si>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</si>
  <si>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</si>
  <si>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</si>
  <si>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</si>
  <si>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</si>
  <si>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</si>
  <si>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</si>
  <si>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</si>
  <si>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</si>
  <si>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</si>
  <si>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</si>
  <si>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</si>
  <si>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</si>
  <si>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</si>
  <si>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</si>
  <si>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</si>
  <si>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</si>
  <si>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</si>
  <si>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</si>
  <si>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</si>
  <si>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</si>
  <si>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</si>
  <si>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</si>
  <si>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</si>
  <si>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</si>
  <si>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</si>
  <si>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</si>
  <si>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</si>
  <si>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</si>
  <si>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</si>
  <si>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</si>
  <si>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</si>
  <si>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</si>
  <si>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</si>
  <si>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</si>
  <si>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</si>
  <si>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</si>
  <si>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</si>
  <si>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</si>
  <si>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</si>
  <si>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</si>
  <si>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</si>
  <si>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</si>
  <si>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</si>
  <si>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</si>
  <si>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</si>
  <si>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</si>
  <si>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</si>
  <si>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</si>
  <si>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</si>
  <si>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</si>
  <si>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</si>
  <si>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</si>
  <si>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</si>
  <si>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</si>
  <si>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</si>
  <si>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</si>
  <si>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</si>
  <si>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</si>
  <si>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</si>
  <si>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</si>
  <si>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</si>
  <si>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</si>
  <si>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</si>
  <si>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</si>
  <si>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</si>
  <si>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</si>
  <si>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</si>
  <si>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</si>
  <si>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</si>
  <si>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</si>
  <si>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</si>
  <si>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</si>
  <si>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</si>
  <si>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</si>
  <si>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</si>
  <si>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</si>
  <si>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</si>
  <si>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</si>
  <si>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</si>
  <si>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</si>
  <si>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</si>
  <si>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</si>
  <si>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</si>
  <si>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</si>
  <si>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</si>
  <si>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</si>
  <si>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</si>
  <si>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</si>
  <si>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</si>
  <si>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</si>
  <si>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</si>
  <si>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</si>
  <si>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</si>
  <si>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</si>
  <si>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</si>
  <si>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</si>
  <si>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</si>
  <si>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</si>
  <si>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</si>
  <si>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</si>
  <si>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</si>
  <si>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</si>
  <si>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</si>
  <si>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</si>
  <si>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</si>
  <si>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</si>
  <si>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</si>
  <si>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</si>
  <si>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</si>
  <si>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</si>
  <si>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</si>
  <si>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</si>
  <si>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</si>
  <si>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</si>
  <si>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</si>
  <si>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</si>
  <si>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</si>
  <si>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</si>
  <si>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</si>
  <si>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</si>
  <si>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</si>
  <si>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</si>
  <si>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</si>
  <si>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</si>
  <si>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</si>
  <si>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</si>
  <si>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</si>
  <si>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</si>
  <si>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</si>
  <si>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</si>
  <si>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</si>
  <si>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</si>
  <si>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</si>
  <si>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</si>
  <si>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</si>
  <si>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</si>
  <si>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</si>
  <si>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</si>
  <si>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</si>
  <si>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</si>
  <si>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</si>
  <si>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</si>
  <si>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</si>
  <si>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</si>
  <si>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</si>
  <si>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</si>
  <si>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</si>
  <si>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</si>
  <si>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</si>
  <si>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</si>
  <si>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</si>
  <si>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</si>
  <si>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</si>
  <si>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</si>
  <si>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</si>
  <si>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</si>
  <si>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</si>
  <si>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</si>
  <si>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</si>
  <si>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</si>
  <si>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</si>
  <si>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</si>
  <si>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</si>
  <si>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</si>
  <si>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</si>
  <si>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</si>
  <si>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</si>
  <si>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</si>
  <si>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</si>
  <si>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</si>
  <si>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</si>
  <si>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</si>
  <si>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</si>
  <si>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</si>
  <si>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</si>
  <si>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</si>
  <si>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</si>
  <si>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</si>
  <si>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</si>
  <si>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</si>
  <si>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</si>
  <si>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</si>
  <si>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</si>
  <si>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</si>
  <si>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</si>
  <si>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</si>
  <si>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</si>
  <si>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</si>
  <si>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</si>
  <si>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</si>
  <si>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</si>
  <si>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</si>
  <si>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</si>
  <si>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</si>
  <si>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</si>
  <si>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</si>
  <si>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</si>
  <si>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</si>
  <si>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</si>
  <si>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</si>
  <si>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</si>
  <si>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</si>
  <si>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</si>
  <si>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</si>
  <si>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</si>
  <si>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</si>
  <si>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</si>
  <si>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</si>
  <si>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</si>
  <si>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</si>
  <si>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</si>
  <si>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</si>
  <si>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</si>
  <si>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</si>
  <si>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</si>
  <si>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</si>
  <si>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</si>
  <si>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</si>
  <si>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</si>
  <si>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</si>
  <si>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</si>
  <si>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</si>
  <si>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</si>
  <si>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</si>
  <si>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</si>
  <si>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</si>
  <si>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</si>
  <si>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</si>
  <si>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</si>
  <si>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</si>
  <si>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</si>
  <si>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</si>
  <si>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</si>
  <si>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</si>
  <si>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</si>
  <si>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</si>
  <si>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</si>
  <si>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</si>
  <si>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</si>
  <si>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</si>
  <si>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</si>
  <si>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</si>
  <si>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</si>
  <si>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</si>
  <si>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</si>
  <si>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</si>
  <si>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</si>
  <si>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</si>
  <si>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</si>
  <si>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</si>
  <si>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</si>
  <si>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</si>
  <si>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</si>
  <si>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</si>
  <si>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</si>
  <si>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</si>
  <si>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</si>
  <si>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</si>
  <si>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</si>
  <si>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</si>
  <si>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</si>
  <si>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</si>
  <si>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</si>
  <si>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</si>
  <si>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</si>
  <si>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</si>
  <si>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</si>
  <si>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</si>
  <si>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</si>
  <si>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</si>
  <si>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</si>
  <si>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</si>
  <si>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</si>
  <si>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</si>
  <si>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</si>
  <si>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</si>
  <si>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</si>
  <si>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</si>
  <si>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</si>
  <si>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</si>
  <si>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</si>
  <si>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</si>
  <si>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</si>
  <si>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</si>
  <si>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</si>
  <si>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</si>
  <si>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</si>
  <si>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</si>
  <si>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</si>
  <si>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</si>
  <si>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</si>
  <si>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</si>
  <si>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</si>
  <si>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</si>
  <si>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</si>
  <si>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</si>
  <si>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</si>
  <si>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</si>
  <si>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</si>
  <si>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</si>
  <si>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</si>
  <si>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</si>
  <si>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</si>
  <si>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</si>
  <si>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</si>
  <si>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</si>
  <si>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</si>
  <si>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</si>
  <si>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</si>
  <si>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</si>
  <si>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</si>
  <si>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</si>
  <si>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</si>
  <si>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</si>
  <si>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</si>
  <si>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</si>
  <si>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</si>
  <si>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</si>
  <si>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</si>
  <si>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</si>
  <si>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</si>
  <si>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</si>
  <si>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</si>
  <si>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</si>
  <si>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</si>
  <si>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</si>
  <si>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</si>
  <si>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</si>
  <si>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</si>
  <si>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</si>
  <si>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</si>
  <si>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</si>
  <si>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</si>
  <si>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</si>
  <si>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</si>
  <si>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</si>
  <si>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</si>
  <si>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</si>
  <si>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</si>
  <si>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</si>
  <si>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</si>
  <si>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</si>
  <si>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</si>
  <si>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</si>
  <si>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</si>
  <si>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</si>
  <si>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</si>
  <si>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</si>
  <si>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</si>
  <si>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</si>
  <si>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</si>
  <si>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</si>
  <si>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</si>
  <si>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</si>
  <si>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</si>
  <si>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</si>
  <si>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</si>
  <si>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</si>
  <si>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</si>
  <si>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</si>
  <si>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</si>
  <si>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</si>
  <si>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</si>
  <si>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</si>
  <si>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</si>
  <si>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</si>
  <si>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</si>
  <si>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</si>
  <si>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</si>
  <si>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</si>
  <si>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</si>
  <si>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</si>
  <si>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</si>
  <si>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</si>
  <si>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</si>
  <si>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</si>
  <si>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</si>
  <si>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</si>
  <si>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</si>
  <si>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</si>
  <si>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</si>
  <si>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</si>
  <si>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</si>
  <si>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</si>
  <si>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</si>
  <si>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</si>
  <si>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</si>
  <si>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</si>
  <si>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</si>
  <si>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</si>
  <si>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</si>
  <si>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</si>
  <si>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</si>
  <si>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</si>
  <si>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</si>
  <si>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</si>
  <si>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</si>
  <si>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</si>
  <si>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</si>
  <si>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</si>
  <si>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</si>
  <si>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</si>
  <si>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</si>
  <si>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</si>
  <si>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</si>
  <si>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</si>
  <si>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</si>
  <si>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</si>
  <si>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</si>
  <si>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</si>
  <si>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</si>
  <si>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</si>
  <si>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</si>
  <si>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</si>
  <si>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</si>
  <si>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</si>
  <si>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</si>
  <si>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</si>
  <si>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</si>
  <si>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</si>
  <si>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</si>
  <si>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</si>
  <si>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</si>
  <si>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</si>
  <si>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</si>
  <si>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</si>
  <si>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</si>
  <si>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</si>
  <si>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</si>
  <si>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</si>
  <si>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</si>
  <si>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</si>
  <si>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</si>
  <si>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</si>
  <si>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</si>
  <si>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</si>
  <si>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</si>
  <si>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</si>
  <si>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</si>
  <si>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</si>
  <si>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</si>
  <si>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</si>
  <si>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</si>
  <si>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</si>
  <si>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</si>
  <si>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</si>
  <si>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</si>
  <si>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</si>
  <si>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</si>
  <si>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</si>
  <si>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</si>
  <si>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</si>
  <si>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</si>
  <si>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</si>
  <si>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</si>
  <si>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</si>
  <si>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</si>
  <si>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</si>
  <si>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</si>
  <si>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</si>
  <si>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</si>
  <si>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</si>
  <si>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</si>
  <si>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</si>
  <si>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</si>
  <si>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</si>
  <si>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</si>
  <si>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</si>
  <si>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</si>
  <si>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</si>
  <si>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</si>
  <si>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</si>
  <si>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</si>
  <si>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</si>
  <si>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</si>
  <si>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</si>
  <si>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</si>
  <si>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</si>
  <si>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</si>
  <si>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</si>
  <si>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</si>
  <si>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</si>
  <si>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</si>
  <si>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</si>
  <si>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</si>
  <si>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</si>
  <si>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</si>
  <si>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</si>
  <si>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</si>
  <si>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</si>
  <si>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</si>
  <si>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</si>
  <si>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</si>
  <si>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</si>
  <si>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</si>
  <si>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</si>
  <si>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</si>
  <si>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</si>
  <si>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</si>
  <si>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</si>
  <si>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</si>
  <si>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</si>
  <si>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</si>
  <si>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</si>
  <si>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</si>
  <si>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</si>
  <si>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</si>
  <si>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</si>
  <si>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</si>
  <si>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</si>
  <si>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</si>
  <si>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</si>
  <si>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</si>
  <si>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</si>
  <si>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</si>
  <si>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</si>
  <si>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</si>
  <si>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</si>
  <si>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</si>
  <si>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</si>
  <si>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</si>
  <si>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</si>
  <si>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</si>
  <si>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</si>
  <si>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</si>
  <si>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</si>
  <si>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</si>
  <si>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</si>
  <si>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</si>
  <si>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</si>
  <si>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</si>
  <si>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</si>
  <si>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</si>
  <si>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</si>
  <si>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</si>
  <si>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</si>
  <si>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</si>
  <si>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</si>
  <si>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</si>
  <si>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</si>
  <si>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</si>
  <si>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</si>
  <si>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</si>
  <si>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</si>
  <si>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</si>
  <si>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</si>
  <si>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</si>
  <si>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</si>
  <si>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</si>
  <si>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</si>
  <si>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</si>
  <si>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</si>
  <si>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</si>
  <si>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</si>
  <si>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</si>
  <si>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</si>
  <si>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</si>
  <si>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</si>
  <si>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</si>
  <si>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</si>
  <si>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</si>
  <si>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</si>
  <si>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</si>
  <si>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</si>
  <si>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</si>
  <si>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</si>
  <si>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</si>
  <si>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</si>
  <si>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</si>
  <si>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</si>
  <si>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</si>
  <si>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</si>
  <si>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</si>
  <si>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</si>
  <si>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</si>
  <si>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</si>
  <si>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</si>
  <si>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</si>
  <si>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</si>
  <si>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</si>
  <si>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</si>
  <si>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</si>
  <si>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</si>
  <si>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</si>
  <si>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</si>
  <si>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</si>
  <si>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</si>
  <si>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</si>
  <si>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</si>
  <si>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</si>
  <si>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</si>
  <si>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</si>
  <si>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</si>
  <si>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</si>
  <si>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</si>
  <si>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</si>
  <si>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</si>
  <si>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</si>
  <si>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</si>
  <si>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</si>
  <si>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</si>
  <si>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</si>
  <si>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</si>
  <si>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</si>
  <si>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</si>
  <si>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</si>
  <si>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</si>
  <si>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</si>
  <si>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</si>
  <si>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</si>
  <si>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</si>
  <si>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</si>
  <si>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</si>
  <si>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</si>
  <si>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</si>
  <si>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</si>
  <si>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</si>
  <si>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</si>
  <si>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</si>
  <si>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</si>
  <si>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</si>
  <si>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</si>
  <si>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</si>
  <si>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</si>
  <si>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</si>
  <si>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</si>
  <si>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</si>
  <si>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</si>
  <si>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</si>
  <si>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</si>
  <si>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</si>
  <si>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</si>
  <si>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</si>
  <si>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</si>
  <si>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</si>
  <si>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</si>
  <si>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</si>
  <si>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</si>
  <si>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</si>
  <si>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</si>
  <si>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</si>
  <si>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</si>
  <si>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</si>
  <si>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</si>
  <si>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</si>
  <si>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</si>
  <si>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</si>
  <si>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</si>
  <si>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</si>
  <si>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</si>
  <si>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</si>
  <si>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</si>
  <si>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</si>
  <si>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</si>
  <si>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</si>
  <si>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</si>
  <si>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</si>
  <si>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</si>
  <si>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</si>
  <si>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</si>
  <si>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</si>
  <si>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</si>
  <si>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</si>
  <si>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</si>
  <si>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</si>
  <si>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</si>
  <si>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</si>
  <si>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</si>
  <si>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</si>
  <si>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</si>
  <si>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</si>
  <si>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</si>
  <si>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</si>
  <si>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</si>
  <si>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</si>
  <si>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</si>
  <si>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</si>
  <si>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</si>
  <si>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</si>
  <si>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</si>
  <si>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</si>
  <si>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</si>
  <si>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</si>
  <si>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</si>
  <si>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</si>
  <si>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</si>
  <si>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</si>
  <si>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</si>
  <si>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</si>
  <si>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</si>
  <si>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</si>
  <si>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</si>
  <si>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</si>
  <si>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</si>
  <si>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</si>
  <si>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</si>
  <si>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</si>
  <si>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</si>
  <si>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</si>
  <si>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</si>
  <si>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</si>
  <si>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</si>
  <si>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</si>
  <si>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</si>
  <si>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</si>
  <si>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</si>
  <si>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</si>
  <si>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</si>
  <si>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</si>
  <si>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</si>
  <si>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</si>
  <si>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</si>
  <si>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</si>
  <si>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</si>
  <si>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</si>
  <si>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</si>
  <si>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</si>
  <si>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</si>
  <si>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</si>
  <si>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</si>
  <si>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</si>
  <si>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</si>
  <si>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</si>
  <si>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</si>
  <si>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</si>
  <si>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</si>
  <si>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</si>
  <si>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</si>
  <si>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</si>
  <si>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</si>
  <si>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</si>
  <si>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</si>
  <si>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</si>
  <si>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</si>
  <si>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</si>
  <si>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</si>
  <si>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</si>
  <si>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</si>
  <si>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</si>
  <si>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</si>
  <si>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</si>
  <si>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</si>
  <si>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</si>
  <si>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</si>
  <si>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</si>
  <si>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</si>
  <si>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</si>
  <si>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</si>
  <si>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</si>
  <si>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</si>
  <si>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</si>
  <si>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</si>
  <si>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</si>
  <si>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</si>
  <si>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</si>
  <si>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</si>
  <si>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</si>
  <si>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</si>
  <si>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</si>
  <si>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</si>
  <si>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</si>
  <si>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</si>
  <si>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</si>
  <si>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</si>
  <si>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</si>
  <si>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</si>
  <si>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</si>
  <si>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</si>
  <si>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</si>
  <si>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</si>
  <si>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</si>
  <si>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</si>
  <si>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</si>
  <si>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</si>
  <si>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</si>
  <si>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</si>
  <si>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</si>
  <si>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</si>
  <si>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</si>
  <si>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</si>
  <si>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</si>
  <si>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</si>
  <si>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</si>
  <si>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</si>
  <si>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</si>
  <si>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</si>
  <si>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</si>
  <si>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</si>
  <si>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</si>
  <si>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</si>
  <si>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</si>
  <si>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</si>
  <si>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</si>
  <si>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</si>
  <si>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</si>
  <si>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</si>
  <si>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</si>
  <si>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</si>
  <si>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</si>
  <si>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</si>
  <si>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</si>
  <si>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</si>
  <si>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</si>
  <si>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</si>
  <si>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</si>
  <si>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</si>
  <si>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</si>
  <si>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</si>
  <si>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</si>
  <si>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</si>
  <si>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</si>
  <si>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</si>
  <si>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</si>
  <si>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</si>
  <si>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</si>
  <si>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</si>
  <si>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</si>
  <si>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</si>
  <si>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</si>
  <si>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</si>
  <si>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</si>
  <si>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</si>
  <si>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</si>
  <si>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</si>
  <si>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</si>
  <si>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</si>
  <si>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</si>
  <si>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</si>
  <si>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</si>
  <si>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</si>
  <si>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</si>
  <si>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</si>
  <si>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</si>
  <si>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</si>
  <si>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</si>
  <si>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</si>
  <si>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</si>
  <si>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</si>
  <si>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</si>
  <si>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</si>
  <si>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</si>
  <si>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</si>
  <si>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</si>
  <si>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</si>
  <si>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</si>
  <si>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</si>
  <si>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</si>
  <si>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</si>
  <si>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</si>
  <si>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</si>
  <si>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</si>
  <si>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</si>
  <si>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</si>
  <si>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</si>
  <si>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</si>
  <si>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</si>
  <si>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</si>
  <si>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</si>
  <si>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</si>
  <si>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</si>
  <si>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</si>
  <si>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</si>
  <si>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</si>
  <si>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</si>
  <si>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</si>
  <si>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</si>
  <si>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</si>
  <si>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</si>
  <si>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</si>
  <si>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</si>
  <si>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</si>
  <si>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</si>
  <si>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</si>
  <si>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</si>
  <si>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</si>
  <si>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</si>
  <si>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</si>
  <si>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</si>
  <si>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</si>
  <si>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</si>
  <si>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</si>
  <si>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</si>
  <si>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</si>
  <si>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</si>
  <si>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</si>
  <si>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</si>
  <si>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</si>
  <si>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</si>
  <si>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</si>
  <si>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</si>
  <si>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City Limits</t>
  </si>
  <si>
    <t>9% Credit Competitive Round only</t>
  </si>
  <si>
    <t>Sandy Run Court</t>
  </si>
  <si>
    <t>2020PA-053</t>
  </si>
  <si>
    <t>Bennett &amp; Company, LLC</t>
  </si>
  <si>
    <t>Fred Bennett</t>
  </si>
  <si>
    <t>Managing Partner</t>
  </si>
  <si>
    <t>730 N. Dean Road, Suite 100</t>
  </si>
  <si>
    <t>fred@thebennettgrp.net</t>
  </si>
  <si>
    <t>N/a</t>
  </si>
  <si>
    <t>Spring Creek Crossing</t>
  </si>
  <si>
    <t>Direct</t>
  </si>
  <si>
    <t>XII. Extended Affordability Commitment: Owner is willing to forgo the Qualified Cotract "cancelation option" after the close of the compliance period.</t>
  </si>
  <si>
    <t>For Profit</t>
  </si>
  <si>
    <t>Affordable Equity Partners, Inc.</t>
  </si>
  <si>
    <t>206 Peach Way</t>
  </si>
  <si>
    <t>www.aepartners.com</t>
  </si>
  <si>
    <t>bkimes@aepartners.com</t>
  </si>
  <si>
    <t>Brian Kimes</t>
  </si>
  <si>
    <t>Vice President</t>
  </si>
  <si>
    <t>www.thebennettgrp.net</t>
  </si>
  <si>
    <t>Sole Member</t>
  </si>
  <si>
    <t>Fairway Construction Company, Inc.</t>
  </si>
  <si>
    <t>www.fairwayconstruction.net</t>
  </si>
  <si>
    <t>tstanley@fairwayconstruction.net</t>
  </si>
  <si>
    <t>Will Markel</t>
  </si>
  <si>
    <t>Executive Vice President</t>
  </si>
  <si>
    <t>Ryan Stevens</t>
  </si>
  <si>
    <t>Director of Operations</t>
  </si>
  <si>
    <t>Fairway Management Co., Inc</t>
  </si>
  <si>
    <t>3290 Northside Parkway, Suite 300</t>
  </si>
  <si>
    <t>www.fairwaymanagement.com</t>
  </si>
  <si>
    <t>rstevens@fairwaymanagement.com</t>
  </si>
  <si>
    <t>Atkinson Roberts</t>
  </si>
  <si>
    <t>Partner</t>
  </si>
  <si>
    <t>Bradley</t>
  </si>
  <si>
    <t>1918 5th Avenue N</t>
  </si>
  <si>
    <t>Birmingham</t>
  </si>
  <si>
    <t>aroberts@babc.com</t>
  </si>
  <si>
    <t>Howe &amp; Associates</t>
  </si>
  <si>
    <t>104 E Broadway</t>
  </si>
  <si>
    <t>Bill Howe</t>
  </si>
  <si>
    <t>McKean &amp; Associates, Architects, LLC</t>
  </si>
  <si>
    <t>2315 Eastchase Lane</t>
  </si>
  <si>
    <t>Rory McKean</t>
  </si>
  <si>
    <t>President</t>
  </si>
  <si>
    <t>mckean@mckeanarch.com</t>
  </si>
  <si>
    <t>Syndicator &amp; Management</t>
  </si>
  <si>
    <t>The Federal and State Syndicator and the General Contractor are related parties.</t>
  </si>
  <si>
    <t>The Federal and State Syndicator and the Management Company are related parties.</t>
  </si>
  <si>
    <t>The projects total development cost is below the cost limits.</t>
  </si>
  <si>
    <t>The Applicant is targeting a family tenancy for the development.</t>
  </si>
  <si>
    <t>Agree</t>
  </si>
  <si>
    <t>Novogradac &amp; Company, LLP</t>
  </si>
  <si>
    <t>There is not an identity of interest between the buyer and seller. An appraisal is not included in the application.</t>
  </si>
  <si>
    <t>Geotechnical &amp; Environmental Consultants, Inc</t>
  </si>
  <si>
    <t>Purchase Contract</t>
  </si>
  <si>
    <t>N/Ap</t>
  </si>
  <si>
    <t>Georgia Power Company</t>
  </si>
  <si>
    <t>Building</t>
  </si>
  <si>
    <t>Covered Porch</t>
  </si>
  <si>
    <t>Yes - W&amp;D hookups installed in each unit</t>
  </si>
  <si>
    <t>W&amp;D installed in each unit</t>
  </si>
  <si>
    <t>Applicant agrees to provide the required standard site amenities and additional site amenities to conform with th DCA Amenities Guidebook.</t>
  </si>
  <si>
    <t>The Conceptual Site Development Plan has been prepared in accordance with all instructions set forth in the DCA Submission Requirement Manual and Qualified Allocation Plan. Location and vicinity map, color photos of the property and surrounding properties are included along with the Conceptual Site Development Plan are is Tab 15 of the application.</t>
  </si>
  <si>
    <t>Zeffert &amp; Associates</t>
  </si>
  <si>
    <t>The Applicant will retain a DCA qualified consultant to monitor the project for accessibility compliance who will not be a member of the proposed project team nor have an identity of interest with any member of the proposed project team.</t>
  </si>
  <si>
    <t>Applicant agrees to prepare an AFFH Marketing plan if selected for funding.</t>
  </si>
  <si>
    <t>N/A, The site is currently vacant land.</t>
  </si>
  <si>
    <t>The Applicant believes the project as proposed is an optimal utilization of DCA resources.</t>
  </si>
  <si>
    <t>1.1.2020</t>
  </si>
  <si>
    <t>Electric Heat Pump</t>
  </si>
  <si>
    <t>Miscellaneous Administrative Costs</t>
  </si>
  <si>
    <t>Cable TV/Internet</t>
  </si>
  <si>
    <t>Fidelity Bond, Umbrella, WC Ins, Personal Prop Taxes</t>
  </si>
  <si>
    <t>Affordable Equity Partners, Inc</t>
  </si>
  <si>
    <t>GP &amp; LP Equity</t>
  </si>
  <si>
    <t>Georgia DCA - Georgia South</t>
  </si>
  <si>
    <t>Applicant has used the GA DCA - Georgia South utility allowances for Rowhouse/Townhouse. Please see tab 01 for documentation.</t>
  </si>
  <si>
    <t>Spaulding Road</t>
  </si>
  <si>
    <t>City of Montezuma</t>
  </si>
  <si>
    <t>Sterling Bank</t>
  </si>
  <si>
    <t>Applicant certifies that they will include the number and kinds of services required in the QAP for the proposed tenancy. The proposed development will consist of 50 units.</t>
  </si>
  <si>
    <t>Spring Creek Crossing Montezuma, LP</t>
  </si>
  <si>
    <t>www.montezuma-ga.org</t>
  </si>
  <si>
    <t>P.O. Box 388</t>
  </si>
  <si>
    <t>Larry Smith</t>
  </si>
  <si>
    <t>Mayor</t>
  </si>
  <si>
    <t>mayorsmith@windstream.net</t>
  </si>
  <si>
    <t>DDA/QCT</t>
  </si>
  <si>
    <t>Macon County Transit</t>
  </si>
  <si>
    <t>https://www.maconcountyga.gov/transit-schedules-and-fares.cfm</t>
  </si>
  <si>
    <t>monthly</t>
  </si>
  <si>
    <t xml:space="preserve">In lieu of a monthly printed newsletter, Fairway Management offers weekly innovative and affordable ways to maintain a healthy lifestyle.  </t>
  </si>
  <si>
    <t>Fairway Management Lifestyle Website</t>
  </si>
  <si>
    <t>Healthy Eating Education</t>
  </si>
  <si>
    <t>Community Garden with Food prep Education</t>
  </si>
  <si>
    <t xml:space="preserve">FWM will utilize the on-site community room and ktichen facility to illustrate cooking options for seasonal harvests.  </t>
  </si>
  <si>
    <t xml:space="preserve">The property will offer educational classes to give residents information about the importance of a healthy diet. </t>
  </si>
  <si>
    <t>The City of Montezuma has not received a competitive 9% award within the City boundries in the last 15 years and is therefore eligible for 5 points in this category.</t>
  </si>
  <si>
    <t>N/A The City of Montezuma is not a GICH community.</t>
  </si>
  <si>
    <t>Divine Development Group, LLC</t>
  </si>
  <si>
    <t>104 Royal Crest Circle</t>
  </si>
  <si>
    <t>Kathleen</t>
  </si>
  <si>
    <t>Danny Patel</t>
  </si>
  <si>
    <t>Please see Tab 1 of this application for a breakout of the Local Government fees.</t>
  </si>
  <si>
    <t>Please see Tab 1 in this application for documentation of the real estate taxes and insurance documentation.</t>
  </si>
  <si>
    <t>Four to Five months</t>
  </si>
  <si>
    <t>2003-029</t>
  </si>
  <si>
    <t>Country Village</t>
  </si>
  <si>
    <t>1992-017</t>
  </si>
  <si>
    <t>Marshall Lane LP</t>
  </si>
  <si>
    <t>1992-016</t>
  </si>
  <si>
    <t>Whitewater Village, LP</t>
  </si>
  <si>
    <t>Please see Tab 5 of this application for the Market Study. The overall stabalized vacancy in the market is low at only 1.3%. The Pines At Westdale is the only LIHTC comparable reporting vacant units. The market analyst's contact at this property reports that all five vacant units are being processed from the waiting list, which consists of 62 households. Further, the remaining LIHTC comparables also reported maintaining waiting lists ranging from 12 to over 150 households, indicating strong demand for affordable housing in the area.</t>
  </si>
  <si>
    <t>Healthy Eating Program</t>
  </si>
  <si>
    <t>&lt;65 dB</t>
  </si>
  <si>
    <t>Pg 11-13</t>
  </si>
  <si>
    <t>17-25, 70, 77-78, 80-81</t>
  </si>
  <si>
    <t>71-77</t>
  </si>
  <si>
    <t>77-82</t>
  </si>
  <si>
    <t xml:space="preserve">State of Georgia Community Development Block Grant Funds </t>
  </si>
  <si>
    <t>Government</t>
  </si>
  <si>
    <t xml:space="preserve">The off site investment clearly demonstrates furtherance of the CRP as it provides essential water improvements to the water system servicing the residents and citzens within the community.  The CRP specifies the importance of keeping infrastructure in good condition and well maintained.  </t>
  </si>
  <si>
    <t xml:space="preserve">The off site investment will serve the tenant base directly by providing water service and supply to the residents of the proposed apartment development.  Quality water is a very important component and element to have a sustainable community.  </t>
  </si>
  <si>
    <t>14-15</t>
  </si>
  <si>
    <t>A letter from Georgia Power Company is included in Tab 11 of the application.</t>
  </si>
  <si>
    <t>A letter from the City of Montezuma confirming water/sewer availibility is include in Tab 12 of the application.</t>
  </si>
  <si>
    <t xml:space="preserve">TMMB Consulting, LLC </t>
  </si>
  <si>
    <t>Applicant has units without rental assistance and commits to accept a PBRA contract for 10% of the total restricted units for the purpose of providing Integrated Supportive Housing (ISH) opportunities for Persons w/Disabilities (PWD) and is prepared to accept the full utilization by DCA of 10% of the units. Applicant understands the requirements of the program and has 20% of the units as one-bedroom.</t>
  </si>
  <si>
    <t>rose1954@windstream.net</t>
  </si>
  <si>
    <t>Applicant belives that the proposed project feasible, viable and in conformance with the plan. The overall development and construction costs are considered reasonable and were evaluated by an experienced General Contractor and Engineer. The total Residential square footage as defined by the QAP and calculated by the architect is 59,020 square feet.</t>
  </si>
  <si>
    <t>616 Spaulding Road</t>
  </si>
  <si>
    <t>Please see Tab 7 of this application for the Environmental Report.</t>
  </si>
  <si>
    <t>Please see Tab 8 for site control documentation. Site control is provided through Novemeber, 30, 2020.</t>
  </si>
  <si>
    <t>The site is legally accessible by paved roads and documentation reflecting this is included in the application.</t>
  </si>
  <si>
    <t>Please see Tab 10 for zoning confirmation and supporting documentation.</t>
  </si>
  <si>
    <t>Please see Tab 16 for Building Sustainability documenation, which includes the EarthCraft Multifamily worksheet and the Green Building Certificate of Completion.</t>
  </si>
  <si>
    <t>Please see Tab 19 of the application for the Qualification Determination letter.</t>
  </si>
  <si>
    <t>Spring Creek Crossing GP, Inc.</t>
  </si>
  <si>
    <t>The project is eleigible for 10 desirables points. The property location is within two miles there is a grocery store, retail store, pharmacy, restaurant, hospital, medical care provider, public school, community center, FDIC bank and house of worship. Applicant is eligible for maximum 10 points. There are no undesirables.</t>
  </si>
  <si>
    <t>The proposed development is in the Rural pool and On-call public transportation service will be provided by Macon County Transit, which provides safe, reliable, accessible and affordable transportation for residents of Macon County. Please see Tab 28 for rural transportation documentation.</t>
  </si>
  <si>
    <t>Health Screening &amp; Resident Education</t>
  </si>
  <si>
    <t xml:space="preserve">Biometric Screenings including blood pressure, glucose monitoring and body mass index </t>
  </si>
  <si>
    <t>Education classes healthy eating, appropriate exercise, cancer risks, hypertension and lifestyle changes</t>
  </si>
  <si>
    <t>The proposed development will provide Preventive Health Care services and education for the residents at Spring Creek Crossing at no charge. The preventive health care provider will also serve as the Health Services Coordinator (HSC) and will effectively assess residents' health needs, make appropriate referrals and track health outcomes. Additionally, the the applicant has agreed to provide a Healthy Eating Initiative that will include a community garden, which is outlined above. The costs associated with the Enriched Property Services have been accounted for in the property's operating expense budget.</t>
  </si>
  <si>
    <t>II – Deeper Targeting / Rent / Income Restrictions:  The applicant has selected the Income Averaging Set-aside and the overall property AMI for each affordable unit for the proposed development will be 58% and is eligible for two (2) Deeper Targeting points.
X. Mixed Income Development: The applicant has selected the Income Averaging Set-aside and will not offer any Market Rate units.
XIV – Extended Affordability Commitment: The owner is willing to forgo the Qualified Contract “cancellation option” after the close of the Compliance period. In addition, the Owner commits to provide first right refusal to a nonprofit organization or a local housing authority in accordance with DCA requirements.
XVIII -  Compliance / Performance: A pre-application was submitted at pre-application date and there have been no changes. All required documents regarding Certifying Entity related to capacity and performance have been included in the application.</t>
  </si>
  <si>
    <t xml:space="preserve">Spring Creek Crossing is a proposed 50-unit development consisting of 10 one-bedroom units, 20 two-bedroom units and 20 three bedroom units in a new construction townhome style community. The development is intended for family residency and all of the units will be restricted to a resident base for households at or below 50%, 60% and 70% of the AMI. 
This proposed development will meet the demand for affordable Family Housing, and will have many design features, services, and amenities for family households. It will achieve a number of valuable goals and benefits for the community, and for potential residents. Spring Creek Crossing will be an EarthCraft Community.
This proposed site is in close proximity to community amenities, including Piggly Wiggly Supermarket, Preston Williams Recreation Center as well as restaurants and retail shops. It is also within two miles of Macon County High School, banks and a post office.
At The Bennett Group, our mission is to provide happy, healthy, and sustainable communities. Building communities is more than just providing shelter, it’s creating a home. It is our focus and purpose to bring affordable housing solutions to communities around the country, and by doing that we impact each community for the better. We bring people home… and that’s a good thing. Fred Bennett is founder of Bennett &amp; Company, LLC, and co-founder of the Bennett Group, LLC. Fred’s career in affordable housing spans more than 50 years. He has worked with development partners and a wide variety of non-profit groups to develop 85 properties in six states. This has included more than 5,000 units based upon HUD, USDA, tax credit, HOME, and conventional lending programs. His goal has been, and is, to build partnerships, relationships and community--as well as quality housing. Our experience and dedication to affordable housing will serve the families and community of Byron with a high quality, affordable community with amenities and programs designed to improve the quality of life and create a place the residents are proud to call home. 
The Bennett Group received a qualification determination of Qualified in the performance workbook pre-application. No changes in the site or project team have occurred since the pre-application submission.    </t>
  </si>
  <si>
    <t>The off site investment is through the GA Department of Community Affairs' Community Development Block Grant program.  The city of Montezuma was awarded grant funds in the amount of $750,000 for water improvements, repairs and upgrades.  The total project cost is $928,019 with the portion of costs within a 0.5 mile radies of the proposed being equal to $566,021.</t>
  </si>
  <si>
    <t>The Montezuma, Georgia Community Revitalization Plan was developed through a joint effort of local entities in the Montezuma/Macon County community.  A CRP steering committee was formed to lead the formulation of the CRP by actively engaging local citizens to provide input and actively participate.  The CRP will be adopted by the Mayor and City Council at their July 14, 2020 city council meeting.  The July meeting is the first meeting scheduled since the covid-19 pandemic began in March 2020.  Please see Tab 31 for full Revitalization Plan, Qualified Census Tract (QCT) and Third-Party Capital Investment documentation.</t>
  </si>
  <si>
    <t>2020-079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</si>
</sst>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5"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3"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Spring Creek Crossing</v>
      </c>
    </row>
    <row r="3" spans="1:6" ht="15" customHeight="1">
      <c r="A3" s="830" t="str">
        <f>CONCATENATE('Part I-Project Information'!F38,", ", 'Part I-Project Information'!J39," County")</f>
        <v>Montezuma, Macon County</v>
      </c>
    </row>
    <row r="4" spans="1:6" ht="12" customHeight="1">
      <c r="A4" s="1350"/>
    </row>
    <row r="5" spans="1:6" ht="72" customHeight="1">
      <c r="A5" s="2400" t="s">
        <v>7130</v>
      </c>
      <c r="B5" s="2401" t="s">
        <v>4457</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ihBjULIXKluBWUovPUV7JO/uTg8fsjR74j6dCWinExLOHP6apozw+dccIK1FlM5/8lj1eYFwymcYV/zNHKAVUA==" saltValue="h0Qoz6DY0+7ep9GCWH5Yb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6" zoomScale="90" zoomScaleNormal="90" workbookViewId="0">
      <selection activeCell="A46"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2020-079 Spring Creek Crossing, Montezuma, Macon County</v>
      </c>
      <c r="B1" s="1748"/>
      <c r="C1" s="1748"/>
      <c r="D1" s="1748"/>
      <c r="E1" s="1748"/>
      <c r="F1" s="1748"/>
      <c r="G1" s="1748"/>
      <c r="H1" s="1748"/>
      <c r="I1" s="1750"/>
      <c r="J1" s="1748"/>
      <c r="K1" s="1748"/>
      <c r="L1" s="1748"/>
      <c r="M1" s="1748"/>
      <c r="N1" s="1748"/>
      <c r="O1" s="1748"/>
      <c r="P1" s="1748"/>
      <c r="Q1" s="1749"/>
      <c r="T1" s="1746" t="str">
        <f>A1</f>
        <v>PART SIX - PROJECTED REVENUES &amp; EXPENSES  -  2020-079 Spring Creek Crossing, Montezuma, Macon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3435</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476</v>
      </c>
      <c r="IF3" s="447" t="s">
        <v>2376</v>
      </c>
      <c r="IG3" s="447" t="s">
        <v>2377</v>
      </c>
      <c r="IH3" s="447" t="s">
        <v>2378</v>
      </c>
      <c r="II3" s="447" t="s">
        <v>2379</v>
      </c>
      <c r="IJ3" s="447" t="s">
        <v>476</v>
      </c>
      <c r="IK3" s="447" t="s">
        <v>2376</v>
      </c>
      <c r="IL3" s="447" t="s">
        <v>2377</v>
      </c>
      <c r="IM3" s="447" t="s">
        <v>2378</v>
      </c>
      <c r="IN3" s="447" t="s">
        <v>2379</v>
      </c>
      <c r="IO3" s="2245"/>
      <c r="IP3" s="2245"/>
      <c r="IQ3" s="2245"/>
      <c r="IR3" s="2245"/>
      <c r="IS3" s="2245"/>
      <c r="IT3" s="2245"/>
      <c r="IU3" s="2245"/>
      <c r="IV3" s="2245"/>
      <c r="IW3" s="2245"/>
      <c r="IX3" s="2245"/>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2643" t="s">
        <v>3307</v>
      </c>
      <c r="MQ3" s="2643" t="s">
        <v>3308</v>
      </c>
      <c r="MR3" s="2643" t="s">
        <v>3309</v>
      </c>
      <c r="MS3" s="2643" t="s">
        <v>3310</v>
      </c>
      <c r="MT3" s="2643"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41" t="s">
        <v>3520</v>
      </c>
      <c r="R4" s="2374"/>
      <c r="S4" s="413"/>
      <c r="T4" s="413"/>
      <c r="U4" s="413"/>
      <c r="W4" s="414"/>
      <c r="X4" s="2657" t="s">
        <v>4124</v>
      </c>
      <c r="Y4" s="2657" t="s">
        <v>4125</v>
      </c>
      <c r="Z4" s="2657" t="s">
        <v>4126</v>
      </c>
      <c r="AA4" s="2657" t="s">
        <v>4127</v>
      </c>
      <c r="AB4" s="2657" t="s">
        <v>4128</v>
      </c>
      <c r="AC4" s="2657" t="s">
        <v>4129</v>
      </c>
      <c r="AD4" s="2657" t="s">
        <v>4130</v>
      </c>
      <c r="AE4" s="2657" t="s">
        <v>4131</v>
      </c>
      <c r="AF4" s="2657" t="s">
        <v>4132</v>
      </c>
      <c r="AG4" s="2657" t="s">
        <v>4133</v>
      </c>
      <c r="AH4" s="2657" t="s">
        <v>898</v>
      </c>
      <c r="AI4" s="2657" t="s">
        <v>738</v>
      </c>
      <c r="AJ4" s="2657" t="s">
        <v>739</v>
      </c>
      <c r="AK4" s="2657" t="s">
        <v>740</v>
      </c>
      <c r="AL4" s="2657" t="s">
        <v>741</v>
      </c>
      <c r="AM4" s="2657" t="s">
        <v>899</v>
      </c>
      <c r="AN4" s="2657" t="s">
        <v>2250</v>
      </c>
      <c r="AO4" s="2657" t="s">
        <v>2251</v>
      </c>
      <c r="AP4" s="2657" t="s">
        <v>2252</v>
      </c>
      <c r="AQ4" s="2657" t="s">
        <v>2253</v>
      </c>
      <c r="AR4" s="2657" t="s">
        <v>4135</v>
      </c>
      <c r="AS4" s="2657" t="s">
        <v>4136</v>
      </c>
      <c r="AT4" s="2657" t="s">
        <v>4137</v>
      </c>
      <c r="AU4" s="2657" t="s">
        <v>4138</v>
      </c>
      <c r="AV4" s="2657" t="s">
        <v>4134</v>
      </c>
      <c r="AW4" s="2657" t="s">
        <v>900</v>
      </c>
      <c r="AX4" s="2657" t="s">
        <v>2254</v>
      </c>
      <c r="AY4" s="2657" t="s">
        <v>2255</v>
      </c>
      <c r="AZ4" s="2657" t="s">
        <v>2256</v>
      </c>
      <c r="BA4" s="2657" t="s">
        <v>2257</v>
      </c>
      <c r="BB4" s="2657" t="s">
        <v>4139</v>
      </c>
      <c r="BC4" s="2657" t="s">
        <v>4140</v>
      </c>
      <c r="BD4" s="2657" t="s">
        <v>4141</v>
      </c>
      <c r="BE4" s="2657" t="s">
        <v>4142</v>
      </c>
      <c r="BF4" s="2657" t="s">
        <v>4143</v>
      </c>
      <c r="BG4" s="2657" t="s">
        <v>126</v>
      </c>
      <c r="BH4" s="2657" t="s">
        <v>2258</v>
      </c>
      <c r="BI4" s="2657" t="s">
        <v>2259</v>
      </c>
      <c r="BJ4" s="2657" t="s">
        <v>2260</v>
      </c>
      <c r="BK4" s="2657" t="s">
        <v>1126</v>
      </c>
      <c r="BL4" s="2657" t="s">
        <v>4144</v>
      </c>
      <c r="BM4" s="2657" t="s">
        <v>4145</v>
      </c>
      <c r="BN4" s="2657" t="s">
        <v>4146</v>
      </c>
      <c r="BO4" s="2657" t="s">
        <v>4147</v>
      </c>
      <c r="BP4" s="2657" t="s">
        <v>4148</v>
      </c>
      <c r="BQ4" s="2657" t="s">
        <v>540</v>
      </c>
      <c r="BR4" s="2657" t="s">
        <v>541</v>
      </c>
      <c r="BS4" s="2657" t="s">
        <v>560</v>
      </c>
      <c r="BT4" s="2657" t="s">
        <v>561</v>
      </c>
      <c r="BU4" s="2657" t="s">
        <v>562</v>
      </c>
      <c r="BV4" s="2657" t="s">
        <v>4149</v>
      </c>
      <c r="BW4" s="2657" t="s">
        <v>4150</v>
      </c>
      <c r="BX4" s="2657" t="s">
        <v>4151</v>
      </c>
      <c r="BY4" s="2657" t="s">
        <v>4152</v>
      </c>
      <c r="BZ4" s="2657" t="s">
        <v>4153</v>
      </c>
      <c r="CA4" s="2657" t="s">
        <v>563</v>
      </c>
      <c r="CB4" s="2657" t="s">
        <v>564</v>
      </c>
      <c r="CC4" s="2657" t="s">
        <v>565</v>
      </c>
      <c r="CD4" s="2657" t="s">
        <v>566</v>
      </c>
      <c r="CE4" s="2657" t="s">
        <v>567</v>
      </c>
      <c r="CF4" s="2657" t="s">
        <v>568</v>
      </c>
      <c r="CG4" s="2657" t="s">
        <v>569</v>
      </c>
      <c r="CH4" s="2657" t="s">
        <v>909</v>
      </c>
      <c r="CI4" s="2657" t="s">
        <v>910</v>
      </c>
      <c r="CJ4" s="2657" t="s">
        <v>911</v>
      </c>
      <c r="CK4" s="2657" t="s">
        <v>4159</v>
      </c>
      <c r="CL4" s="2657" t="s">
        <v>4160</v>
      </c>
      <c r="CM4" s="2657" t="s">
        <v>4161</v>
      </c>
      <c r="CN4" s="2657" t="s">
        <v>4162</v>
      </c>
      <c r="CO4" s="2657" t="s">
        <v>4163</v>
      </c>
      <c r="CP4" s="2657" t="s">
        <v>4154</v>
      </c>
      <c r="CQ4" s="2657" t="s">
        <v>4155</v>
      </c>
      <c r="CR4" s="2657" t="s">
        <v>4156</v>
      </c>
      <c r="CS4" s="2657" t="s">
        <v>4157</v>
      </c>
      <c r="CT4" s="2657" t="s">
        <v>4158</v>
      </c>
      <c r="CU4" s="2657" t="s">
        <v>4164</v>
      </c>
      <c r="CV4" s="2657" t="s">
        <v>4165</v>
      </c>
      <c r="CW4" s="2657" t="s">
        <v>4166</v>
      </c>
      <c r="CX4" s="2657" t="s">
        <v>4167</v>
      </c>
      <c r="CY4" s="2657" t="s">
        <v>4168</v>
      </c>
      <c r="CZ4" s="2657" t="s">
        <v>485</v>
      </c>
      <c r="DA4" s="2657" t="s">
        <v>486</v>
      </c>
      <c r="DB4" s="2657" t="s">
        <v>487</v>
      </c>
      <c r="DC4" s="2657" t="s">
        <v>488</v>
      </c>
      <c r="DD4" s="2657" t="s">
        <v>489</v>
      </c>
      <c r="DE4" s="2657" t="s">
        <v>4169</v>
      </c>
      <c r="DF4" s="2657" t="s">
        <v>4170</v>
      </c>
      <c r="DG4" s="2657" t="s">
        <v>4171</v>
      </c>
      <c r="DH4" s="2657" t="s">
        <v>4172</v>
      </c>
      <c r="DI4" s="2657" t="s">
        <v>4173</v>
      </c>
      <c r="DJ4" s="2657" t="s">
        <v>859</v>
      </c>
      <c r="DK4" s="2657" t="s">
        <v>860</v>
      </c>
      <c r="DL4" s="2657" t="s">
        <v>861</v>
      </c>
      <c r="DM4" s="2657" t="s">
        <v>862</v>
      </c>
      <c r="DN4" s="2657" t="s">
        <v>863</v>
      </c>
      <c r="DO4" s="2657" t="s">
        <v>864</v>
      </c>
      <c r="DP4" s="2657" t="s">
        <v>865</v>
      </c>
      <c r="DQ4" s="2657" t="s">
        <v>866</v>
      </c>
      <c r="DR4" s="2657" t="s">
        <v>867</v>
      </c>
      <c r="DS4" s="2657" t="s">
        <v>868</v>
      </c>
      <c r="DT4" s="2657" t="s">
        <v>4174</v>
      </c>
      <c r="DU4" s="2657" t="s">
        <v>4175</v>
      </c>
      <c r="DV4" s="2657" t="s">
        <v>4176</v>
      </c>
      <c r="DW4" s="2657" t="s">
        <v>4177</v>
      </c>
      <c r="DX4" s="2657" t="s">
        <v>4178</v>
      </c>
      <c r="DY4" s="2657" t="s">
        <v>4179</v>
      </c>
      <c r="DZ4" s="2657" t="s">
        <v>4180</v>
      </c>
      <c r="EA4" s="2657" t="s">
        <v>4181</v>
      </c>
      <c r="EB4" s="2657" t="s">
        <v>4182</v>
      </c>
      <c r="EC4" s="2657" t="s">
        <v>4183</v>
      </c>
      <c r="ED4" s="2657" t="s">
        <v>2366</v>
      </c>
      <c r="EE4" s="2657" t="s">
        <v>2367</v>
      </c>
      <c r="EF4" s="2657" t="s">
        <v>2368</v>
      </c>
      <c r="EG4" s="2657" t="s">
        <v>2369</v>
      </c>
      <c r="EH4" s="2657" t="s">
        <v>2370</v>
      </c>
      <c r="EI4" s="2657" t="s">
        <v>4184</v>
      </c>
      <c r="EJ4" s="2657" t="s">
        <v>4185</v>
      </c>
      <c r="EK4" s="2657" t="s">
        <v>4186</v>
      </c>
      <c r="EL4" s="2657" t="s">
        <v>4187</v>
      </c>
      <c r="EM4" s="2657" t="s">
        <v>4188</v>
      </c>
      <c r="EN4" s="2657" t="s">
        <v>4189</v>
      </c>
      <c r="EO4" s="2657" t="s">
        <v>4190</v>
      </c>
      <c r="EP4" s="2657" t="s">
        <v>4191</v>
      </c>
      <c r="EQ4" s="2657" t="s">
        <v>4192</v>
      </c>
      <c r="ER4" s="2657" t="s">
        <v>4193</v>
      </c>
      <c r="ES4" s="2643" t="s">
        <v>114</v>
      </c>
      <c r="ET4" s="2643" t="s">
        <v>1129</v>
      </c>
      <c r="EU4" s="2643" t="s">
        <v>1130</v>
      </c>
      <c r="EV4" s="2643" t="s">
        <v>1187</v>
      </c>
      <c r="EW4" s="2643" t="s">
        <v>1188</v>
      </c>
      <c r="EX4" s="2643" t="s">
        <v>129</v>
      </c>
      <c r="EY4" s="2643" t="s">
        <v>1189</v>
      </c>
      <c r="EZ4" s="2643" t="s">
        <v>1190</v>
      </c>
      <c r="FA4" s="2643" t="s">
        <v>1191</v>
      </c>
      <c r="FB4" s="2643" t="s">
        <v>1192</v>
      </c>
      <c r="FC4" s="2657" t="s">
        <v>4194</v>
      </c>
      <c r="FD4" s="2657" t="s">
        <v>4195</v>
      </c>
      <c r="FE4" s="2657" t="s">
        <v>4196</v>
      </c>
      <c r="FF4" s="2657" t="s">
        <v>4197</v>
      </c>
      <c r="FG4" s="2657" t="s">
        <v>4198</v>
      </c>
      <c r="FH4" s="2643" t="s">
        <v>128</v>
      </c>
      <c r="FI4" s="2643" t="s">
        <v>890</v>
      </c>
      <c r="FJ4" s="2643" t="s">
        <v>891</v>
      </c>
      <c r="FK4" s="2643" t="s">
        <v>892</v>
      </c>
      <c r="FL4" s="2643" t="s">
        <v>893</v>
      </c>
      <c r="FM4" s="2657" t="s">
        <v>4199</v>
      </c>
      <c r="FN4" s="2657" t="s">
        <v>4200</v>
      </c>
      <c r="FO4" s="2657" t="s">
        <v>4201</v>
      </c>
      <c r="FP4" s="2657" t="s">
        <v>4202</v>
      </c>
      <c r="FQ4" s="2657" t="s">
        <v>4203</v>
      </c>
      <c r="FR4" s="2643" t="s">
        <v>127</v>
      </c>
      <c r="FS4" s="2643" t="s">
        <v>894</v>
      </c>
      <c r="FT4" s="2643" t="s">
        <v>895</v>
      </c>
      <c r="FU4" s="2643" t="s">
        <v>896</v>
      </c>
      <c r="FV4" s="2643" t="s">
        <v>897</v>
      </c>
      <c r="FW4" s="2643" t="s">
        <v>789</v>
      </c>
      <c r="FX4" s="2643" t="s">
        <v>790</v>
      </c>
      <c r="FY4" s="2643" t="s">
        <v>791</v>
      </c>
      <c r="FZ4" s="2643" t="s">
        <v>792</v>
      </c>
      <c r="GA4" s="2643" t="s">
        <v>793</v>
      </c>
      <c r="GB4" s="2643" t="s">
        <v>935</v>
      </c>
      <c r="GC4" s="2643" t="s">
        <v>936</v>
      </c>
      <c r="GD4" s="2643" t="s">
        <v>937</v>
      </c>
      <c r="GE4" s="2643" t="s">
        <v>938</v>
      </c>
      <c r="GF4" s="2643" t="s">
        <v>2365</v>
      </c>
      <c r="GG4" s="2643" t="s">
        <v>1405</v>
      </c>
      <c r="GH4" s="2643" t="s">
        <v>1406</v>
      </c>
      <c r="GI4" s="2643" t="s">
        <v>1407</v>
      </c>
      <c r="GJ4" s="2643" t="s">
        <v>1408</v>
      </c>
      <c r="GK4" s="2643" t="s">
        <v>1409</v>
      </c>
      <c r="GL4" s="2643" t="s">
        <v>428</v>
      </c>
      <c r="GM4" s="2643" t="s">
        <v>429</v>
      </c>
      <c r="GN4" s="2643" t="s">
        <v>430</v>
      </c>
      <c r="GO4" s="2643" t="s">
        <v>431</v>
      </c>
      <c r="GP4" s="2643" t="s">
        <v>432</v>
      </c>
      <c r="GQ4" s="2643" t="s">
        <v>15</v>
      </c>
      <c r="GR4" s="2643" t="s">
        <v>16</v>
      </c>
      <c r="GS4" s="2643" t="s">
        <v>17</v>
      </c>
      <c r="GT4" s="2643" t="s">
        <v>18</v>
      </c>
      <c r="GU4" s="2643" t="s">
        <v>19</v>
      </c>
      <c r="GV4" s="2643" t="s">
        <v>217</v>
      </c>
      <c r="GW4" s="2643" t="s">
        <v>218</v>
      </c>
      <c r="GX4" s="2643" t="s">
        <v>219</v>
      </c>
      <c r="GY4" s="2643" t="s">
        <v>1765</v>
      </c>
      <c r="GZ4" s="2643" t="s">
        <v>1766</v>
      </c>
      <c r="HA4" s="2643" t="s">
        <v>1767</v>
      </c>
      <c r="HB4" s="2643" t="s">
        <v>575</v>
      </c>
      <c r="HC4" s="2643" t="s">
        <v>576</v>
      </c>
      <c r="HD4" s="2643" t="s">
        <v>577</v>
      </c>
      <c r="HE4" s="2643" t="s">
        <v>578</v>
      </c>
      <c r="HF4" s="2643" t="s">
        <v>20</v>
      </c>
      <c r="HG4" s="2643" t="s">
        <v>21</v>
      </c>
      <c r="HH4" s="2643" t="s">
        <v>22</v>
      </c>
      <c r="HI4" s="2643" t="s">
        <v>23</v>
      </c>
      <c r="HJ4" s="2643" t="s">
        <v>24</v>
      </c>
      <c r="HK4" s="2643" t="s">
        <v>484</v>
      </c>
      <c r="HL4" s="2643" t="s">
        <v>424</v>
      </c>
      <c r="HM4" s="2643" t="s">
        <v>425</v>
      </c>
      <c r="HN4" s="2643" t="s">
        <v>426</v>
      </c>
      <c r="HO4" s="2643" t="s">
        <v>427</v>
      </c>
      <c r="HP4" s="2643" t="s">
        <v>2151</v>
      </c>
      <c r="HQ4" s="2643" t="s">
        <v>2152</v>
      </c>
      <c r="HR4" s="2643" t="s">
        <v>2153</v>
      </c>
      <c r="HS4" s="2643" t="s">
        <v>1448</v>
      </c>
      <c r="HT4" s="2643" t="s">
        <v>1449</v>
      </c>
      <c r="HU4" s="2643" t="s">
        <v>25</v>
      </c>
      <c r="HV4" s="2643" t="s">
        <v>26</v>
      </c>
      <c r="HW4" s="2643" t="s">
        <v>27</v>
      </c>
      <c r="HX4" s="2643" t="s">
        <v>28</v>
      </c>
      <c r="HY4" s="2643"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2643" t="s">
        <v>1592</v>
      </c>
      <c r="LR4" s="2643" t="s">
        <v>2456</v>
      </c>
      <c r="LS4" s="2643" t="s">
        <v>2457</v>
      </c>
      <c r="LT4" s="2643" t="s">
        <v>379</v>
      </c>
      <c r="LU4" s="2643" t="s">
        <v>380</v>
      </c>
      <c r="LV4" s="2643" t="s">
        <v>381</v>
      </c>
      <c r="LW4" s="2643" t="s">
        <v>382</v>
      </c>
      <c r="LX4" s="2643" t="s">
        <v>383</v>
      </c>
      <c r="LY4" s="2643" t="s">
        <v>384</v>
      </c>
      <c r="LZ4" s="2643" t="s">
        <v>385</v>
      </c>
      <c r="MA4" s="2643" t="s">
        <v>198</v>
      </c>
      <c r="MB4" s="2643" t="s">
        <v>199</v>
      </c>
      <c r="MC4" s="2643" t="s">
        <v>200</v>
      </c>
      <c r="MD4" s="2643" t="s">
        <v>201</v>
      </c>
      <c r="ME4" s="2643" t="s">
        <v>202</v>
      </c>
      <c r="MF4" s="2643" t="s">
        <v>203</v>
      </c>
      <c r="MG4" s="2643" t="s">
        <v>204</v>
      </c>
      <c r="MH4" s="2643" t="s">
        <v>205</v>
      </c>
      <c r="MI4" s="2643" t="s">
        <v>206</v>
      </c>
      <c r="MJ4" s="2643" t="s">
        <v>207</v>
      </c>
      <c r="MK4" s="2643" t="s">
        <v>208</v>
      </c>
      <c r="ML4" s="2643" t="s">
        <v>209</v>
      </c>
      <c r="MM4" s="2643" t="s">
        <v>210</v>
      </c>
      <c r="MN4" s="2643" t="s">
        <v>211</v>
      </c>
      <c r="MO4" s="2643" t="s">
        <v>212</v>
      </c>
      <c r="MP4" s="2643"/>
      <c r="MQ4" s="2643"/>
      <c r="MR4" s="2643"/>
      <c r="MS4" s="2643"/>
      <c r="MT4" s="2643"/>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1" t="str">
        <f>IF(A48&gt;0,"Finish Row!","")</f>
        <v>Finish Row!</v>
      </c>
      <c r="B5" s="4" t="s">
        <v>1799</v>
      </c>
      <c r="D5" s="1"/>
      <c r="E5" s="4"/>
      <c r="F5" s="1"/>
      <c r="G5" s="3966" t="s">
        <v>197</v>
      </c>
      <c r="I5" s="2641" t="s">
        <v>4791</v>
      </c>
      <c r="K5" s="2376" t="s">
        <v>3432</v>
      </c>
      <c r="L5" s="2662" t="str">
        <f>'Part I-Project Information'!$B$6</f>
        <v>May 26, 2020 Version</v>
      </c>
      <c r="M5" s="2663"/>
      <c r="N5" s="2371" t="s">
        <v>559</v>
      </c>
      <c r="P5" s="2375" t="s">
        <v>4219</v>
      </c>
      <c r="Q5" s="2641"/>
      <c r="R5" s="2374"/>
      <c r="S5" s="94"/>
      <c r="U5" s="94"/>
      <c r="X5" s="2657"/>
      <c r="Y5" s="2657"/>
      <c r="Z5" s="2657"/>
      <c r="AA5" s="2657"/>
      <c r="AB5" s="2657"/>
      <c r="AC5" s="2657"/>
      <c r="AD5" s="2657"/>
      <c r="AE5" s="2657"/>
      <c r="AF5" s="2657"/>
      <c r="AG5" s="2657"/>
      <c r="AH5" s="2657"/>
      <c r="AI5" s="2657"/>
      <c r="AJ5" s="2657"/>
      <c r="AK5" s="2657"/>
      <c r="AL5" s="2657"/>
      <c r="AM5" s="2657"/>
      <c r="AN5" s="2657"/>
      <c r="AO5" s="2657"/>
      <c r="AP5" s="2657"/>
      <c r="AQ5" s="2657"/>
      <c r="AR5" s="2657"/>
      <c r="AS5" s="2657"/>
      <c r="AT5" s="2657"/>
      <c r="AU5" s="2657"/>
      <c r="AV5" s="2657"/>
      <c r="AW5" s="2657"/>
      <c r="AX5" s="2657"/>
      <c r="AY5" s="2657"/>
      <c r="AZ5" s="2657"/>
      <c r="BA5" s="2657"/>
      <c r="BB5" s="2657"/>
      <c r="BC5" s="2657"/>
      <c r="BD5" s="2657"/>
      <c r="BE5" s="2657"/>
      <c r="BF5" s="2657"/>
      <c r="BG5" s="2657"/>
      <c r="BH5" s="2657"/>
      <c r="BI5" s="2657"/>
      <c r="BJ5" s="2657"/>
      <c r="BK5" s="2657"/>
      <c r="BL5" s="2657"/>
      <c r="BM5" s="2657"/>
      <c r="BN5" s="2657"/>
      <c r="BO5" s="2657"/>
      <c r="BP5" s="2657"/>
      <c r="BQ5" s="2657"/>
      <c r="BR5" s="2657"/>
      <c r="BS5" s="2657"/>
      <c r="BT5" s="2657"/>
      <c r="BU5" s="2657"/>
      <c r="BV5" s="2657"/>
      <c r="BW5" s="2657"/>
      <c r="BX5" s="2657"/>
      <c r="BY5" s="2657"/>
      <c r="BZ5" s="2657"/>
      <c r="CA5" s="2657"/>
      <c r="CB5" s="2657"/>
      <c r="CC5" s="2657"/>
      <c r="CD5" s="2657"/>
      <c r="CE5" s="2657"/>
      <c r="CF5" s="2657"/>
      <c r="CG5" s="2657"/>
      <c r="CH5" s="2657"/>
      <c r="CI5" s="2657"/>
      <c r="CJ5" s="2657"/>
      <c r="CK5" s="2657"/>
      <c r="CL5" s="2657"/>
      <c r="CM5" s="2657"/>
      <c r="CN5" s="2657"/>
      <c r="CO5" s="2657"/>
      <c r="CP5" s="2657"/>
      <c r="CQ5" s="2657"/>
      <c r="CR5" s="2657"/>
      <c r="CS5" s="2657"/>
      <c r="CT5" s="2657"/>
      <c r="CU5" s="2657"/>
      <c r="CV5" s="2657"/>
      <c r="CW5" s="2657"/>
      <c r="CX5" s="2657"/>
      <c r="CY5" s="2657"/>
      <c r="CZ5" s="2657"/>
      <c r="DA5" s="2657"/>
      <c r="DB5" s="2657"/>
      <c r="DC5" s="2657"/>
      <c r="DD5" s="2657"/>
      <c r="DE5" s="2657"/>
      <c r="DF5" s="2657"/>
      <c r="DG5" s="2657"/>
      <c r="DH5" s="2657"/>
      <c r="DI5" s="2657"/>
      <c r="DJ5" s="2657"/>
      <c r="DK5" s="2657"/>
      <c r="DL5" s="2657"/>
      <c r="DM5" s="2657"/>
      <c r="DN5" s="2657"/>
      <c r="DO5" s="2657"/>
      <c r="DP5" s="2657"/>
      <c r="DQ5" s="2657"/>
      <c r="DR5" s="2657"/>
      <c r="DS5" s="2657"/>
      <c r="DT5" s="2657"/>
      <c r="DU5" s="2657"/>
      <c r="DV5" s="2657"/>
      <c r="DW5" s="2657"/>
      <c r="DX5" s="2657"/>
      <c r="DY5" s="2657"/>
      <c r="DZ5" s="2657"/>
      <c r="EA5" s="2657"/>
      <c r="EB5" s="2657"/>
      <c r="EC5" s="2657"/>
      <c r="ED5" s="2657"/>
      <c r="EE5" s="2657"/>
      <c r="EF5" s="2657"/>
      <c r="EG5" s="2657"/>
      <c r="EH5" s="2657"/>
      <c r="EI5" s="2657"/>
      <c r="EJ5" s="2657"/>
      <c r="EK5" s="2657"/>
      <c r="EL5" s="2657"/>
      <c r="EM5" s="2657"/>
      <c r="EN5" s="2657"/>
      <c r="EO5" s="2657"/>
      <c r="EP5" s="2657"/>
      <c r="EQ5" s="2657"/>
      <c r="ER5" s="2657"/>
      <c r="ES5" s="2643"/>
      <c r="ET5" s="2643"/>
      <c r="EU5" s="2643"/>
      <c r="EV5" s="2643"/>
      <c r="EW5" s="2643"/>
      <c r="EX5" s="2643"/>
      <c r="EY5" s="2643"/>
      <c r="EZ5" s="2643"/>
      <c r="FA5" s="2643"/>
      <c r="FB5" s="2643"/>
      <c r="FC5" s="2657"/>
      <c r="FD5" s="2657"/>
      <c r="FE5" s="2657"/>
      <c r="FF5" s="2657"/>
      <c r="FG5" s="2657"/>
      <c r="FH5" s="2643"/>
      <c r="FI5" s="2643"/>
      <c r="FJ5" s="2643"/>
      <c r="FK5" s="2643"/>
      <c r="FL5" s="2643"/>
      <c r="FM5" s="2657"/>
      <c r="FN5" s="2657"/>
      <c r="FO5" s="2657"/>
      <c r="FP5" s="2657"/>
      <c r="FQ5" s="2657"/>
      <c r="FR5" s="2643"/>
      <c r="FS5" s="2643"/>
      <c r="FT5" s="2643"/>
      <c r="FU5" s="2643"/>
      <c r="FV5" s="2643"/>
      <c r="FW5" s="2643"/>
      <c r="FX5" s="2643"/>
      <c r="FY5" s="2643"/>
      <c r="FZ5" s="2643"/>
      <c r="GA5" s="2643"/>
      <c r="GB5" s="2643"/>
      <c r="GC5" s="2643"/>
      <c r="GD5" s="2643"/>
      <c r="GE5" s="2643"/>
      <c r="GF5" s="2643"/>
      <c r="GG5" s="2643"/>
      <c r="GH5" s="2643"/>
      <c r="GI5" s="2643"/>
      <c r="GJ5" s="2643"/>
      <c r="GK5" s="2643"/>
      <c r="GL5" s="2643"/>
      <c r="GM5" s="2643"/>
      <c r="GN5" s="2643"/>
      <c r="GO5" s="2643"/>
      <c r="GP5" s="2643"/>
      <c r="GQ5" s="2643"/>
      <c r="GR5" s="2643"/>
      <c r="GS5" s="2643"/>
      <c r="GT5" s="2643"/>
      <c r="GU5" s="2643"/>
      <c r="GV5" s="2643"/>
      <c r="GW5" s="2643"/>
      <c r="GX5" s="2643"/>
      <c r="GY5" s="2643"/>
      <c r="GZ5" s="2643"/>
      <c r="HA5" s="2643"/>
      <c r="HB5" s="2643"/>
      <c r="HC5" s="2643"/>
      <c r="HD5" s="2643"/>
      <c r="HE5" s="2643"/>
      <c r="HF5" s="2643"/>
      <c r="HG5" s="2643"/>
      <c r="HH5" s="2643"/>
      <c r="HI5" s="2643"/>
      <c r="HJ5" s="2643"/>
      <c r="HK5" s="2643"/>
      <c r="HL5" s="2643"/>
      <c r="HM5" s="2643"/>
      <c r="HN5" s="2643"/>
      <c r="HO5" s="2643"/>
      <c r="HP5" s="2643"/>
      <c r="HQ5" s="2643"/>
      <c r="HR5" s="2643"/>
      <c r="HS5" s="2643"/>
      <c r="HT5" s="2643"/>
      <c r="HU5" s="2643"/>
      <c r="HV5" s="2643"/>
      <c r="HW5" s="2643"/>
      <c r="HX5" s="2643"/>
      <c r="HY5" s="2643"/>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2643"/>
      <c r="LR5" s="2643"/>
      <c r="LS5" s="2643"/>
      <c r="LT5" s="2643"/>
      <c r="LU5" s="2643"/>
      <c r="LV5" s="2643"/>
      <c r="LW5" s="2643"/>
      <c r="LX5" s="2643"/>
      <c r="LY5" s="2643"/>
      <c r="LZ5" s="2643"/>
      <c r="MA5" s="2643"/>
      <c r="MB5" s="2643"/>
      <c r="MC5" s="2643"/>
      <c r="MD5" s="2643"/>
      <c r="ME5" s="2643"/>
      <c r="MF5" s="2643"/>
      <c r="MG5" s="2643"/>
      <c r="MH5" s="2643"/>
      <c r="MI5" s="2643"/>
      <c r="MJ5" s="2643"/>
      <c r="MK5" s="2643"/>
      <c r="ML5" s="2643"/>
      <c r="MM5" s="2643"/>
      <c r="MN5" s="2643"/>
      <c r="MO5" s="2643"/>
      <c r="MP5" s="2643"/>
      <c r="MQ5" s="2643"/>
      <c r="MR5" s="2643"/>
      <c r="MS5" s="2643"/>
      <c r="MT5" s="2643"/>
      <c r="MU5" s="2668" t="s">
        <v>3302</v>
      </c>
      <c r="MV5" s="2668" t="s">
        <v>3303</v>
      </c>
      <c r="MW5" s="2668" t="s">
        <v>3304</v>
      </c>
      <c r="MX5" s="2668" t="s">
        <v>3305</v>
      </c>
      <c r="MY5" s="2668" t="s">
        <v>3306</v>
      </c>
      <c r="MZ5" s="2643" t="s">
        <v>3316</v>
      </c>
      <c r="NA5" s="2643" t="s">
        <v>3318</v>
      </c>
      <c r="NB5" s="2643" t="s">
        <v>3319</v>
      </c>
      <c r="NC5" s="2643" t="s">
        <v>3320</v>
      </c>
      <c r="ND5" s="2643"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1"/>
      <c r="B6" s="29" t="s">
        <v>1759</v>
      </c>
      <c r="D6" s="1"/>
      <c r="E6" s="4"/>
      <c r="F6" s="3967" t="s">
        <v>2887</v>
      </c>
      <c r="G6" s="2376" t="s">
        <v>3489</v>
      </c>
      <c r="H6" s="2641" t="s">
        <v>3661</v>
      </c>
      <c r="I6" s="2641"/>
      <c r="J6" s="2376" t="s">
        <v>778</v>
      </c>
      <c r="K6" s="2376" t="s">
        <v>3492</v>
      </c>
      <c r="L6" s="2663"/>
      <c r="M6" s="2663"/>
      <c r="N6" s="2660" t="str">
        <f>'Part I-Project Information'!$O$40</f>
        <v>Macon Co.</v>
      </c>
      <c r="O6" s="2660"/>
      <c r="P6" s="3968">
        <f>VLOOKUP('Part I-Project Information'!$O$40,'DCA Underwriting Assumptions'!$C$173:$D$283,2)</f>
        <v>53900</v>
      </c>
      <c r="Q6" s="2641"/>
      <c r="R6" s="2666" t="s">
        <v>2618</v>
      </c>
      <c r="S6" s="2666"/>
      <c r="X6" s="2657"/>
      <c r="Y6" s="2657"/>
      <c r="Z6" s="2657"/>
      <c r="AA6" s="2657"/>
      <c r="AB6" s="2657"/>
      <c r="AC6" s="2657"/>
      <c r="AD6" s="2657"/>
      <c r="AE6" s="2657"/>
      <c r="AF6" s="2657"/>
      <c r="AG6" s="2657"/>
      <c r="AH6" s="2657"/>
      <c r="AI6" s="2657"/>
      <c r="AJ6" s="2657"/>
      <c r="AK6" s="2657"/>
      <c r="AL6" s="2657"/>
      <c r="AM6" s="2657"/>
      <c r="AN6" s="2657"/>
      <c r="AO6" s="2657"/>
      <c r="AP6" s="2657"/>
      <c r="AQ6" s="2657"/>
      <c r="AR6" s="2657"/>
      <c r="AS6" s="2657"/>
      <c r="AT6" s="2657"/>
      <c r="AU6" s="2657"/>
      <c r="AV6" s="2657"/>
      <c r="AW6" s="2657"/>
      <c r="AX6" s="2657"/>
      <c r="AY6" s="2657"/>
      <c r="AZ6" s="2657"/>
      <c r="BA6" s="2657"/>
      <c r="BB6" s="2657"/>
      <c r="BC6" s="2657"/>
      <c r="BD6" s="2657"/>
      <c r="BE6" s="2657"/>
      <c r="BF6" s="2657"/>
      <c r="BG6" s="2657"/>
      <c r="BH6" s="2657"/>
      <c r="BI6" s="2657"/>
      <c r="BJ6" s="2657"/>
      <c r="BK6" s="2657"/>
      <c r="BL6" s="2657"/>
      <c r="BM6" s="2657"/>
      <c r="BN6" s="2657"/>
      <c r="BO6" s="2657"/>
      <c r="BP6" s="2657"/>
      <c r="BQ6" s="2657"/>
      <c r="BR6" s="2657"/>
      <c r="BS6" s="2657"/>
      <c r="BT6" s="2657"/>
      <c r="BU6" s="2657"/>
      <c r="BV6" s="2657"/>
      <c r="BW6" s="2657"/>
      <c r="BX6" s="2657"/>
      <c r="BY6" s="2657"/>
      <c r="BZ6" s="2657"/>
      <c r="CA6" s="2657"/>
      <c r="CB6" s="2657"/>
      <c r="CC6" s="2657"/>
      <c r="CD6" s="2657"/>
      <c r="CE6" s="2657"/>
      <c r="CF6" s="2657"/>
      <c r="CG6" s="2657"/>
      <c r="CH6" s="2657"/>
      <c r="CI6" s="2657"/>
      <c r="CJ6" s="2657"/>
      <c r="CK6" s="2657"/>
      <c r="CL6" s="2657"/>
      <c r="CM6" s="2657"/>
      <c r="CN6" s="2657"/>
      <c r="CO6" s="2657"/>
      <c r="CP6" s="2657"/>
      <c r="CQ6" s="2657"/>
      <c r="CR6" s="2657"/>
      <c r="CS6" s="2657"/>
      <c r="CT6" s="2657"/>
      <c r="CU6" s="2657"/>
      <c r="CV6" s="2657"/>
      <c r="CW6" s="2657"/>
      <c r="CX6" s="2657"/>
      <c r="CY6" s="2657"/>
      <c r="CZ6" s="2657"/>
      <c r="DA6" s="2657"/>
      <c r="DB6" s="2657"/>
      <c r="DC6" s="2657"/>
      <c r="DD6" s="2657"/>
      <c r="DE6" s="2657"/>
      <c r="DF6" s="2657"/>
      <c r="DG6" s="2657"/>
      <c r="DH6" s="2657"/>
      <c r="DI6" s="2657"/>
      <c r="DJ6" s="2657"/>
      <c r="DK6" s="2657"/>
      <c r="DL6" s="2657"/>
      <c r="DM6" s="2657"/>
      <c r="DN6" s="2657"/>
      <c r="DO6" s="2657"/>
      <c r="DP6" s="2657"/>
      <c r="DQ6" s="2657"/>
      <c r="DR6" s="2657"/>
      <c r="DS6" s="2657"/>
      <c r="DT6" s="2657"/>
      <c r="DU6" s="2657"/>
      <c r="DV6" s="2657"/>
      <c r="DW6" s="2657"/>
      <c r="DX6" s="2657"/>
      <c r="DY6" s="2657"/>
      <c r="DZ6" s="2657"/>
      <c r="EA6" s="2657"/>
      <c r="EB6" s="2657"/>
      <c r="EC6" s="2657"/>
      <c r="ED6" s="2657"/>
      <c r="EE6" s="2657"/>
      <c r="EF6" s="2657"/>
      <c r="EG6" s="2657"/>
      <c r="EH6" s="2657"/>
      <c r="EI6" s="2657"/>
      <c r="EJ6" s="2657"/>
      <c r="EK6" s="2657"/>
      <c r="EL6" s="2657"/>
      <c r="EM6" s="2657"/>
      <c r="EN6" s="2657"/>
      <c r="EO6" s="2657"/>
      <c r="EP6" s="2657"/>
      <c r="EQ6" s="2657"/>
      <c r="ER6" s="2657"/>
      <c r="ES6" s="2643"/>
      <c r="ET6" s="2643"/>
      <c r="EU6" s="2643"/>
      <c r="EV6" s="2643"/>
      <c r="EW6" s="2643"/>
      <c r="EX6" s="2643"/>
      <c r="EY6" s="2643"/>
      <c r="EZ6" s="2643"/>
      <c r="FA6" s="2643"/>
      <c r="FB6" s="2643"/>
      <c r="FC6" s="2657"/>
      <c r="FD6" s="2657"/>
      <c r="FE6" s="2657"/>
      <c r="FF6" s="2657"/>
      <c r="FG6" s="2657"/>
      <c r="FH6" s="2643"/>
      <c r="FI6" s="2643"/>
      <c r="FJ6" s="2643"/>
      <c r="FK6" s="2643"/>
      <c r="FL6" s="2643"/>
      <c r="FM6" s="2657"/>
      <c r="FN6" s="2657"/>
      <c r="FO6" s="2657"/>
      <c r="FP6" s="2657"/>
      <c r="FQ6" s="2657"/>
      <c r="FR6" s="2643"/>
      <c r="FS6" s="2643"/>
      <c r="FT6" s="2643"/>
      <c r="FU6" s="2643"/>
      <c r="FV6" s="2643"/>
      <c r="FW6" s="2643"/>
      <c r="FX6" s="2643"/>
      <c r="FY6" s="2643"/>
      <c r="FZ6" s="2643"/>
      <c r="GA6" s="2643"/>
      <c r="GB6" s="2643"/>
      <c r="GC6" s="2643"/>
      <c r="GD6" s="2643"/>
      <c r="GE6" s="2643"/>
      <c r="GF6" s="2643"/>
      <c r="GG6" s="2643"/>
      <c r="GH6" s="2643"/>
      <c r="GI6" s="2643"/>
      <c r="GJ6" s="2643"/>
      <c r="GK6" s="2643"/>
      <c r="GL6" s="2643"/>
      <c r="GM6" s="2643"/>
      <c r="GN6" s="2643"/>
      <c r="GO6" s="2643"/>
      <c r="GP6" s="2643"/>
      <c r="GQ6" s="2643"/>
      <c r="GR6" s="2643"/>
      <c r="GS6" s="2643"/>
      <c r="GT6" s="2643"/>
      <c r="GU6" s="2643"/>
      <c r="GV6" s="2643"/>
      <c r="GW6" s="2643"/>
      <c r="GX6" s="2643"/>
      <c r="GY6" s="2643"/>
      <c r="GZ6" s="2643"/>
      <c r="HA6" s="2643"/>
      <c r="HB6" s="2643"/>
      <c r="HC6" s="2643"/>
      <c r="HD6" s="2643"/>
      <c r="HE6" s="2643"/>
      <c r="HF6" s="2643"/>
      <c r="HG6" s="2643"/>
      <c r="HH6" s="2643"/>
      <c r="HI6" s="2643"/>
      <c r="HJ6" s="2643"/>
      <c r="HK6" s="2643"/>
      <c r="HL6" s="2643"/>
      <c r="HM6" s="2643"/>
      <c r="HN6" s="2643"/>
      <c r="HO6" s="2643"/>
      <c r="HP6" s="2643"/>
      <c r="HQ6" s="2643"/>
      <c r="HR6" s="2643"/>
      <c r="HS6" s="2643"/>
      <c r="HT6" s="2643"/>
      <c r="HU6" s="2643"/>
      <c r="HV6" s="2643"/>
      <c r="HW6" s="2643"/>
      <c r="HX6" s="2643"/>
      <c r="HY6" s="2643"/>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2643"/>
      <c r="LR6" s="2643"/>
      <c r="LS6" s="2643"/>
      <c r="LT6" s="2643"/>
      <c r="LU6" s="2643"/>
      <c r="LV6" s="2643"/>
      <c r="LW6" s="2643"/>
      <c r="LX6" s="2643"/>
      <c r="LY6" s="2643"/>
      <c r="LZ6" s="2643"/>
      <c r="MA6" s="2643"/>
      <c r="MB6" s="2643"/>
      <c r="MC6" s="2643"/>
      <c r="MD6" s="2643"/>
      <c r="ME6" s="2643"/>
      <c r="MF6" s="2643"/>
      <c r="MG6" s="2643"/>
      <c r="MH6" s="2643"/>
      <c r="MI6" s="2643"/>
      <c r="MJ6" s="2643"/>
      <c r="MK6" s="2643"/>
      <c r="ML6" s="2643"/>
      <c r="MM6" s="2643"/>
      <c r="MN6" s="2643"/>
      <c r="MO6" s="2643"/>
      <c r="MP6" s="2643"/>
      <c r="MQ6" s="2643"/>
      <c r="MR6" s="2643"/>
      <c r="MS6" s="2643"/>
      <c r="MT6" s="2643"/>
      <c r="MU6" s="2668"/>
      <c r="MV6" s="2668"/>
      <c r="MW6" s="2668"/>
      <c r="MX6" s="2668"/>
      <c r="MY6" s="2668"/>
      <c r="MZ6" s="2643"/>
      <c r="NA6" s="2643"/>
      <c r="NB6" s="2643"/>
      <c r="NC6" s="2643"/>
      <c r="ND6" s="2643"/>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1"/>
      <c r="B7" s="1008" t="s">
        <v>4206</v>
      </c>
      <c r="C7" s="1"/>
      <c r="D7" s="4"/>
      <c r="E7" s="1"/>
      <c r="F7" s="1"/>
      <c r="G7" s="2376" t="s">
        <v>3490</v>
      </c>
      <c r="H7" s="2641"/>
      <c r="I7" s="2641"/>
      <c r="J7" s="2376" t="s">
        <v>779</v>
      </c>
      <c r="K7" s="2376" t="s">
        <v>3493</v>
      </c>
      <c r="L7" s="831"/>
      <c r="M7" s="831"/>
      <c r="N7" s="2660"/>
      <c r="O7" s="2660"/>
      <c r="Q7" s="2641"/>
      <c r="R7" s="832"/>
      <c r="S7" s="836" t="s">
        <v>2615</v>
      </c>
      <c r="T7" s="413"/>
      <c r="W7" s="414"/>
      <c r="X7" s="2657"/>
      <c r="Y7" s="2657"/>
      <c r="Z7" s="2657"/>
      <c r="AA7" s="2657"/>
      <c r="AB7" s="2657"/>
      <c r="AC7" s="2657"/>
      <c r="AD7" s="2657"/>
      <c r="AE7" s="2657"/>
      <c r="AF7" s="2657"/>
      <c r="AG7" s="2657"/>
      <c r="AH7" s="2657"/>
      <c r="AI7" s="2657"/>
      <c r="AJ7" s="2657"/>
      <c r="AK7" s="2657"/>
      <c r="AL7" s="2657"/>
      <c r="AM7" s="2657"/>
      <c r="AN7" s="2657"/>
      <c r="AO7" s="2657"/>
      <c r="AP7" s="2657"/>
      <c r="AQ7" s="2657"/>
      <c r="AR7" s="2657"/>
      <c r="AS7" s="2657"/>
      <c r="AT7" s="2657"/>
      <c r="AU7" s="2657"/>
      <c r="AV7" s="2657"/>
      <c r="AW7" s="2657"/>
      <c r="AX7" s="2657"/>
      <c r="AY7" s="2657"/>
      <c r="AZ7" s="2657"/>
      <c r="BA7" s="2657"/>
      <c r="BB7" s="2657"/>
      <c r="BC7" s="2657"/>
      <c r="BD7" s="2657"/>
      <c r="BE7" s="2657"/>
      <c r="BF7" s="2657"/>
      <c r="BG7" s="2657"/>
      <c r="BH7" s="2657"/>
      <c r="BI7" s="2657"/>
      <c r="BJ7" s="2657"/>
      <c r="BK7" s="2657"/>
      <c r="BL7" s="2657"/>
      <c r="BM7" s="2657"/>
      <c r="BN7" s="2657"/>
      <c r="BO7" s="2657"/>
      <c r="BP7" s="2657"/>
      <c r="BQ7" s="2657"/>
      <c r="BR7" s="2657"/>
      <c r="BS7" s="2657"/>
      <c r="BT7" s="2657"/>
      <c r="BU7" s="2657"/>
      <c r="BV7" s="2657"/>
      <c r="BW7" s="2657"/>
      <c r="BX7" s="2657"/>
      <c r="BY7" s="2657"/>
      <c r="BZ7" s="2657"/>
      <c r="CA7" s="2657"/>
      <c r="CB7" s="2657"/>
      <c r="CC7" s="2657"/>
      <c r="CD7" s="2657"/>
      <c r="CE7" s="2657"/>
      <c r="CF7" s="2657"/>
      <c r="CG7" s="2657"/>
      <c r="CH7" s="2657"/>
      <c r="CI7" s="2657"/>
      <c r="CJ7" s="2657"/>
      <c r="CK7" s="2657"/>
      <c r="CL7" s="2657"/>
      <c r="CM7" s="2657"/>
      <c r="CN7" s="2657"/>
      <c r="CO7" s="2657"/>
      <c r="CP7" s="2657"/>
      <c r="CQ7" s="2657"/>
      <c r="CR7" s="2657"/>
      <c r="CS7" s="2657"/>
      <c r="CT7" s="2657"/>
      <c r="CU7" s="2657"/>
      <c r="CV7" s="2657"/>
      <c r="CW7" s="2657"/>
      <c r="CX7" s="2657"/>
      <c r="CY7" s="2657"/>
      <c r="CZ7" s="2657"/>
      <c r="DA7" s="2657"/>
      <c r="DB7" s="2657"/>
      <c r="DC7" s="2657"/>
      <c r="DD7" s="2657"/>
      <c r="DE7" s="2657"/>
      <c r="DF7" s="2657"/>
      <c r="DG7" s="2657"/>
      <c r="DH7" s="2657"/>
      <c r="DI7" s="2657"/>
      <c r="DJ7" s="2657"/>
      <c r="DK7" s="2657"/>
      <c r="DL7" s="2657"/>
      <c r="DM7" s="2657"/>
      <c r="DN7" s="2657"/>
      <c r="DO7" s="2657"/>
      <c r="DP7" s="2657"/>
      <c r="DQ7" s="2657"/>
      <c r="DR7" s="2657"/>
      <c r="DS7" s="2657"/>
      <c r="DT7" s="2657"/>
      <c r="DU7" s="2657"/>
      <c r="DV7" s="2657"/>
      <c r="DW7" s="2657"/>
      <c r="DX7" s="2657"/>
      <c r="DY7" s="2657"/>
      <c r="DZ7" s="2657"/>
      <c r="EA7" s="2657"/>
      <c r="EB7" s="2657"/>
      <c r="EC7" s="2657"/>
      <c r="ED7" s="2657"/>
      <c r="EE7" s="2657"/>
      <c r="EF7" s="2657"/>
      <c r="EG7" s="2657"/>
      <c r="EH7" s="2657"/>
      <c r="EI7" s="2657"/>
      <c r="EJ7" s="2657"/>
      <c r="EK7" s="2657"/>
      <c r="EL7" s="2657"/>
      <c r="EM7" s="2657"/>
      <c r="EN7" s="2657"/>
      <c r="EO7" s="2657"/>
      <c r="EP7" s="2657"/>
      <c r="EQ7" s="2657"/>
      <c r="ER7" s="2657"/>
      <c r="ES7" s="2643"/>
      <c r="ET7" s="2643"/>
      <c r="EU7" s="2643"/>
      <c r="EV7" s="2643"/>
      <c r="EW7" s="2643"/>
      <c r="EX7" s="2643"/>
      <c r="EY7" s="2643"/>
      <c r="EZ7" s="2643"/>
      <c r="FA7" s="2643"/>
      <c r="FB7" s="2643"/>
      <c r="FC7" s="2657"/>
      <c r="FD7" s="2657"/>
      <c r="FE7" s="2657"/>
      <c r="FF7" s="2657"/>
      <c r="FG7" s="2657"/>
      <c r="FH7" s="2643"/>
      <c r="FI7" s="2643"/>
      <c r="FJ7" s="2643"/>
      <c r="FK7" s="2643"/>
      <c r="FL7" s="2643"/>
      <c r="FM7" s="2657"/>
      <c r="FN7" s="2657"/>
      <c r="FO7" s="2657"/>
      <c r="FP7" s="2657"/>
      <c r="FQ7" s="2657"/>
      <c r="FR7" s="2643"/>
      <c r="FS7" s="2643"/>
      <c r="FT7" s="2643"/>
      <c r="FU7" s="2643"/>
      <c r="FV7" s="2643"/>
      <c r="FW7" s="2643"/>
      <c r="FX7" s="2643"/>
      <c r="FY7" s="2643"/>
      <c r="FZ7" s="2643"/>
      <c r="GA7" s="2643"/>
      <c r="GB7" s="2643"/>
      <c r="GC7" s="2643"/>
      <c r="GD7" s="2643"/>
      <c r="GE7" s="2643"/>
      <c r="GF7" s="2643"/>
      <c r="GG7" s="2643"/>
      <c r="GH7" s="2643"/>
      <c r="GI7" s="2643"/>
      <c r="GJ7" s="2643"/>
      <c r="GK7" s="2643"/>
      <c r="GL7" s="2643"/>
      <c r="GM7" s="2643"/>
      <c r="GN7" s="2643"/>
      <c r="GO7" s="2643"/>
      <c r="GP7" s="2643"/>
      <c r="GQ7" s="2643"/>
      <c r="GR7" s="2643"/>
      <c r="GS7" s="2643"/>
      <c r="GT7" s="2643"/>
      <c r="GU7" s="2643"/>
      <c r="GV7" s="2643"/>
      <c r="GW7" s="2643"/>
      <c r="GX7" s="2643"/>
      <c r="GY7" s="2643"/>
      <c r="GZ7" s="2643"/>
      <c r="HA7" s="2643"/>
      <c r="HB7" s="2643"/>
      <c r="HC7" s="2643"/>
      <c r="HD7" s="2643"/>
      <c r="HE7" s="2643"/>
      <c r="HF7" s="2643"/>
      <c r="HG7" s="2643"/>
      <c r="HH7" s="2643"/>
      <c r="HI7" s="2643"/>
      <c r="HJ7" s="2643"/>
      <c r="HK7" s="2643"/>
      <c r="HL7" s="2643"/>
      <c r="HM7" s="2643"/>
      <c r="HN7" s="2643"/>
      <c r="HO7" s="2643"/>
      <c r="HP7" s="2643"/>
      <c r="HQ7" s="2643"/>
      <c r="HR7" s="2643"/>
      <c r="HS7" s="2643"/>
      <c r="HT7" s="2643"/>
      <c r="HU7" s="2643"/>
      <c r="HV7" s="2643"/>
      <c r="HW7" s="2643"/>
      <c r="HX7" s="2643"/>
      <c r="HY7" s="2643"/>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551</v>
      </c>
      <c r="IZ7" s="2246" t="s">
        <v>2376</v>
      </c>
      <c r="JA7" s="2246" t="s">
        <v>2377</v>
      </c>
      <c r="JB7" s="2246" t="s">
        <v>2378</v>
      </c>
      <c r="JC7" s="2246" t="s">
        <v>2379</v>
      </c>
      <c r="JD7" s="2246" t="s">
        <v>551</v>
      </c>
      <c r="JE7" s="2246" t="s">
        <v>2376</v>
      </c>
      <c r="JF7" s="2246" t="s">
        <v>2377</v>
      </c>
      <c r="JG7" s="2246" t="s">
        <v>2378</v>
      </c>
      <c r="JH7" s="2246" t="s">
        <v>2379</v>
      </c>
      <c r="JI7" s="2246" t="s">
        <v>551</v>
      </c>
      <c r="JJ7" s="2246" t="s">
        <v>2376</v>
      </c>
      <c r="JK7" s="2246" t="s">
        <v>2377</v>
      </c>
      <c r="JL7" s="2246" t="s">
        <v>2378</v>
      </c>
      <c r="JM7" s="2246" t="s">
        <v>2379</v>
      </c>
      <c r="JN7" s="2246" t="s">
        <v>551</v>
      </c>
      <c r="JO7" s="2246" t="s">
        <v>2376</v>
      </c>
      <c r="JP7" s="2246" t="s">
        <v>2377</v>
      </c>
      <c r="JQ7" s="2246" t="s">
        <v>2378</v>
      </c>
      <c r="JR7" s="2246" t="s">
        <v>2379</v>
      </c>
      <c r="JS7" s="2246" t="s">
        <v>551</v>
      </c>
      <c r="JT7" s="2246" t="s">
        <v>2376</v>
      </c>
      <c r="JU7" s="2246" t="s">
        <v>2377</v>
      </c>
      <c r="JV7" s="2246" t="s">
        <v>2378</v>
      </c>
      <c r="JW7" s="2246" t="s">
        <v>2379</v>
      </c>
      <c r="JX7" s="2246" t="s">
        <v>551</v>
      </c>
      <c r="JY7" s="2246" t="s">
        <v>2376</v>
      </c>
      <c r="JZ7" s="2246" t="s">
        <v>2377</v>
      </c>
      <c r="KA7" s="2246" t="s">
        <v>2378</v>
      </c>
      <c r="KB7" s="2246" t="s">
        <v>2379</v>
      </c>
      <c r="KC7" s="2246" t="s">
        <v>551</v>
      </c>
      <c r="KD7" s="2246" t="s">
        <v>2376</v>
      </c>
      <c r="KE7" s="2246" t="s">
        <v>2377</v>
      </c>
      <c r="KF7" s="2246" t="s">
        <v>2378</v>
      </c>
      <c r="KG7" s="2246" t="s">
        <v>2379</v>
      </c>
      <c r="KH7" s="2246" t="s">
        <v>551</v>
      </c>
      <c r="KI7" s="2246" t="s">
        <v>2376</v>
      </c>
      <c r="KJ7" s="2246" t="s">
        <v>2377</v>
      </c>
      <c r="KK7" s="2246" t="s">
        <v>2378</v>
      </c>
      <c r="KL7" s="2246" t="s">
        <v>2379</v>
      </c>
      <c r="KM7" s="2246" t="s">
        <v>551</v>
      </c>
      <c r="KN7" s="2246" t="s">
        <v>2376</v>
      </c>
      <c r="KO7" s="2246" t="s">
        <v>2377</v>
      </c>
      <c r="KP7" s="2246" t="s">
        <v>2378</v>
      </c>
      <c r="KQ7" s="2246" t="s">
        <v>2379</v>
      </c>
      <c r="KR7" s="2246" t="s">
        <v>551</v>
      </c>
      <c r="KS7" s="2246" t="s">
        <v>2376</v>
      </c>
      <c r="KT7" s="2246" t="s">
        <v>2377</v>
      </c>
      <c r="KU7" s="2246" t="s">
        <v>2378</v>
      </c>
      <c r="KV7" s="2246" t="s">
        <v>2379</v>
      </c>
      <c r="KW7" s="2246" t="s">
        <v>551</v>
      </c>
      <c r="KX7" s="2246" t="s">
        <v>2376</v>
      </c>
      <c r="KY7" s="2246" t="s">
        <v>2377</v>
      </c>
      <c r="KZ7" s="2246" t="s">
        <v>2378</v>
      </c>
      <c r="LA7" s="2246" t="s">
        <v>2379</v>
      </c>
      <c r="LB7" s="2246" t="s">
        <v>551</v>
      </c>
      <c r="LC7" s="2246" t="s">
        <v>2376</v>
      </c>
      <c r="LD7" s="2246" t="s">
        <v>2377</v>
      </c>
      <c r="LE7" s="2246" t="s">
        <v>2378</v>
      </c>
      <c r="LF7" s="2246" t="s">
        <v>2379</v>
      </c>
      <c r="LG7" s="2246" t="s">
        <v>551</v>
      </c>
      <c r="LH7" s="2246" t="s">
        <v>2376</v>
      </c>
      <c r="LI7" s="2246" t="s">
        <v>2377</v>
      </c>
      <c r="LJ7" s="2246" t="s">
        <v>2378</v>
      </c>
      <c r="LK7" s="2246" t="s">
        <v>2379</v>
      </c>
      <c r="LL7" s="2246" t="s">
        <v>551</v>
      </c>
      <c r="LM7" s="2246" t="s">
        <v>2376</v>
      </c>
      <c r="LN7" s="2246" t="s">
        <v>2377</v>
      </c>
      <c r="LO7" s="2246" t="s">
        <v>2378</v>
      </c>
      <c r="LP7" s="2246" t="s">
        <v>2379</v>
      </c>
      <c r="LQ7" s="2643"/>
      <c r="LR7" s="2643"/>
      <c r="LS7" s="2643"/>
      <c r="LT7" s="2643"/>
      <c r="LU7" s="2643"/>
      <c r="LV7" s="2643"/>
      <c r="LW7" s="2643"/>
      <c r="LX7" s="2643"/>
      <c r="LY7" s="2643"/>
      <c r="LZ7" s="2643"/>
      <c r="MA7" s="2643"/>
      <c r="MB7" s="2643"/>
      <c r="MC7" s="2643"/>
      <c r="MD7" s="2643"/>
      <c r="ME7" s="2643"/>
      <c r="MF7" s="2643"/>
      <c r="MG7" s="2643"/>
      <c r="MH7" s="2643"/>
      <c r="MI7" s="2643"/>
      <c r="MJ7" s="2643"/>
      <c r="MK7" s="2643"/>
      <c r="ML7" s="2643"/>
      <c r="MM7" s="2643"/>
      <c r="MN7" s="2643"/>
      <c r="MO7" s="2643"/>
      <c r="MP7" s="2643"/>
      <c r="MQ7" s="2643"/>
      <c r="MR7" s="2643"/>
      <c r="MS7" s="2643"/>
      <c r="MT7" s="2643"/>
      <c r="MU7" s="2668"/>
      <c r="MV7" s="2668"/>
      <c r="MW7" s="2668"/>
      <c r="MX7" s="2668"/>
      <c r="MY7" s="2668"/>
      <c r="MZ7" s="2643"/>
      <c r="NA7" s="2643"/>
      <c r="NB7" s="2643"/>
      <c r="NC7" s="2643"/>
      <c r="ND7" s="2643"/>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1"/>
      <c r="B8" s="1339" t="s">
        <v>4207</v>
      </c>
      <c r="C8" s="2376" t="s">
        <v>168</v>
      </c>
      <c r="D8" s="2376" t="s">
        <v>530</v>
      </c>
      <c r="E8" s="2376" t="s">
        <v>1445</v>
      </c>
      <c r="F8" s="2376" t="s">
        <v>1445</v>
      </c>
      <c r="G8" s="2376" t="s">
        <v>1447</v>
      </c>
      <c r="H8" s="2376" t="s">
        <v>3490</v>
      </c>
      <c r="I8" s="2641"/>
      <c r="J8" s="2664" t="s">
        <v>4473</v>
      </c>
      <c r="K8" s="2376" t="s">
        <v>2343</v>
      </c>
      <c r="L8" s="2667" t="s">
        <v>142</v>
      </c>
      <c r="M8" s="2667"/>
      <c r="N8" s="2376" t="s">
        <v>2306</v>
      </c>
      <c r="O8" s="2376" t="s">
        <v>4786</v>
      </c>
      <c r="P8" s="2376" t="s">
        <v>377</v>
      </c>
      <c r="Q8" s="2641"/>
      <c r="R8" s="2376" t="s">
        <v>2614</v>
      </c>
      <c r="S8" s="2376" t="s">
        <v>2616</v>
      </c>
      <c r="T8" s="415"/>
      <c r="W8" s="416"/>
      <c r="X8" s="2657"/>
      <c r="Y8" s="2657"/>
      <c r="Z8" s="2657"/>
      <c r="AA8" s="2657"/>
      <c r="AB8" s="2657"/>
      <c r="AC8" s="2657"/>
      <c r="AD8" s="2657"/>
      <c r="AE8" s="2657"/>
      <c r="AF8" s="2657"/>
      <c r="AG8" s="2657"/>
      <c r="AH8" s="2657"/>
      <c r="AI8" s="2657"/>
      <c r="AJ8" s="2657"/>
      <c r="AK8" s="2657"/>
      <c r="AL8" s="2657"/>
      <c r="AM8" s="2657"/>
      <c r="AN8" s="2657"/>
      <c r="AO8" s="2657"/>
      <c r="AP8" s="2657"/>
      <c r="AQ8" s="2657"/>
      <c r="AR8" s="2657"/>
      <c r="AS8" s="2657"/>
      <c r="AT8" s="2657"/>
      <c r="AU8" s="2657"/>
      <c r="AV8" s="2657"/>
      <c r="AW8" s="2657"/>
      <c r="AX8" s="2657"/>
      <c r="AY8" s="2657"/>
      <c r="AZ8" s="2657"/>
      <c r="BA8" s="2657"/>
      <c r="BB8" s="2657"/>
      <c r="BC8" s="2657"/>
      <c r="BD8" s="2657"/>
      <c r="BE8" s="2657"/>
      <c r="BF8" s="2657"/>
      <c r="BG8" s="2657"/>
      <c r="BH8" s="2657"/>
      <c r="BI8" s="2657"/>
      <c r="BJ8" s="2657"/>
      <c r="BK8" s="2657"/>
      <c r="BL8" s="2657"/>
      <c r="BM8" s="2657"/>
      <c r="BN8" s="2657"/>
      <c r="BO8" s="2657"/>
      <c r="BP8" s="2657"/>
      <c r="BQ8" s="2657"/>
      <c r="BR8" s="2657"/>
      <c r="BS8" s="2657"/>
      <c r="BT8" s="2657"/>
      <c r="BU8" s="2657"/>
      <c r="BV8" s="2657"/>
      <c r="BW8" s="2657"/>
      <c r="BX8" s="2657"/>
      <c r="BY8" s="2657"/>
      <c r="BZ8" s="2657"/>
      <c r="CA8" s="2657"/>
      <c r="CB8" s="2657"/>
      <c r="CC8" s="2657"/>
      <c r="CD8" s="2657"/>
      <c r="CE8" s="2657"/>
      <c r="CF8" s="2657"/>
      <c r="CG8" s="2657"/>
      <c r="CH8" s="2657"/>
      <c r="CI8" s="2657"/>
      <c r="CJ8" s="2657"/>
      <c r="CK8" s="2657"/>
      <c r="CL8" s="2657"/>
      <c r="CM8" s="2657"/>
      <c r="CN8" s="2657"/>
      <c r="CO8" s="2657"/>
      <c r="CP8" s="2657"/>
      <c r="CQ8" s="2657"/>
      <c r="CR8" s="2657"/>
      <c r="CS8" s="2657"/>
      <c r="CT8" s="2657"/>
      <c r="CU8" s="2657"/>
      <c r="CV8" s="2657"/>
      <c r="CW8" s="2657"/>
      <c r="CX8" s="2657"/>
      <c r="CY8" s="2657"/>
      <c r="CZ8" s="2657"/>
      <c r="DA8" s="2657"/>
      <c r="DB8" s="2657"/>
      <c r="DC8" s="2657"/>
      <c r="DD8" s="2657"/>
      <c r="DE8" s="2657"/>
      <c r="DF8" s="2657"/>
      <c r="DG8" s="2657"/>
      <c r="DH8" s="2657"/>
      <c r="DI8" s="2657"/>
      <c r="DJ8" s="2657"/>
      <c r="DK8" s="2657"/>
      <c r="DL8" s="2657"/>
      <c r="DM8" s="2657"/>
      <c r="DN8" s="2657"/>
      <c r="DO8" s="2657"/>
      <c r="DP8" s="2657"/>
      <c r="DQ8" s="2657"/>
      <c r="DR8" s="2657"/>
      <c r="DS8" s="2657"/>
      <c r="DT8" s="2657"/>
      <c r="DU8" s="2657"/>
      <c r="DV8" s="2657"/>
      <c r="DW8" s="2657"/>
      <c r="DX8" s="2657"/>
      <c r="DY8" s="2657"/>
      <c r="DZ8" s="2657"/>
      <c r="EA8" s="2657"/>
      <c r="EB8" s="2657"/>
      <c r="EC8" s="2657"/>
      <c r="ED8" s="2657"/>
      <c r="EE8" s="2657"/>
      <c r="EF8" s="2657"/>
      <c r="EG8" s="2657"/>
      <c r="EH8" s="2657"/>
      <c r="EI8" s="2657"/>
      <c r="EJ8" s="2657"/>
      <c r="EK8" s="2657"/>
      <c r="EL8" s="2657"/>
      <c r="EM8" s="2657"/>
      <c r="EN8" s="2657"/>
      <c r="EO8" s="2657"/>
      <c r="EP8" s="2657"/>
      <c r="EQ8" s="2657"/>
      <c r="ER8" s="2657"/>
      <c r="ES8" s="2643"/>
      <c r="ET8" s="2643"/>
      <c r="EU8" s="2643"/>
      <c r="EV8" s="2643"/>
      <c r="EW8" s="2643"/>
      <c r="EX8" s="2643"/>
      <c r="EY8" s="2643"/>
      <c r="EZ8" s="2643"/>
      <c r="FA8" s="2643"/>
      <c r="FB8" s="2643"/>
      <c r="FC8" s="2657"/>
      <c r="FD8" s="2657"/>
      <c r="FE8" s="2657"/>
      <c r="FF8" s="2657"/>
      <c r="FG8" s="2657"/>
      <c r="FH8" s="2643"/>
      <c r="FI8" s="2643"/>
      <c r="FJ8" s="2643"/>
      <c r="FK8" s="2643"/>
      <c r="FL8" s="2643"/>
      <c r="FM8" s="2657"/>
      <c r="FN8" s="2657"/>
      <c r="FO8" s="2657"/>
      <c r="FP8" s="2657"/>
      <c r="FQ8" s="2657"/>
      <c r="FR8" s="2643"/>
      <c r="FS8" s="2643"/>
      <c r="FT8" s="2643"/>
      <c r="FU8" s="2643"/>
      <c r="FV8" s="2643"/>
      <c r="FW8" s="2643"/>
      <c r="FX8" s="2643"/>
      <c r="FY8" s="2643"/>
      <c r="FZ8" s="2643"/>
      <c r="GA8" s="2643"/>
      <c r="GB8" s="2643"/>
      <c r="GC8" s="2643"/>
      <c r="GD8" s="2643"/>
      <c r="GE8" s="2643"/>
      <c r="GF8" s="2643"/>
      <c r="GG8" s="2643"/>
      <c r="GH8" s="2643"/>
      <c r="GI8" s="2643"/>
      <c r="GJ8" s="2643"/>
      <c r="GK8" s="2643"/>
      <c r="GL8" s="2643"/>
      <c r="GM8" s="2643"/>
      <c r="GN8" s="2643"/>
      <c r="GO8" s="2643"/>
      <c r="GP8" s="2643"/>
      <c r="GQ8" s="2643"/>
      <c r="GR8" s="2643"/>
      <c r="GS8" s="2643"/>
      <c r="GT8" s="2643"/>
      <c r="GU8" s="2643"/>
      <c r="GV8" s="2643"/>
      <c r="GW8" s="2643"/>
      <c r="GX8" s="2643"/>
      <c r="GY8" s="2643"/>
      <c r="GZ8" s="2643"/>
      <c r="HA8" s="2643"/>
      <c r="HB8" s="2643"/>
      <c r="HC8" s="2643"/>
      <c r="HD8" s="2643"/>
      <c r="HE8" s="2643"/>
      <c r="HF8" s="2643"/>
      <c r="HG8" s="2643"/>
      <c r="HH8" s="2643"/>
      <c r="HI8" s="2643"/>
      <c r="HJ8" s="2643"/>
      <c r="HK8" s="2643"/>
      <c r="HL8" s="2643"/>
      <c r="HM8" s="2643"/>
      <c r="HN8" s="2643"/>
      <c r="HO8" s="2643"/>
      <c r="HP8" s="2643"/>
      <c r="HQ8" s="2643"/>
      <c r="HR8" s="2643"/>
      <c r="HS8" s="2643"/>
      <c r="HT8" s="2643"/>
      <c r="HU8" s="2643"/>
      <c r="HV8" s="2643"/>
      <c r="HW8" s="2643"/>
      <c r="HX8" s="2643"/>
      <c r="HY8" s="2643"/>
      <c r="HZ8" s="2643" t="s">
        <v>1433</v>
      </c>
      <c r="IA8" s="2246" t="s">
        <v>2376</v>
      </c>
      <c r="IB8" s="2246" t="s">
        <v>2377</v>
      </c>
      <c r="IC8" s="2246" t="s">
        <v>2378</v>
      </c>
      <c r="ID8" s="2246" t="s">
        <v>2379</v>
      </c>
      <c r="IE8" s="2643" t="s">
        <v>2431</v>
      </c>
      <c r="IF8" s="2643" t="s">
        <v>2431</v>
      </c>
      <c r="IG8" s="2643" t="s">
        <v>2431</v>
      </c>
      <c r="IH8" s="2643" t="s">
        <v>2431</v>
      </c>
      <c r="II8" s="2643" t="s">
        <v>2431</v>
      </c>
      <c r="IJ8" s="2643" t="s">
        <v>3258</v>
      </c>
      <c r="IK8" s="2643" t="s">
        <v>3258</v>
      </c>
      <c r="IL8" s="2643" t="s">
        <v>3258</v>
      </c>
      <c r="IM8" s="2643" t="s">
        <v>3258</v>
      </c>
      <c r="IN8" s="2643" t="s">
        <v>3258</v>
      </c>
      <c r="IO8" s="2246" t="s">
        <v>551</v>
      </c>
      <c r="IP8" s="2246" t="s">
        <v>2376</v>
      </c>
      <c r="IQ8" s="2246" t="s">
        <v>2377</v>
      </c>
      <c r="IR8" s="2246" t="s">
        <v>2378</v>
      </c>
      <c r="IS8" s="2246" t="s">
        <v>2379</v>
      </c>
      <c r="IT8" s="2246" t="s">
        <v>551</v>
      </c>
      <c r="IU8" s="2246" t="s">
        <v>2376</v>
      </c>
      <c r="IV8" s="2246" t="s">
        <v>2377</v>
      </c>
      <c r="IW8" s="2246" t="s">
        <v>2378</v>
      </c>
      <c r="IX8" s="2246" t="s">
        <v>2379</v>
      </c>
      <c r="IY8" s="2643" t="s">
        <v>2433</v>
      </c>
      <c r="IZ8" s="2643" t="s">
        <v>2433</v>
      </c>
      <c r="JA8" s="2643" t="s">
        <v>2433</v>
      </c>
      <c r="JB8" s="2643" t="s">
        <v>2433</v>
      </c>
      <c r="JC8" s="2643" t="s">
        <v>2433</v>
      </c>
      <c r="JD8" s="2643" t="s">
        <v>3254</v>
      </c>
      <c r="JE8" s="2643" t="s">
        <v>3254</v>
      </c>
      <c r="JF8" s="2643" t="s">
        <v>3254</v>
      </c>
      <c r="JG8" s="2643" t="s">
        <v>3254</v>
      </c>
      <c r="JH8" s="2643" t="s">
        <v>3254</v>
      </c>
      <c r="JI8" s="2643" t="s">
        <v>352</v>
      </c>
      <c r="JJ8" s="2643" t="s">
        <v>352</v>
      </c>
      <c r="JK8" s="2643" t="s">
        <v>352</v>
      </c>
      <c r="JL8" s="2643" t="s">
        <v>352</v>
      </c>
      <c r="JM8" s="2643" t="s">
        <v>352</v>
      </c>
      <c r="JN8" s="2643" t="s">
        <v>3253</v>
      </c>
      <c r="JO8" s="2643" t="s">
        <v>3253</v>
      </c>
      <c r="JP8" s="2643" t="s">
        <v>3253</v>
      </c>
      <c r="JQ8" s="2643" t="s">
        <v>3253</v>
      </c>
      <c r="JR8" s="2643" t="s">
        <v>3253</v>
      </c>
      <c r="JS8" s="2643" t="s">
        <v>353</v>
      </c>
      <c r="JT8" s="2643" t="s">
        <v>353</v>
      </c>
      <c r="JU8" s="2643" t="s">
        <v>353</v>
      </c>
      <c r="JV8" s="2643" t="s">
        <v>353</v>
      </c>
      <c r="JW8" s="2643" t="s">
        <v>353</v>
      </c>
      <c r="JX8" s="2643" t="s">
        <v>3252</v>
      </c>
      <c r="JY8" s="2643" t="s">
        <v>3252</v>
      </c>
      <c r="JZ8" s="2643" t="s">
        <v>3252</v>
      </c>
      <c r="KA8" s="2643" t="s">
        <v>3252</v>
      </c>
      <c r="KB8" s="2643" t="s">
        <v>3252</v>
      </c>
      <c r="KC8" s="2643" t="s">
        <v>354</v>
      </c>
      <c r="KD8" s="2643" t="s">
        <v>354</v>
      </c>
      <c r="KE8" s="2643" t="s">
        <v>354</v>
      </c>
      <c r="KF8" s="2643" t="s">
        <v>354</v>
      </c>
      <c r="KG8" s="2643" t="s">
        <v>354</v>
      </c>
      <c r="KH8" s="2643" t="s">
        <v>3255</v>
      </c>
      <c r="KI8" s="2643" t="s">
        <v>3255</v>
      </c>
      <c r="KJ8" s="2643" t="s">
        <v>3255</v>
      </c>
      <c r="KK8" s="2643" t="s">
        <v>3255</v>
      </c>
      <c r="KL8" s="2643" t="s">
        <v>3255</v>
      </c>
      <c r="KM8" s="2643" t="s">
        <v>355</v>
      </c>
      <c r="KN8" s="2643" t="s">
        <v>355</v>
      </c>
      <c r="KO8" s="2643" t="s">
        <v>355</v>
      </c>
      <c r="KP8" s="2643" t="s">
        <v>355</v>
      </c>
      <c r="KQ8" s="2643" t="s">
        <v>355</v>
      </c>
      <c r="KR8" s="2643" t="s">
        <v>3256</v>
      </c>
      <c r="KS8" s="2643" t="s">
        <v>3256</v>
      </c>
      <c r="KT8" s="2643" t="s">
        <v>3256</v>
      </c>
      <c r="KU8" s="2643" t="s">
        <v>3256</v>
      </c>
      <c r="KV8" s="2643" t="s">
        <v>3256</v>
      </c>
      <c r="KW8" s="2643" t="s">
        <v>1432</v>
      </c>
      <c r="KX8" s="2643" t="s">
        <v>1432</v>
      </c>
      <c r="KY8" s="2643" t="s">
        <v>1432</v>
      </c>
      <c r="KZ8" s="2643" t="s">
        <v>1432</v>
      </c>
      <c r="LA8" s="2643" t="s">
        <v>1432</v>
      </c>
      <c r="LB8" s="2643" t="s">
        <v>3257</v>
      </c>
      <c r="LC8" s="2643" t="s">
        <v>3257</v>
      </c>
      <c r="LD8" s="2643" t="s">
        <v>3257</v>
      </c>
      <c r="LE8" s="2643" t="s">
        <v>3257</v>
      </c>
      <c r="LF8" s="2643" t="s">
        <v>3257</v>
      </c>
      <c r="LG8" s="2643" t="s">
        <v>4792</v>
      </c>
      <c r="LH8" s="2643" t="s">
        <v>4792</v>
      </c>
      <c r="LI8" s="2643" t="s">
        <v>4792</v>
      </c>
      <c r="LJ8" s="2643" t="s">
        <v>4792</v>
      </c>
      <c r="LK8" s="2643" t="s">
        <v>4792</v>
      </c>
      <c r="LL8" s="2643" t="s">
        <v>4793</v>
      </c>
      <c r="LM8" s="2643" t="s">
        <v>4793</v>
      </c>
      <c r="LN8" s="2643" t="s">
        <v>4793</v>
      </c>
      <c r="LO8" s="2643" t="s">
        <v>4793</v>
      </c>
      <c r="LP8" s="2643" t="s">
        <v>4793</v>
      </c>
      <c r="LQ8" s="2643"/>
      <c r="LR8" s="2643"/>
      <c r="LS8" s="2643"/>
      <c r="LT8" s="2643"/>
      <c r="LU8" s="2643"/>
      <c r="LV8" s="2643"/>
      <c r="LW8" s="2643"/>
      <c r="LX8" s="2643"/>
      <c r="LY8" s="2643"/>
      <c r="LZ8" s="2643"/>
      <c r="MA8" s="2643"/>
      <c r="MB8" s="2643"/>
      <c r="MC8" s="2643"/>
      <c r="MD8" s="2643"/>
      <c r="ME8" s="2643"/>
      <c r="MF8" s="2643"/>
      <c r="MG8" s="2643"/>
      <c r="MH8" s="2643"/>
      <c r="MI8" s="2643"/>
      <c r="MJ8" s="2643"/>
      <c r="MK8" s="2643"/>
      <c r="ML8" s="2643"/>
      <c r="MM8" s="2643"/>
      <c r="MN8" s="2643"/>
      <c r="MO8" s="2643"/>
      <c r="MP8" s="2643"/>
      <c r="MQ8" s="2643"/>
      <c r="MR8" s="2643"/>
      <c r="MS8" s="2643"/>
      <c r="MT8" s="2643"/>
      <c r="MU8" s="2668"/>
      <c r="MV8" s="2668"/>
      <c r="MW8" s="2668"/>
      <c r="MX8" s="2668"/>
      <c r="MY8" s="2668"/>
      <c r="MZ8" s="2643"/>
      <c r="NA8" s="2643"/>
      <c r="NB8" s="2643"/>
      <c r="NC8" s="2643"/>
      <c r="ND8" s="2643"/>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1"/>
      <c r="B9" s="1538" t="s">
        <v>4519</v>
      </c>
      <c r="C9" s="2376" t="s">
        <v>167</v>
      </c>
      <c r="D9" s="2376" t="s">
        <v>169</v>
      </c>
      <c r="E9" s="2376" t="s">
        <v>1446</v>
      </c>
      <c r="F9" s="2376" t="s">
        <v>1253</v>
      </c>
      <c r="G9" s="2376" t="s">
        <v>3491</v>
      </c>
      <c r="H9" s="2376" t="s">
        <v>1447</v>
      </c>
      <c r="I9" s="2642"/>
      <c r="J9" s="2665"/>
      <c r="K9" s="444" t="s">
        <v>344</v>
      </c>
      <c r="L9" s="2376" t="s">
        <v>1498</v>
      </c>
      <c r="M9" s="2376" t="s">
        <v>524</v>
      </c>
      <c r="N9" s="2376" t="s">
        <v>1445</v>
      </c>
      <c r="O9" s="2376" t="s">
        <v>3208</v>
      </c>
      <c r="P9" s="2376" t="s">
        <v>378</v>
      </c>
      <c r="Q9" s="2642"/>
      <c r="R9" s="2376" t="s">
        <v>1447</v>
      </c>
      <c r="S9" s="2376" t="s">
        <v>2617</v>
      </c>
      <c r="T9" s="31" t="s">
        <v>1798</v>
      </c>
      <c r="W9" s="31"/>
      <c r="X9" s="2657"/>
      <c r="Y9" s="2657"/>
      <c r="Z9" s="2657"/>
      <c r="AA9" s="2657"/>
      <c r="AB9" s="2657"/>
      <c r="AC9" s="2657"/>
      <c r="AD9" s="2657"/>
      <c r="AE9" s="2657"/>
      <c r="AF9" s="2657"/>
      <c r="AG9" s="2657"/>
      <c r="AH9" s="2657"/>
      <c r="AI9" s="2657"/>
      <c r="AJ9" s="2657"/>
      <c r="AK9" s="2657"/>
      <c r="AL9" s="2657"/>
      <c r="AM9" s="2657"/>
      <c r="AN9" s="2657"/>
      <c r="AO9" s="2657"/>
      <c r="AP9" s="2657"/>
      <c r="AQ9" s="2657"/>
      <c r="AR9" s="2657"/>
      <c r="AS9" s="2657"/>
      <c r="AT9" s="2657"/>
      <c r="AU9" s="2657"/>
      <c r="AV9" s="2657"/>
      <c r="AW9" s="2657"/>
      <c r="AX9" s="2657"/>
      <c r="AY9" s="2657"/>
      <c r="AZ9" s="2657"/>
      <c r="BA9" s="2657"/>
      <c r="BB9" s="2657"/>
      <c r="BC9" s="2657"/>
      <c r="BD9" s="2657"/>
      <c r="BE9" s="2657"/>
      <c r="BF9" s="2657"/>
      <c r="BG9" s="2657"/>
      <c r="BH9" s="2657"/>
      <c r="BI9" s="2657"/>
      <c r="BJ9" s="2657"/>
      <c r="BK9" s="2657"/>
      <c r="BL9" s="2657"/>
      <c r="BM9" s="2657"/>
      <c r="BN9" s="2657"/>
      <c r="BO9" s="2657"/>
      <c r="BP9" s="2657"/>
      <c r="BQ9" s="2657"/>
      <c r="BR9" s="2657"/>
      <c r="BS9" s="2657"/>
      <c r="BT9" s="2657"/>
      <c r="BU9" s="2657"/>
      <c r="BV9" s="2657"/>
      <c r="BW9" s="2657"/>
      <c r="BX9" s="2657"/>
      <c r="BY9" s="2657"/>
      <c r="BZ9" s="2657"/>
      <c r="CA9" s="2657"/>
      <c r="CB9" s="2657"/>
      <c r="CC9" s="2657"/>
      <c r="CD9" s="2657"/>
      <c r="CE9" s="2657"/>
      <c r="CF9" s="2657"/>
      <c r="CG9" s="2657"/>
      <c r="CH9" s="2657"/>
      <c r="CI9" s="2657"/>
      <c r="CJ9" s="2657"/>
      <c r="CK9" s="2657"/>
      <c r="CL9" s="2657"/>
      <c r="CM9" s="2657"/>
      <c r="CN9" s="2657"/>
      <c r="CO9" s="2657"/>
      <c r="CP9" s="2657"/>
      <c r="CQ9" s="2657"/>
      <c r="CR9" s="2657"/>
      <c r="CS9" s="2657"/>
      <c r="CT9" s="2657"/>
      <c r="CU9" s="2657"/>
      <c r="CV9" s="2657"/>
      <c r="CW9" s="2657"/>
      <c r="CX9" s="2657"/>
      <c r="CY9" s="2657"/>
      <c r="CZ9" s="2657"/>
      <c r="DA9" s="2657"/>
      <c r="DB9" s="2657"/>
      <c r="DC9" s="2657"/>
      <c r="DD9" s="2657"/>
      <c r="DE9" s="2657"/>
      <c r="DF9" s="2657"/>
      <c r="DG9" s="2657"/>
      <c r="DH9" s="2657"/>
      <c r="DI9" s="2657"/>
      <c r="DJ9" s="2657"/>
      <c r="DK9" s="2657"/>
      <c r="DL9" s="2657"/>
      <c r="DM9" s="2657"/>
      <c r="DN9" s="2657"/>
      <c r="DO9" s="2657"/>
      <c r="DP9" s="2657"/>
      <c r="DQ9" s="2657"/>
      <c r="DR9" s="2657"/>
      <c r="DS9" s="2657"/>
      <c r="DT9" s="2657"/>
      <c r="DU9" s="2657"/>
      <c r="DV9" s="2657"/>
      <c r="DW9" s="2657"/>
      <c r="DX9" s="2657"/>
      <c r="DY9" s="2657"/>
      <c r="DZ9" s="2657"/>
      <c r="EA9" s="2657"/>
      <c r="EB9" s="2657"/>
      <c r="EC9" s="2657"/>
      <c r="ED9" s="2657"/>
      <c r="EE9" s="2657"/>
      <c r="EF9" s="2657"/>
      <c r="EG9" s="2657"/>
      <c r="EH9" s="2657"/>
      <c r="EI9" s="2657"/>
      <c r="EJ9" s="2657"/>
      <c r="EK9" s="2657"/>
      <c r="EL9" s="2657"/>
      <c r="EM9" s="2657"/>
      <c r="EN9" s="2657"/>
      <c r="EO9" s="2657"/>
      <c r="EP9" s="2657"/>
      <c r="EQ9" s="2657"/>
      <c r="ER9" s="2657"/>
      <c r="ES9" s="2643"/>
      <c r="ET9" s="2643"/>
      <c r="EU9" s="2643"/>
      <c r="EV9" s="2643"/>
      <c r="EW9" s="2643"/>
      <c r="EX9" s="2643"/>
      <c r="EY9" s="2643"/>
      <c r="EZ9" s="2643"/>
      <c r="FA9" s="2643"/>
      <c r="FB9" s="2643"/>
      <c r="FC9" s="2657"/>
      <c r="FD9" s="2657"/>
      <c r="FE9" s="2657"/>
      <c r="FF9" s="2657"/>
      <c r="FG9" s="2657"/>
      <c r="FH9" s="2643"/>
      <c r="FI9" s="2643"/>
      <c r="FJ9" s="2643"/>
      <c r="FK9" s="2643"/>
      <c r="FL9" s="2643"/>
      <c r="FM9" s="2657"/>
      <c r="FN9" s="2657"/>
      <c r="FO9" s="2657"/>
      <c r="FP9" s="2657"/>
      <c r="FQ9" s="2657"/>
      <c r="FR9" s="2643"/>
      <c r="FS9" s="2643"/>
      <c r="FT9" s="2643"/>
      <c r="FU9" s="2643"/>
      <c r="FV9" s="2643"/>
      <c r="FW9" s="2643"/>
      <c r="FX9" s="2643"/>
      <c r="FY9" s="2643"/>
      <c r="FZ9" s="2643"/>
      <c r="GA9" s="2643"/>
      <c r="GB9" s="2643"/>
      <c r="GC9" s="2643"/>
      <c r="GD9" s="2643"/>
      <c r="GE9" s="2643"/>
      <c r="GF9" s="2643"/>
      <c r="GG9" s="2643"/>
      <c r="GH9" s="2643"/>
      <c r="GI9" s="2643"/>
      <c r="GJ9" s="2643"/>
      <c r="GK9" s="2643"/>
      <c r="GL9" s="2643"/>
      <c r="GM9" s="2643"/>
      <c r="GN9" s="2643"/>
      <c r="GO9" s="2643"/>
      <c r="GP9" s="2643"/>
      <c r="GQ9" s="2643"/>
      <c r="GR9" s="2643"/>
      <c r="GS9" s="2643"/>
      <c r="GT9" s="2643"/>
      <c r="GU9" s="2643"/>
      <c r="GV9" s="2643"/>
      <c r="GW9" s="2643"/>
      <c r="GX9" s="2643"/>
      <c r="GY9" s="2643"/>
      <c r="GZ9" s="2643"/>
      <c r="HA9" s="2643"/>
      <c r="HB9" s="2643"/>
      <c r="HC9" s="2643"/>
      <c r="HD9" s="2643"/>
      <c r="HE9" s="2643"/>
      <c r="HF9" s="2643"/>
      <c r="HG9" s="2643"/>
      <c r="HH9" s="2643"/>
      <c r="HI9" s="2643"/>
      <c r="HJ9" s="2643"/>
      <c r="HK9" s="2643"/>
      <c r="HL9" s="2643"/>
      <c r="HM9" s="2643"/>
      <c r="HN9" s="2643"/>
      <c r="HO9" s="2643"/>
      <c r="HP9" s="2643"/>
      <c r="HQ9" s="2643"/>
      <c r="HR9" s="2643"/>
      <c r="HS9" s="2643"/>
      <c r="HT9" s="2643"/>
      <c r="HU9" s="2643"/>
      <c r="HV9" s="2643"/>
      <c r="HW9" s="2643"/>
      <c r="HX9" s="2643"/>
      <c r="HY9" s="2643"/>
      <c r="HZ9" s="2643"/>
      <c r="IA9" s="2246" t="s">
        <v>2430</v>
      </c>
      <c r="IB9" s="2246" t="s">
        <v>2430</v>
      </c>
      <c r="IC9" s="2246" t="s">
        <v>2430</v>
      </c>
      <c r="ID9" s="2246" t="s">
        <v>2430</v>
      </c>
      <c r="IE9" s="2643"/>
      <c r="IF9" s="2643"/>
      <c r="IG9" s="2643"/>
      <c r="IH9" s="2643"/>
      <c r="II9" s="2643"/>
      <c r="IJ9" s="2643"/>
      <c r="IK9" s="2643"/>
      <c r="IL9" s="2643"/>
      <c r="IM9" s="2643"/>
      <c r="IN9" s="2643"/>
      <c r="IO9" s="2246" t="s">
        <v>2432</v>
      </c>
      <c r="IP9" s="2246" t="s">
        <v>2432</v>
      </c>
      <c r="IQ9" s="2246" t="s">
        <v>2432</v>
      </c>
      <c r="IR9" s="2246" t="s">
        <v>2432</v>
      </c>
      <c r="IS9" s="2246" t="s">
        <v>2432</v>
      </c>
      <c r="IT9" s="2246" t="s">
        <v>3259</v>
      </c>
      <c r="IU9" s="2246" t="s">
        <v>3259</v>
      </c>
      <c r="IV9" s="2246" t="s">
        <v>3259</v>
      </c>
      <c r="IW9" s="2246" t="s">
        <v>3259</v>
      </c>
      <c r="IX9" s="2246" t="s">
        <v>3259</v>
      </c>
      <c r="IY9" s="2643"/>
      <c r="IZ9" s="2643"/>
      <c r="JA9" s="2643"/>
      <c r="JB9" s="2643"/>
      <c r="JC9" s="2643"/>
      <c r="JD9" s="2643"/>
      <c r="JE9" s="2643"/>
      <c r="JF9" s="2643"/>
      <c r="JG9" s="2643"/>
      <c r="JH9" s="2643"/>
      <c r="JI9" s="2643"/>
      <c r="JJ9" s="2643"/>
      <c r="JK9" s="2643"/>
      <c r="JL9" s="2643"/>
      <c r="JM9" s="2643"/>
      <c r="JN9" s="2643"/>
      <c r="JO9" s="2643"/>
      <c r="JP9" s="2643"/>
      <c r="JQ9" s="2643"/>
      <c r="JR9" s="2643"/>
      <c r="JS9" s="2643"/>
      <c r="JT9" s="2643"/>
      <c r="JU9" s="2643"/>
      <c r="JV9" s="2643"/>
      <c r="JW9" s="2643"/>
      <c r="JX9" s="2643"/>
      <c r="JY9" s="2643"/>
      <c r="JZ9" s="2643"/>
      <c r="KA9" s="2643"/>
      <c r="KB9" s="2643"/>
      <c r="KC9" s="2643"/>
      <c r="KD9" s="2643"/>
      <c r="KE9" s="2643"/>
      <c r="KF9" s="2643"/>
      <c r="KG9" s="2643"/>
      <c r="KH9" s="2643"/>
      <c r="KI9" s="2643"/>
      <c r="KJ9" s="2643"/>
      <c r="KK9" s="2643"/>
      <c r="KL9" s="2643"/>
      <c r="KM9" s="2643"/>
      <c r="KN9" s="2643"/>
      <c r="KO9" s="2643"/>
      <c r="KP9" s="2643"/>
      <c r="KQ9" s="2643"/>
      <c r="KR9" s="2643"/>
      <c r="KS9" s="2643"/>
      <c r="KT9" s="2643"/>
      <c r="KU9" s="2643"/>
      <c r="KV9" s="2643"/>
      <c r="KW9" s="2643"/>
      <c r="KX9" s="2643"/>
      <c r="KY9" s="2643"/>
      <c r="KZ9" s="2643"/>
      <c r="LA9" s="2643"/>
      <c r="LB9" s="2643"/>
      <c r="LC9" s="2643"/>
      <c r="LD9" s="2643"/>
      <c r="LE9" s="2643"/>
      <c r="LF9" s="2643"/>
      <c r="LG9" s="2643"/>
      <c r="LH9" s="2643"/>
      <c r="LI9" s="2643"/>
      <c r="LJ9" s="2643"/>
      <c r="LK9" s="2643"/>
      <c r="LL9" s="2643"/>
      <c r="LM9" s="2643"/>
      <c r="LN9" s="2643"/>
      <c r="LO9" s="2643"/>
      <c r="LP9" s="2643"/>
      <c r="LQ9" s="2643"/>
      <c r="LR9" s="2643"/>
      <c r="LS9" s="2643"/>
      <c r="LT9" s="2643"/>
      <c r="LU9" s="2643"/>
      <c r="LV9" s="2643"/>
      <c r="LW9" s="2643"/>
      <c r="LX9" s="2643"/>
      <c r="LY9" s="2643"/>
      <c r="LZ9" s="2643"/>
      <c r="MA9" s="2643"/>
      <c r="MB9" s="2643"/>
      <c r="MC9" s="2643"/>
      <c r="MD9" s="2643"/>
      <c r="ME9" s="2643"/>
      <c r="MF9" s="2643"/>
      <c r="MG9" s="2643"/>
      <c r="MH9" s="2643"/>
      <c r="MI9" s="2643"/>
      <c r="MJ9" s="2643"/>
      <c r="MK9" s="2643"/>
      <c r="ML9" s="2643"/>
      <c r="MM9" s="2643"/>
      <c r="MN9" s="2643"/>
      <c r="MO9" s="2643"/>
      <c r="MP9" s="2643"/>
      <c r="MQ9" s="2643"/>
      <c r="MR9" s="2643"/>
      <c r="MS9" s="2643"/>
      <c r="MT9" s="2643"/>
      <c r="MU9" s="2668"/>
      <c r="MV9" s="2668"/>
      <c r="MW9" s="2668"/>
      <c r="MX9" s="2668"/>
      <c r="MY9" s="2668"/>
      <c r="MZ9" s="2643"/>
      <c r="NA9" s="2643"/>
      <c r="NB9" s="2643"/>
      <c r="NC9" s="2643"/>
      <c r="ND9" s="2643"/>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69" t="s">
        <v>4117</v>
      </c>
      <c r="C10" s="3970"/>
      <c r="D10" s="3971"/>
      <c r="E10" s="3972"/>
      <c r="F10" s="3972"/>
      <c r="G10" s="3972"/>
      <c r="H10" s="3972"/>
      <c r="I10" s="3973"/>
      <c r="J10" s="3974"/>
      <c r="K10" s="3975"/>
      <c r="L10" s="566">
        <f t="shared" ref="L10:L47" si="0">MAX(0,H10-I10-J10)</f>
        <v>0</v>
      </c>
      <c r="M10" s="566">
        <f t="shared" ref="M10:M47" si="1">MAX(0,E10*L10)</f>
        <v>0</v>
      </c>
      <c r="N10" s="3976"/>
      <c r="O10" s="3976"/>
      <c r="P10" s="3976"/>
      <c r="Q10" s="3977"/>
      <c r="R10" s="3978"/>
      <c r="S10" s="3979"/>
      <c r="T10" s="3980"/>
      <c r="U10" s="3981"/>
      <c r="V10" s="3981"/>
      <c r="W10" s="3982"/>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3983" t="s">
        <v>4117</v>
      </c>
      <c r="C11" s="3984"/>
      <c r="D11" s="3985"/>
      <c r="E11" s="3986"/>
      <c r="F11" s="3986"/>
      <c r="G11" s="3986"/>
      <c r="H11" s="3986"/>
      <c r="I11" s="3986"/>
      <c r="J11" s="3987"/>
      <c r="K11" s="3988"/>
      <c r="L11" s="567">
        <f t="shared" si="0"/>
        <v>0</v>
      </c>
      <c r="M11" s="567">
        <f t="shared" si="1"/>
        <v>0</v>
      </c>
      <c r="N11" s="3989"/>
      <c r="O11" s="3989"/>
      <c r="P11" s="3989"/>
      <c r="Q11" s="3990"/>
      <c r="R11" s="3991"/>
      <c r="S11" s="3992"/>
      <c r="T11" s="3993"/>
      <c r="U11" s="3994"/>
      <c r="V11" s="3994"/>
      <c r="W11" s="3995"/>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3983" t="s">
        <v>298</v>
      </c>
      <c r="C12" s="3984"/>
      <c r="D12" s="3985"/>
      <c r="E12" s="3986"/>
      <c r="F12" s="3986"/>
      <c r="G12" s="3986"/>
      <c r="H12" s="3986"/>
      <c r="I12" s="3986"/>
      <c r="J12" s="3987"/>
      <c r="K12" s="3988"/>
      <c r="L12" s="567">
        <f t="shared" si="0"/>
        <v>0</v>
      </c>
      <c r="M12" s="567">
        <f t="shared" si="1"/>
        <v>0</v>
      </c>
      <c r="N12" s="3989"/>
      <c r="O12" s="3989"/>
      <c r="P12" s="3989"/>
      <c r="Q12" s="3990"/>
      <c r="R12" s="3991"/>
      <c r="S12" s="3992"/>
      <c r="T12" s="3993"/>
      <c r="U12" s="3994"/>
      <c r="V12" s="3994"/>
      <c r="W12" s="3995"/>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t="str">
        <f t="shared" si="213"/>
        <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0</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3983" t="s">
        <v>298</v>
      </c>
      <c r="C13" s="3984"/>
      <c r="D13" s="3985"/>
      <c r="E13" s="3986"/>
      <c r="F13" s="3986"/>
      <c r="G13" s="3986"/>
      <c r="H13" s="3986"/>
      <c r="I13" s="3986"/>
      <c r="J13" s="3987"/>
      <c r="K13" s="3988"/>
      <c r="L13" s="567">
        <f t="shared" si="0"/>
        <v>0</v>
      </c>
      <c r="M13" s="567">
        <f t="shared" si="1"/>
        <v>0</v>
      </c>
      <c r="N13" s="3989"/>
      <c r="O13" s="3989"/>
      <c r="P13" s="3989"/>
      <c r="Q13" s="3990"/>
      <c r="R13" s="3991"/>
      <c r="S13" s="3992"/>
      <c r="T13" s="3993"/>
      <c r="U13" s="3994"/>
      <c r="V13" s="3994"/>
      <c r="W13" s="3995"/>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t="str">
        <f t="shared" si="214"/>
        <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0</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3983" t="s">
        <v>298</v>
      </c>
      <c r="C14" s="3984"/>
      <c r="D14" s="3985"/>
      <c r="E14" s="3986"/>
      <c r="F14" s="3986"/>
      <c r="G14" s="3986"/>
      <c r="H14" s="3986"/>
      <c r="I14" s="3986"/>
      <c r="J14" s="3987"/>
      <c r="K14" s="3988"/>
      <c r="L14" s="567">
        <f t="shared" si="0"/>
        <v>0</v>
      </c>
      <c r="M14" s="567">
        <f t="shared" si="1"/>
        <v>0</v>
      </c>
      <c r="N14" s="3989"/>
      <c r="O14" s="3989"/>
      <c r="P14" s="3989"/>
      <c r="Q14" s="3990"/>
      <c r="R14" s="3991"/>
      <c r="S14" s="3992"/>
      <c r="T14" s="3993"/>
      <c r="U14" s="3994"/>
      <c r="V14" s="3994"/>
      <c r="W14" s="3995"/>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t="str">
        <f t="shared" si="215"/>
        <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0</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3983" t="s">
        <v>298</v>
      </c>
      <c r="C15" s="3984"/>
      <c r="D15" s="3985"/>
      <c r="E15" s="3986"/>
      <c r="F15" s="3986"/>
      <c r="G15" s="3986"/>
      <c r="H15" s="3986"/>
      <c r="I15" s="3986"/>
      <c r="J15" s="3987"/>
      <c r="K15" s="3988"/>
      <c r="L15" s="567">
        <f t="shared" si="0"/>
        <v>0</v>
      </c>
      <c r="M15" s="567">
        <f t="shared" si="1"/>
        <v>0</v>
      </c>
      <c r="N15" s="3989"/>
      <c r="O15" s="3989"/>
      <c r="P15" s="3989"/>
      <c r="Q15" s="3990"/>
      <c r="R15" s="3991"/>
      <c r="S15" s="3992"/>
      <c r="T15" s="3993"/>
      <c r="U15" s="3994"/>
      <c r="V15" s="3994"/>
      <c r="W15" s="3995"/>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t="str">
        <f t="shared" si="213"/>
        <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t="str">
        <f t="shared" si="298"/>
        <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0</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3996" t="s">
        <v>298</v>
      </c>
      <c r="C16" s="3997"/>
      <c r="D16" s="3998"/>
      <c r="E16" s="3999"/>
      <c r="F16" s="3999"/>
      <c r="G16" s="3999"/>
      <c r="H16" s="3999"/>
      <c r="I16" s="3999"/>
      <c r="J16" s="4000"/>
      <c r="K16" s="4001"/>
      <c r="L16" s="1338">
        <f t="shared" si="0"/>
        <v>0</v>
      </c>
      <c r="M16" s="1338">
        <f t="shared" si="1"/>
        <v>0</v>
      </c>
      <c r="N16" s="4002"/>
      <c r="O16" s="4002"/>
      <c r="P16" s="4002"/>
      <c r="Q16" s="4003"/>
      <c r="R16" s="3991"/>
      <c r="S16" s="3992"/>
      <c r="T16" s="3993"/>
      <c r="U16" s="3994"/>
      <c r="V16" s="3994"/>
      <c r="W16" s="3995"/>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t="str">
        <f t="shared" si="214"/>
        <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t="str">
        <f t="shared" si="299"/>
        <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0</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f t="shared" si="337"/>
        <v>1</v>
      </c>
      <c r="B17" s="4004">
        <v>50</v>
      </c>
      <c r="C17" s="4005">
        <v>1</v>
      </c>
      <c r="D17" s="4006">
        <v>1</v>
      </c>
      <c r="E17" s="4007">
        <v>4</v>
      </c>
      <c r="F17" s="4007">
        <v>780</v>
      </c>
      <c r="G17" s="4007">
        <v>568</v>
      </c>
      <c r="H17" s="4007">
        <v>492</v>
      </c>
      <c r="I17" s="4007"/>
      <c r="J17" s="4008">
        <f>IF(C17="",0,HLOOKUP(C17,'Part V-Utility Allowances'!$I$11:$M$22,12))</f>
        <v>97</v>
      </c>
      <c r="K17" s="4009"/>
      <c r="L17" s="1337">
        <f t="shared" si="0"/>
        <v>395</v>
      </c>
      <c r="M17" s="1337">
        <f t="shared" si="1"/>
        <v>1580</v>
      </c>
      <c r="N17" s="4010" t="s">
        <v>2887</v>
      </c>
      <c r="O17" s="4010" t="s">
        <v>39</v>
      </c>
      <c r="P17" s="4010" t="s">
        <v>2236</v>
      </c>
      <c r="Q17" s="4011" t="s">
        <v>2887</v>
      </c>
      <c r="R17" s="3991"/>
      <c r="S17" s="3992"/>
      <c r="T17" s="3993"/>
      <c r="U17" s="3994"/>
      <c r="V17" s="3994"/>
      <c r="W17" s="3995"/>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4</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3120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4</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t="str">
        <f t="shared" si="213"/>
        <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f t="shared" si="248"/>
        <v>4</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t="str">
        <f t="shared" si="288"/>
        <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t="str">
        <f t="shared" si="298"/>
        <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0</v>
      </c>
      <c r="MS17" s="2246">
        <f t="shared" si="341"/>
        <v>0</v>
      </c>
      <c r="MT17" s="2246">
        <f t="shared" si="342"/>
        <v>0</v>
      </c>
      <c r="MU17" s="2246">
        <f t="shared" si="343"/>
        <v>0</v>
      </c>
      <c r="MV17" s="2246">
        <f t="shared" si="344"/>
        <v>4</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f t="shared" si="337"/>
        <v>1</v>
      </c>
      <c r="B18" s="4012">
        <v>60</v>
      </c>
      <c r="C18" s="3984">
        <v>1</v>
      </c>
      <c r="D18" s="3985">
        <v>1</v>
      </c>
      <c r="E18" s="3986">
        <v>4</v>
      </c>
      <c r="F18" s="3986">
        <v>780</v>
      </c>
      <c r="G18" s="3986">
        <v>681</v>
      </c>
      <c r="H18" s="3986">
        <v>502</v>
      </c>
      <c r="I18" s="3986"/>
      <c r="J18" s="4013">
        <f>IF(C18="",0,HLOOKUP(C18,'Part V-Utility Allowances'!$I$11:$M$22,12))</f>
        <v>97</v>
      </c>
      <c r="K18" s="3988"/>
      <c r="L18" s="567">
        <f t="shared" si="0"/>
        <v>405</v>
      </c>
      <c r="M18" s="567">
        <f t="shared" si="1"/>
        <v>1620</v>
      </c>
      <c r="N18" s="3989" t="s">
        <v>2887</v>
      </c>
      <c r="O18" s="3989" t="s">
        <v>39</v>
      </c>
      <c r="P18" s="3989" t="s">
        <v>2236</v>
      </c>
      <c r="Q18" s="3990" t="s">
        <v>2887</v>
      </c>
      <c r="R18" s="3991"/>
      <c r="S18" s="3992"/>
      <c r="T18" s="3993"/>
      <c r="U18" s="3994"/>
      <c r="V18" s="3994"/>
      <c r="W18" s="3995"/>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f t="shared" si="13"/>
        <v>4</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f t="shared" si="128"/>
        <v>3120</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f t="shared" si="168"/>
        <v>4</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t="str">
        <f t="shared" si="213"/>
        <v/>
      </c>
      <c r="IB18" s="2247" t="str">
        <f t="shared" si="214"/>
        <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f t="shared" si="248"/>
        <v>4</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t="str">
        <f t="shared" si="299"/>
        <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0</v>
      </c>
      <c r="MT18" s="2246">
        <f t="shared" si="342"/>
        <v>0</v>
      </c>
      <c r="MU18" s="2246">
        <f t="shared" si="343"/>
        <v>0</v>
      </c>
      <c r="MV18" s="2246">
        <f t="shared" si="344"/>
        <v>4</v>
      </c>
      <c r="MW18" s="2246">
        <f t="shared" si="345"/>
        <v>0</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f t="shared" si="337"/>
        <v>1</v>
      </c>
      <c r="B19" s="4012">
        <v>70</v>
      </c>
      <c r="C19" s="3984">
        <v>1</v>
      </c>
      <c r="D19" s="3985">
        <v>1</v>
      </c>
      <c r="E19" s="3986">
        <v>2</v>
      </c>
      <c r="F19" s="3986">
        <v>780</v>
      </c>
      <c r="G19" s="3986">
        <v>795</v>
      </c>
      <c r="H19" s="3986">
        <v>522</v>
      </c>
      <c r="I19" s="3986"/>
      <c r="J19" s="4013">
        <f>IF(C19="",0,HLOOKUP(C19,'Part V-Utility Allowances'!$I$11:$M$22,12))</f>
        <v>97</v>
      </c>
      <c r="K19" s="3988"/>
      <c r="L19" s="567">
        <f t="shared" si="0"/>
        <v>425</v>
      </c>
      <c r="M19" s="567">
        <f t="shared" si="1"/>
        <v>850</v>
      </c>
      <c r="N19" s="3989" t="s">
        <v>2887</v>
      </c>
      <c r="O19" s="3989" t="s">
        <v>39</v>
      </c>
      <c r="P19" s="3989" t="s">
        <v>2236</v>
      </c>
      <c r="Q19" s="3990" t="s">
        <v>2887</v>
      </c>
      <c r="R19" s="3991"/>
      <c r="S19" s="3992"/>
      <c r="T19" s="3993"/>
      <c r="U19" s="3994"/>
      <c r="V19" s="3994"/>
      <c r="W19" s="3995"/>
      <c r="X19" s="443" t="str">
        <f t="shared" si="2"/>
        <v/>
      </c>
      <c r="Y19" s="443" t="str">
        <f t="shared" si="3"/>
        <v/>
      </c>
      <c r="Z19" s="443" t="str">
        <f t="shared" si="4"/>
        <v/>
      </c>
      <c r="AA19" s="443" t="str">
        <f t="shared" si="5"/>
        <v/>
      </c>
      <c r="AB19" s="443" t="str">
        <f t="shared" si="6"/>
        <v/>
      </c>
      <c r="AC19" s="443" t="str">
        <f t="shared" si="7"/>
        <v/>
      </c>
      <c r="AD19" s="443">
        <f t="shared" si="8"/>
        <v>2</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f t="shared" si="123"/>
        <v>1560</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2</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t="str">
        <f t="shared" si="213"/>
        <v/>
      </c>
      <c r="IB19" s="2247" t="str">
        <f t="shared" si="214"/>
        <v/>
      </c>
      <c r="IC19" s="2247" t="str">
        <f t="shared" si="215"/>
        <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f t="shared" si="248"/>
        <v>2</v>
      </c>
      <c r="JK19" s="2247" t="str">
        <f t="shared" si="249"/>
        <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t="str">
        <f t="shared" si="298"/>
        <v/>
      </c>
      <c r="LI19" s="2247" t="str">
        <f t="shared" si="299"/>
        <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0</v>
      </c>
      <c r="MT19" s="2246">
        <f t="shared" si="342"/>
        <v>0</v>
      </c>
      <c r="MU19" s="2246">
        <f t="shared" si="343"/>
        <v>0</v>
      </c>
      <c r="MV19" s="2246">
        <f t="shared" si="344"/>
        <v>2</v>
      </c>
      <c r="MW19" s="2246">
        <f t="shared" si="345"/>
        <v>0</v>
      </c>
      <c r="MX19" s="2246">
        <f t="shared" si="346"/>
        <v>0</v>
      </c>
      <c r="MY19" s="2246">
        <f t="shared" si="347"/>
        <v>0</v>
      </c>
      <c r="MZ19" s="2246">
        <f t="shared" si="332"/>
        <v>0</v>
      </c>
      <c r="NA19" s="2246">
        <f t="shared" si="333"/>
        <v>0</v>
      </c>
      <c r="NB19" s="2246">
        <f t="shared" si="334"/>
        <v>0</v>
      </c>
      <c r="NC19" s="2246">
        <f t="shared" si="335"/>
        <v>0</v>
      </c>
      <c r="ND19" s="2246">
        <f t="shared" si="336"/>
        <v>0</v>
      </c>
    </row>
    <row r="20" spans="1:368" ht="13.95" customHeight="1">
      <c r="A20" s="109">
        <f t="shared" si="337"/>
        <v>1</v>
      </c>
      <c r="B20" s="4012">
        <v>50</v>
      </c>
      <c r="C20" s="3984">
        <v>2</v>
      </c>
      <c r="D20" s="3985">
        <v>2</v>
      </c>
      <c r="E20" s="3986">
        <v>8</v>
      </c>
      <c r="F20" s="3986">
        <v>1015</v>
      </c>
      <c r="G20" s="3986">
        <v>681</v>
      </c>
      <c r="H20" s="3986">
        <v>613</v>
      </c>
      <c r="I20" s="3986"/>
      <c r="J20" s="4013">
        <f>IF(C20="",0,HLOOKUP(C20,'Part V-Utility Allowances'!$I$11:$M$22,12))</f>
        <v>123</v>
      </c>
      <c r="K20" s="3988"/>
      <c r="L20" s="567">
        <f t="shared" si="0"/>
        <v>490</v>
      </c>
      <c r="M20" s="567">
        <f t="shared" si="1"/>
        <v>3920</v>
      </c>
      <c r="N20" s="3989" t="s">
        <v>2887</v>
      </c>
      <c r="O20" s="3989" t="s">
        <v>39</v>
      </c>
      <c r="P20" s="3989" t="s">
        <v>2236</v>
      </c>
      <c r="Q20" s="3990" t="s">
        <v>2887</v>
      </c>
      <c r="R20" s="3991"/>
      <c r="S20" s="3992"/>
      <c r="T20" s="3993"/>
      <c r="U20" s="3994"/>
      <c r="V20" s="3994"/>
      <c r="W20" s="3995"/>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t="str">
        <f t="shared" si="15"/>
        <v/>
      </c>
      <c r="AL20" s="443" t="str">
        <f t="shared" si="16"/>
        <v/>
      </c>
      <c r="AM20" s="443" t="str">
        <f t="shared" si="17"/>
        <v/>
      </c>
      <c r="AN20" s="443" t="str">
        <f t="shared" si="18"/>
        <v/>
      </c>
      <c r="AO20" s="443">
        <f t="shared" si="19"/>
        <v>8</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t="str">
        <f t="shared" si="130"/>
        <v/>
      </c>
      <c r="EW20" s="443" t="str">
        <f t="shared" si="131"/>
        <v/>
      </c>
      <c r="EX20" s="443" t="str">
        <f t="shared" si="132"/>
        <v/>
      </c>
      <c r="EY20" s="443" t="str">
        <f t="shared" si="133"/>
        <v/>
      </c>
      <c r="EZ20" s="443">
        <f t="shared" si="134"/>
        <v>8120</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8</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t="str">
        <f t="shared" si="213"/>
        <v/>
      </c>
      <c r="IB20" s="2247" t="str">
        <f t="shared" si="214"/>
        <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f t="shared" si="249"/>
        <v>8</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t="str">
        <f t="shared" si="299"/>
        <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0</v>
      </c>
      <c r="MT20" s="2246">
        <f t="shared" si="342"/>
        <v>0</v>
      </c>
      <c r="MU20" s="2246">
        <f t="shared" si="343"/>
        <v>0</v>
      </c>
      <c r="MV20" s="2246">
        <f t="shared" si="344"/>
        <v>0</v>
      </c>
      <c r="MW20" s="2246">
        <f t="shared" si="345"/>
        <v>8</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f t="shared" si="337"/>
        <v>1</v>
      </c>
      <c r="B21" s="4012">
        <v>60</v>
      </c>
      <c r="C21" s="3984">
        <v>2</v>
      </c>
      <c r="D21" s="3985">
        <v>2</v>
      </c>
      <c r="E21" s="3986">
        <v>8</v>
      </c>
      <c r="F21" s="3986">
        <v>1015</v>
      </c>
      <c r="G21" s="3986">
        <v>817</v>
      </c>
      <c r="H21" s="3986">
        <v>628</v>
      </c>
      <c r="I21" s="3986"/>
      <c r="J21" s="4013">
        <f>IF(C21="",0,HLOOKUP(C21,'Part V-Utility Allowances'!$I$11:$M$22,12))</f>
        <v>123</v>
      </c>
      <c r="K21" s="3988"/>
      <c r="L21" s="567">
        <f t="shared" si="0"/>
        <v>505</v>
      </c>
      <c r="M21" s="567">
        <f t="shared" si="1"/>
        <v>4040</v>
      </c>
      <c r="N21" s="3989" t="s">
        <v>2887</v>
      </c>
      <c r="O21" s="3989" t="s">
        <v>39</v>
      </c>
      <c r="P21" s="3989" t="s">
        <v>2236</v>
      </c>
      <c r="Q21" s="3990" t="s">
        <v>2887</v>
      </c>
      <c r="R21" s="3991"/>
      <c r="S21" s="3992"/>
      <c r="T21" s="3993"/>
      <c r="U21" s="3994"/>
      <c r="V21" s="3994"/>
      <c r="W21" s="3995"/>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f t="shared" si="14"/>
        <v>8</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f t="shared" si="129"/>
        <v>8120</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8</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t="str">
        <f t="shared" si="214"/>
        <v/>
      </c>
      <c r="IC21" s="2247" t="str">
        <f t="shared" si="215"/>
        <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f t="shared" si="249"/>
        <v>8</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t="str">
        <f t="shared" si="299"/>
        <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0</v>
      </c>
      <c r="MW21" s="2246">
        <f t="shared" si="345"/>
        <v>8</v>
      </c>
      <c r="MX21" s="2246">
        <f t="shared" si="346"/>
        <v>0</v>
      </c>
      <c r="MY21" s="2246">
        <f t="shared" si="347"/>
        <v>0</v>
      </c>
      <c r="MZ21" s="2246">
        <f t="shared" si="332"/>
        <v>0</v>
      </c>
      <c r="NA21" s="2246">
        <f t="shared" si="333"/>
        <v>0</v>
      </c>
      <c r="NB21" s="2246">
        <f t="shared" si="334"/>
        <v>0</v>
      </c>
      <c r="NC21" s="2246">
        <f t="shared" si="335"/>
        <v>0</v>
      </c>
      <c r="ND21" s="2246">
        <f t="shared" si="336"/>
        <v>0</v>
      </c>
    </row>
    <row r="22" spans="1:368" ht="13.95" customHeight="1">
      <c r="A22" s="109">
        <f t="shared" si="337"/>
        <v>1</v>
      </c>
      <c r="B22" s="4012">
        <v>70</v>
      </c>
      <c r="C22" s="3984">
        <v>2</v>
      </c>
      <c r="D22" s="3985">
        <v>2</v>
      </c>
      <c r="E22" s="3986">
        <v>4</v>
      </c>
      <c r="F22" s="3986">
        <v>1015</v>
      </c>
      <c r="G22" s="3986">
        <v>953</v>
      </c>
      <c r="H22" s="3986">
        <v>673</v>
      </c>
      <c r="I22" s="3986"/>
      <c r="J22" s="4013">
        <f>IF(C22="",0,HLOOKUP(C22,'Part V-Utility Allowances'!$I$11:$M$22,12))</f>
        <v>123</v>
      </c>
      <c r="K22" s="3988"/>
      <c r="L22" s="567">
        <f t="shared" si="0"/>
        <v>550</v>
      </c>
      <c r="M22" s="567">
        <f t="shared" si="1"/>
        <v>2200</v>
      </c>
      <c r="N22" s="3989" t="s">
        <v>2887</v>
      </c>
      <c r="O22" s="3989" t="s">
        <v>39</v>
      </c>
      <c r="P22" s="3989" t="s">
        <v>2236</v>
      </c>
      <c r="Q22" s="3990" t="s">
        <v>2887</v>
      </c>
      <c r="R22" s="3991"/>
      <c r="S22" s="3992"/>
      <c r="T22" s="3993"/>
      <c r="U22" s="3994"/>
      <c r="V22" s="3994"/>
      <c r="W22" s="3995"/>
      <c r="X22" s="443" t="str">
        <f t="shared" si="2"/>
        <v/>
      </c>
      <c r="Y22" s="443" t="str">
        <f t="shared" si="3"/>
        <v/>
      </c>
      <c r="Z22" s="443" t="str">
        <f t="shared" si="4"/>
        <v/>
      </c>
      <c r="AA22" s="443" t="str">
        <f t="shared" si="5"/>
        <v/>
      </c>
      <c r="AB22" s="443" t="str">
        <f t="shared" si="6"/>
        <v/>
      </c>
      <c r="AC22" s="443" t="str">
        <f t="shared" si="7"/>
        <v/>
      </c>
      <c r="AD22" s="443" t="str">
        <f t="shared" si="8"/>
        <v/>
      </c>
      <c r="AE22" s="443">
        <f t="shared" si="9"/>
        <v>4</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f t="shared" si="124"/>
        <v>4060</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4</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t="str">
        <f t="shared" si="214"/>
        <v/>
      </c>
      <c r="IC22" s="2247" t="str">
        <f t="shared" si="215"/>
        <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f t="shared" si="249"/>
        <v>4</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t="str">
        <f t="shared" si="290"/>
        <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4</v>
      </c>
      <c r="MX22" s="2246">
        <f t="shared" si="346"/>
        <v>0</v>
      </c>
      <c r="MY22" s="2246">
        <f t="shared" si="347"/>
        <v>0</v>
      </c>
      <c r="MZ22" s="2246">
        <f t="shared" si="332"/>
        <v>0</v>
      </c>
      <c r="NA22" s="2246">
        <f t="shared" si="333"/>
        <v>0</v>
      </c>
      <c r="NB22" s="2246">
        <f t="shared" si="334"/>
        <v>0</v>
      </c>
      <c r="NC22" s="2246">
        <f t="shared" si="335"/>
        <v>0</v>
      </c>
      <c r="ND22" s="2246">
        <f t="shared" si="336"/>
        <v>0</v>
      </c>
    </row>
    <row r="23" spans="1:368" ht="13.95" customHeight="1">
      <c r="A23" s="109">
        <f t="shared" si="337"/>
        <v>1</v>
      </c>
      <c r="B23" s="4012">
        <v>50</v>
      </c>
      <c r="C23" s="3984">
        <v>3</v>
      </c>
      <c r="D23" s="3985">
        <v>2</v>
      </c>
      <c r="E23" s="3986">
        <v>8</v>
      </c>
      <c r="F23" s="3986">
        <v>1250</v>
      </c>
      <c r="G23" s="3986">
        <v>787</v>
      </c>
      <c r="H23" s="3986">
        <v>760</v>
      </c>
      <c r="I23" s="3986"/>
      <c r="J23" s="4013">
        <f>IF(C23="",0,HLOOKUP(C23,'Part V-Utility Allowances'!$I$11:$M$22,12))</f>
        <v>150</v>
      </c>
      <c r="K23" s="3988"/>
      <c r="L23" s="567">
        <f t="shared" si="0"/>
        <v>610</v>
      </c>
      <c r="M23" s="567">
        <f t="shared" si="1"/>
        <v>4880</v>
      </c>
      <c r="N23" s="3989" t="s">
        <v>2887</v>
      </c>
      <c r="O23" s="3989" t="s">
        <v>39</v>
      </c>
      <c r="P23" s="3989" t="s">
        <v>2236</v>
      </c>
      <c r="Q23" s="3990" t="s">
        <v>2887</v>
      </c>
      <c r="R23" s="3991"/>
      <c r="S23" s="3992"/>
      <c r="T23" s="3993"/>
      <c r="U23" s="3994"/>
      <c r="V23" s="3994"/>
      <c r="W23" s="3995"/>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f t="shared" si="20"/>
        <v>8</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f t="shared" si="135"/>
        <v>10000</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f t="shared" si="170"/>
        <v>8</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t="str">
        <f t="shared" si="213"/>
        <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f t="shared" si="250"/>
        <v>8</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0</v>
      </c>
      <c r="MW23" s="2246">
        <f t="shared" si="345"/>
        <v>0</v>
      </c>
      <c r="MX23" s="2246">
        <f t="shared" si="346"/>
        <v>8</v>
      </c>
      <c r="MY23" s="2246">
        <f t="shared" si="347"/>
        <v>0</v>
      </c>
      <c r="MZ23" s="2246">
        <f t="shared" si="332"/>
        <v>0</v>
      </c>
      <c r="NA23" s="2246">
        <f t="shared" si="333"/>
        <v>0</v>
      </c>
      <c r="NB23" s="2246">
        <f t="shared" si="334"/>
        <v>0</v>
      </c>
      <c r="NC23" s="2246">
        <f t="shared" si="335"/>
        <v>0</v>
      </c>
      <c r="ND23" s="2246">
        <f t="shared" si="336"/>
        <v>0</v>
      </c>
    </row>
    <row r="24" spans="1:368" ht="13.95" customHeight="1">
      <c r="A24" s="109">
        <f t="shared" si="337"/>
        <v>1</v>
      </c>
      <c r="B24" s="4012">
        <v>60</v>
      </c>
      <c r="C24" s="3984">
        <v>3</v>
      </c>
      <c r="D24" s="3985">
        <v>2</v>
      </c>
      <c r="E24" s="3986">
        <v>8</v>
      </c>
      <c r="F24" s="3986">
        <v>1250</v>
      </c>
      <c r="G24" s="3986">
        <v>945</v>
      </c>
      <c r="H24" s="3986">
        <v>790</v>
      </c>
      <c r="I24" s="3986"/>
      <c r="J24" s="4013">
        <f>IF(C24="",0,HLOOKUP(C24,'Part V-Utility Allowances'!$I$11:$M$22,12))</f>
        <v>150</v>
      </c>
      <c r="K24" s="3988"/>
      <c r="L24" s="567">
        <f t="shared" si="0"/>
        <v>640</v>
      </c>
      <c r="M24" s="567">
        <f t="shared" si="1"/>
        <v>5120</v>
      </c>
      <c r="N24" s="3989" t="s">
        <v>2887</v>
      </c>
      <c r="O24" s="3989" t="s">
        <v>39</v>
      </c>
      <c r="P24" s="3989" t="s">
        <v>2236</v>
      </c>
      <c r="Q24" s="3990" t="s">
        <v>2887</v>
      </c>
      <c r="R24" s="3991"/>
      <c r="S24" s="3992"/>
      <c r="T24" s="3993"/>
      <c r="U24" s="3994"/>
      <c r="V24" s="3994"/>
      <c r="W24" s="3995"/>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f t="shared" si="15"/>
        <v>8</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f t="shared" si="130"/>
        <v>10000</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f t="shared" si="170"/>
        <v>8</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t="str">
        <f t="shared" si="214"/>
        <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f t="shared" si="250"/>
        <v>8</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0</v>
      </c>
      <c r="MX24" s="2246">
        <f t="shared" si="346"/>
        <v>8</v>
      </c>
      <c r="MY24" s="2246">
        <f t="shared" si="347"/>
        <v>0</v>
      </c>
      <c r="MZ24" s="2246">
        <f t="shared" si="332"/>
        <v>0</v>
      </c>
      <c r="NA24" s="2246">
        <f t="shared" si="333"/>
        <v>0</v>
      </c>
      <c r="NB24" s="2246">
        <f t="shared" si="334"/>
        <v>0</v>
      </c>
      <c r="NC24" s="2246">
        <f t="shared" si="335"/>
        <v>0</v>
      </c>
      <c r="ND24" s="2246">
        <f t="shared" si="336"/>
        <v>0</v>
      </c>
    </row>
    <row r="25" spans="1:368" ht="13.95" customHeight="1">
      <c r="A25" s="109">
        <f t="shared" si="337"/>
        <v>1</v>
      </c>
      <c r="B25" s="4012">
        <v>70</v>
      </c>
      <c r="C25" s="3984">
        <v>3</v>
      </c>
      <c r="D25" s="3985">
        <v>2</v>
      </c>
      <c r="E25" s="3986">
        <v>4</v>
      </c>
      <c r="F25" s="3986">
        <v>1250</v>
      </c>
      <c r="G25" s="3986">
        <v>1102</v>
      </c>
      <c r="H25" s="3986">
        <v>825</v>
      </c>
      <c r="I25" s="3986"/>
      <c r="J25" s="4013">
        <f>IF(C25="",0,HLOOKUP(C25,'Part V-Utility Allowances'!$I$11:$M$22,12))</f>
        <v>150</v>
      </c>
      <c r="K25" s="3988"/>
      <c r="L25" s="567">
        <f t="shared" si="0"/>
        <v>675</v>
      </c>
      <c r="M25" s="567">
        <f t="shared" si="1"/>
        <v>2700</v>
      </c>
      <c r="N25" s="3989" t="s">
        <v>2887</v>
      </c>
      <c r="O25" s="3989" t="s">
        <v>39</v>
      </c>
      <c r="P25" s="3989" t="s">
        <v>2236</v>
      </c>
      <c r="Q25" s="3990" t="s">
        <v>2887</v>
      </c>
      <c r="R25" s="3991"/>
      <c r="S25" s="3992"/>
      <c r="T25" s="3993"/>
      <c r="U25" s="3994"/>
      <c r="V25" s="3994"/>
      <c r="W25" s="3995"/>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f t="shared" si="10"/>
        <v>4</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f t="shared" si="125"/>
        <v>5000</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f t="shared" si="170"/>
        <v>4</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f t="shared" si="250"/>
        <v>4</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4</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4012"/>
      <c r="C26" s="3984"/>
      <c r="D26" s="3985"/>
      <c r="E26" s="3986"/>
      <c r="F26" s="3986"/>
      <c r="G26" s="3986"/>
      <c r="H26" s="3986"/>
      <c r="I26" s="3986"/>
      <c r="J26" s="4013">
        <f>IF(C26="",0,HLOOKUP(C26,'Part V-Utility Allowances'!$I$11:$M$22,12))</f>
        <v>0</v>
      </c>
      <c r="K26" s="3988"/>
      <c r="L26" s="567">
        <f t="shared" si="0"/>
        <v>0</v>
      </c>
      <c r="M26" s="567">
        <f t="shared" si="1"/>
        <v>0</v>
      </c>
      <c r="N26" s="3989"/>
      <c r="O26" s="3989"/>
      <c r="P26" s="3989"/>
      <c r="Q26" s="3990"/>
      <c r="R26" s="3991"/>
      <c r="S26" s="3992"/>
      <c r="T26" s="3993"/>
      <c r="U26" s="3994"/>
      <c r="V26" s="3994"/>
      <c r="W26" s="3995"/>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4012"/>
      <c r="C27" s="3984"/>
      <c r="D27" s="3985"/>
      <c r="E27" s="3986"/>
      <c r="F27" s="3986"/>
      <c r="G27" s="3986"/>
      <c r="H27" s="3986"/>
      <c r="I27" s="3986"/>
      <c r="J27" s="4013">
        <f>IF(C27="",0,HLOOKUP(C27,'Part V-Utility Allowances'!$I$11:$M$22,12))</f>
        <v>0</v>
      </c>
      <c r="K27" s="3988"/>
      <c r="L27" s="567">
        <f t="shared" si="0"/>
        <v>0</v>
      </c>
      <c r="M27" s="567">
        <f t="shared" si="1"/>
        <v>0</v>
      </c>
      <c r="N27" s="3989"/>
      <c r="O27" s="3989"/>
      <c r="P27" s="3989"/>
      <c r="Q27" s="3990"/>
      <c r="R27" s="3991"/>
      <c r="S27" s="3992"/>
      <c r="T27" s="3993"/>
      <c r="U27" s="3994"/>
      <c r="V27" s="3994"/>
      <c r="W27" s="3995"/>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4012"/>
      <c r="C28" s="3984"/>
      <c r="D28" s="3985"/>
      <c r="E28" s="3986"/>
      <c r="F28" s="3986"/>
      <c r="G28" s="3986"/>
      <c r="H28" s="3986"/>
      <c r="I28" s="3986"/>
      <c r="J28" s="4013">
        <f>IF(C28="",0,HLOOKUP(C28,'Part V-Utility Allowances'!$I$11:$M$22,12))</f>
        <v>0</v>
      </c>
      <c r="K28" s="3988"/>
      <c r="L28" s="567">
        <f t="shared" si="0"/>
        <v>0</v>
      </c>
      <c r="M28" s="567">
        <f t="shared" si="1"/>
        <v>0</v>
      </c>
      <c r="N28" s="3989"/>
      <c r="O28" s="3989"/>
      <c r="P28" s="3989"/>
      <c r="Q28" s="3990"/>
      <c r="R28" s="3991"/>
      <c r="S28" s="3992"/>
      <c r="T28" s="3993"/>
      <c r="U28" s="3994"/>
      <c r="V28" s="3994"/>
      <c r="W28" s="3995"/>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4012"/>
      <c r="C29" s="3984"/>
      <c r="D29" s="3985"/>
      <c r="E29" s="3986"/>
      <c r="F29" s="3986"/>
      <c r="G29" s="3986"/>
      <c r="H29" s="3986"/>
      <c r="I29" s="3986"/>
      <c r="J29" s="4013">
        <f>IF(C29="",0,HLOOKUP(C29,'Part V-Utility Allowances'!$I$11:$M$22,12))</f>
        <v>0</v>
      </c>
      <c r="K29" s="3988"/>
      <c r="L29" s="567">
        <f t="shared" si="0"/>
        <v>0</v>
      </c>
      <c r="M29" s="567">
        <f t="shared" si="1"/>
        <v>0</v>
      </c>
      <c r="N29" s="3989"/>
      <c r="O29" s="3989"/>
      <c r="P29" s="3989"/>
      <c r="Q29" s="3990"/>
      <c r="R29" s="3991"/>
      <c r="S29" s="3992"/>
      <c r="T29" s="3993"/>
      <c r="U29" s="3994"/>
      <c r="V29" s="3994"/>
      <c r="W29" s="3995"/>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4012"/>
      <c r="C30" s="3984"/>
      <c r="D30" s="3985"/>
      <c r="E30" s="3986"/>
      <c r="F30" s="3986"/>
      <c r="G30" s="3986"/>
      <c r="H30" s="3986"/>
      <c r="I30" s="3986"/>
      <c r="J30" s="4013">
        <f>IF(C30="",0,HLOOKUP(C30,'Part V-Utility Allowances'!$I$11:$M$22,12))</f>
        <v>0</v>
      </c>
      <c r="K30" s="3988"/>
      <c r="L30" s="567">
        <f t="shared" si="0"/>
        <v>0</v>
      </c>
      <c r="M30" s="567">
        <f t="shared" si="1"/>
        <v>0</v>
      </c>
      <c r="N30" s="3989"/>
      <c r="O30" s="3989"/>
      <c r="P30" s="3989"/>
      <c r="Q30" s="3990"/>
      <c r="R30" s="3991"/>
      <c r="S30" s="3992"/>
      <c r="T30" s="3993"/>
      <c r="U30" s="3994"/>
      <c r="V30" s="3994"/>
      <c r="W30" s="3995"/>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4012"/>
      <c r="C31" s="3984"/>
      <c r="D31" s="3985"/>
      <c r="E31" s="3986"/>
      <c r="F31" s="3986"/>
      <c r="G31" s="3986"/>
      <c r="H31" s="3986"/>
      <c r="I31" s="3986"/>
      <c r="J31" s="4013">
        <f>IF(C31="",0,HLOOKUP(C31,'Part V-Utility Allowances'!$I$11:$M$22,12))</f>
        <v>0</v>
      </c>
      <c r="K31" s="3988"/>
      <c r="L31" s="567">
        <f t="shared" si="0"/>
        <v>0</v>
      </c>
      <c r="M31" s="567">
        <f t="shared" si="1"/>
        <v>0</v>
      </c>
      <c r="N31" s="3989"/>
      <c r="O31" s="3989"/>
      <c r="P31" s="3989"/>
      <c r="Q31" s="3990"/>
      <c r="R31" s="3991"/>
      <c r="S31" s="3992"/>
      <c r="T31" s="3993"/>
      <c r="U31" s="3994"/>
      <c r="V31" s="3994"/>
      <c r="W31" s="3995"/>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4012"/>
      <c r="C32" s="3984"/>
      <c r="D32" s="3985"/>
      <c r="E32" s="3986"/>
      <c r="F32" s="3986"/>
      <c r="G32" s="3986"/>
      <c r="H32" s="3986"/>
      <c r="I32" s="3986"/>
      <c r="J32" s="4013">
        <f>IF(C32="",0,HLOOKUP(C32,'Part V-Utility Allowances'!$I$11:$M$22,12))</f>
        <v>0</v>
      </c>
      <c r="K32" s="3988"/>
      <c r="L32" s="567">
        <f t="shared" si="0"/>
        <v>0</v>
      </c>
      <c r="M32" s="567">
        <f t="shared" si="1"/>
        <v>0</v>
      </c>
      <c r="N32" s="3989"/>
      <c r="O32" s="3989"/>
      <c r="P32" s="3989"/>
      <c r="Q32" s="3990"/>
      <c r="R32" s="3991"/>
      <c r="S32" s="3992"/>
      <c r="T32" s="3993"/>
      <c r="U32" s="3994"/>
      <c r="V32" s="3994"/>
      <c r="W32" s="3995"/>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4012"/>
      <c r="C33" s="3984"/>
      <c r="D33" s="3985"/>
      <c r="E33" s="3986"/>
      <c r="F33" s="3986"/>
      <c r="G33" s="3986"/>
      <c r="H33" s="3986"/>
      <c r="I33" s="3986"/>
      <c r="J33" s="4013">
        <f>IF(C33="",0,HLOOKUP(C33,'Part V-Utility Allowances'!$I$11:$M$22,12))</f>
        <v>0</v>
      </c>
      <c r="K33" s="3988"/>
      <c r="L33" s="567">
        <f t="shared" si="0"/>
        <v>0</v>
      </c>
      <c r="M33" s="567">
        <f t="shared" si="1"/>
        <v>0</v>
      </c>
      <c r="N33" s="3989"/>
      <c r="O33" s="3989"/>
      <c r="P33" s="3989"/>
      <c r="Q33" s="3990"/>
      <c r="R33" s="3991"/>
      <c r="S33" s="3992"/>
      <c r="T33" s="3993"/>
      <c r="U33" s="3994"/>
      <c r="V33" s="3994"/>
      <c r="W33" s="3995"/>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4012"/>
      <c r="C34" s="3984"/>
      <c r="D34" s="3985"/>
      <c r="E34" s="3986"/>
      <c r="F34" s="3986"/>
      <c r="G34" s="3986"/>
      <c r="H34" s="3986"/>
      <c r="I34" s="3986"/>
      <c r="J34" s="4013">
        <f>IF(C34="",0,HLOOKUP(C34,'Part V-Utility Allowances'!$I$11:$M$22,12))</f>
        <v>0</v>
      </c>
      <c r="K34" s="3988"/>
      <c r="L34" s="567">
        <f t="shared" si="0"/>
        <v>0</v>
      </c>
      <c r="M34" s="567">
        <f t="shared" si="1"/>
        <v>0</v>
      </c>
      <c r="N34" s="3989"/>
      <c r="O34" s="3989"/>
      <c r="P34" s="3989"/>
      <c r="Q34" s="3990"/>
      <c r="R34" s="3991"/>
      <c r="S34" s="3992"/>
      <c r="T34" s="3993"/>
      <c r="U34" s="3994"/>
      <c r="V34" s="3994"/>
      <c r="W34" s="3995"/>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4012"/>
      <c r="C35" s="3984"/>
      <c r="D35" s="3985"/>
      <c r="E35" s="3986"/>
      <c r="F35" s="3986"/>
      <c r="G35" s="3986"/>
      <c r="H35" s="3986"/>
      <c r="I35" s="3986"/>
      <c r="J35" s="4013">
        <f>IF(C35="",0,HLOOKUP(C35,'Part V-Utility Allowances'!$I$11:$M$22,12))</f>
        <v>0</v>
      </c>
      <c r="K35" s="3988"/>
      <c r="L35" s="567">
        <f t="shared" si="0"/>
        <v>0</v>
      </c>
      <c r="M35" s="567">
        <f t="shared" si="1"/>
        <v>0</v>
      </c>
      <c r="N35" s="3989"/>
      <c r="O35" s="3989"/>
      <c r="P35" s="3989"/>
      <c r="Q35" s="3990"/>
      <c r="R35" s="3991"/>
      <c r="S35" s="3992"/>
      <c r="T35" s="3993"/>
      <c r="U35" s="3994"/>
      <c r="V35" s="3994"/>
      <c r="W35" s="3995"/>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4012"/>
      <c r="C36" s="3984"/>
      <c r="D36" s="3985"/>
      <c r="E36" s="3986"/>
      <c r="F36" s="3986"/>
      <c r="G36" s="3986"/>
      <c r="H36" s="3986"/>
      <c r="I36" s="3986"/>
      <c r="J36" s="4013">
        <f>IF(C36="",0,HLOOKUP(C36,'Part V-Utility Allowances'!$I$11:$M$22,12))</f>
        <v>0</v>
      </c>
      <c r="K36" s="3988"/>
      <c r="L36" s="567">
        <f t="shared" si="0"/>
        <v>0</v>
      </c>
      <c r="M36" s="567">
        <f t="shared" si="1"/>
        <v>0</v>
      </c>
      <c r="N36" s="3989"/>
      <c r="O36" s="3989"/>
      <c r="P36" s="3989"/>
      <c r="Q36" s="3990"/>
      <c r="R36" s="3991"/>
      <c r="S36" s="3992"/>
      <c r="T36" s="3993"/>
      <c r="U36" s="3994"/>
      <c r="V36" s="3994"/>
      <c r="W36" s="3995"/>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4012"/>
      <c r="C37" s="3984"/>
      <c r="D37" s="3985"/>
      <c r="E37" s="3986"/>
      <c r="F37" s="3986"/>
      <c r="G37" s="3986"/>
      <c r="H37" s="3986"/>
      <c r="I37" s="3986"/>
      <c r="J37" s="4013">
        <f>IF(C37="",0,HLOOKUP(C37,'Part V-Utility Allowances'!$I$11:$M$22,12))</f>
        <v>0</v>
      </c>
      <c r="K37" s="3988"/>
      <c r="L37" s="567">
        <f t="shared" si="0"/>
        <v>0</v>
      </c>
      <c r="M37" s="567">
        <f t="shared" si="1"/>
        <v>0</v>
      </c>
      <c r="N37" s="3989"/>
      <c r="O37" s="3989"/>
      <c r="P37" s="3989"/>
      <c r="Q37" s="3990"/>
      <c r="R37" s="3991"/>
      <c r="S37" s="3992"/>
      <c r="T37" s="3993"/>
      <c r="U37" s="3994"/>
      <c r="V37" s="3994"/>
      <c r="W37" s="3995"/>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4012"/>
      <c r="C38" s="3984"/>
      <c r="D38" s="3985"/>
      <c r="E38" s="3986"/>
      <c r="F38" s="3986"/>
      <c r="G38" s="3986"/>
      <c r="H38" s="3986"/>
      <c r="I38" s="3986"/>
      <c r="J38" s="4013">
        <f>IF(C38="",0,HLOOKUP(C38,'Part V-Utility Allowances'!$I$11:$M$22,12))</f>
        <v>0</v>
      </c>
      <c r="K38" s="3988"/>
      <c r="L38" s="567">
        <f t="shared" si="0"/>
        <v>0</v>
      </c>
      <c r="M38" s="567">
        <f t="shared" si="1"/>
        <v>0</v>
      </c>
      <c r="N38" s="3989"/>
      <c r="O38" s="3989"/>
      <c r="P38" s="3989"/>
      <c r="Q38" s="3990"/>
      <c r="R38" s="3991"/>
      <c r="S38" s="3992"/>
      <c r="T38" s="3993"/>
      <c r="U38" s="3994"/>
      <c r="V38" s="3994"/>
      <c r="W38" s="3995"/>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4012"/>
      <c r="C39" s="3984"/>
      <c r="D39" s="3985"/>
      <c r="E39" s="3986"/>
      <c r="F39" s="3986"/>
      <c r="G39" s="3986"/>
      <c r="H39" s="3986"/>
      <c r="I39" s="3986"/>
      <c r="J39" s="4013">
        <f>IF(C39="",0,HLOOKUP(C39,'Part V-Utility Allowances'!$I$11:$M$22,12))</f>
        <v>0</v>
      </c>
      <c r="K39" s="3988"/>
      <c r="L39" s="567">
        <f t="shared" si="0"/>
        <v>0</v>
      </c>
      <c r="M39" s="567">
        <f t="shared" si="1"/>
        <v>0</v>
      </c>
      <c r="N39" s="3989"/>
      <c r="O39" s="3989"/>
      <c r="P39" s="3989"/>
      <c r="Q39" s="3990"/>
      <c r="R39" s="3991"/>
      <c r="S39" s="3992"/>
      <c r="T39" s="3993"/>
      <c r="U39" s="3994"/>
      <c r="V39" s="3994"/>
      <c r="W39" s="3995"/>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4012"/>
      <c r="C40" s="3984"/>
      <c r="D40" s="3985"/>
      <c r="E40" s="3986"/>
      <c r="F40" s="3986"/>
      <c r="G40" s="3986"/>
      <c r="H40" s="3986"/>
      <c r="I40" s="3986"/>
      <c r="J40" s="4013">
        <f>IF(C40="",0,HLOOKUP(C40,'Part V-Utility Allowances'!$I$11:$M$22,12))</f>
        <v>0</v>
      </c>
      <c r="K40" s="3988"/>
      <c r="L40" s="567">
        <f t="shared" si="0"/>
        <v>0</v>
      </c>
      <c r="M40" s="567">
        <f t="shared" si="1"/>
        <v>0</v>
      </c>
      <c r="N40" s="3989"/>
      <c r="O40" s="3989"/>
      <c r="P40" s="3989"/>
      <c r="Q40" s="3990"/>
      <c r="R40" s="3991"/>
      <c r="S40" s="3992"/>
      <c r="T40" s="3993"/>
      <c r="U40" s="3994"/>
      <c r="V40" s="3994"/>
      <c r="W40" s="3995"/>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4012"/>
      <c r="C41" s="3984"/>
      <c r="D41" s="3985"/>
      <c r="E41" s="3986"/>
      <c r="F41" s="3986"/>
      <c r="G41" s="3986"/>
      <c r="H41" s="3986"/>
      <c r="I41" s="3986"/>
      <c r="J41" s="4013">
        <f>IF(C41="",0,HLOOKUP(C41,'Part V-Utility Allowances'!$I$11:$M$22,12))</f>
        <v>0</v>
      </c>
      <c r="K41" s="3988"/>
      <c r="L41" s="567">
        <f t="shared" si="0"/>
        <v>0</v>
      </c>
      <c r="M41" s="567">
        <f t="shared" si="1"/>
        <v>0</v>
      </c>
      <c r="N41" s="3989"/>
      <c r="O41" s="3989"/>
      <c r="P41" s="3989"/>
      <c r="Q41" s="3990"/>
      <c r="R41" s="3991"/>
      <c r="S41" s="3992"/>
      <c r="T41" s="3993"/>
      <c r="U41" s="3994"/>
      <c r="V41" s="3994"/>
      <c r="W41" s="3995"/>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4012"/>
      <c r="C42" s="3984"/>
      <c r="D42" s="3985"/>
      <c r="E42" s="3986"/>
      <c r="F42" s="3986"/>
      <c r="G42" s="3986"/>
      <c r="H42" s="3986"/>
      <c r="I42" s="3986"/>
      <c r="J42" s="4013">
        <f>IF(C42="",0,HLOOKUP(C42,'Part V-Utility Allowances'!$I$11:$M$22,12))</f>
        <v>0</v>
      </c>
      <c r="K42" s="3988"/>
      <c r="L42" s="567">
        <f t="shared" si="0"/>
        <v>0</v>
      </c>
      <c r="M42" s="567">
        <f t="shared" si="1"/>
        <v>0</v>
      </c>
      <c r="N42" s="3989"/>
      <c r="O42" s="3989"/>
      <c r="P42" s="3989"/>
      <c r="Q42" s="3990"/>
      <c r="R42" s="3991"/>
      <c r="S42" s="3992"/>
      <c r="T42" s="3993"/>
      <c r="U42" s="3994"/>
      <c r="V42" s="3994"/>
      <c r="W42" s="3995"/>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4012"/>
      <c r="C43" s="3984"/>
      <c r="D43" s="3985"/>
      <c r="E43" s="3986"/>
      <c r="F43" s="3986"/>
      <c r="G43" s="3986"/>
      <c r="H43" s="3986"/>
      <c r="I43" s="3986"/>
      <c r="J43" s="4013">
        <f>IF(C43="",0,HLOOKUP(C43,'Part V-Utility Allowances'!$I$11:$M$22,12))</f>
        <v>0</v>
      </c>
      <c r="K43" s="3988"/>
      <c r="L43" s="567">
        <f t="shared" si="0"/>
        <v>0</v>
      </c>
      <c r="M43" s="567">
        <f t="shared" si="1"/>
        <v>0</v>
      </c>
      <c r="N43" s="3989"/>
      <c r="O43" s="3989"/>
      <c r="P43" s="3989"/>
      <c r="Q43" s="3990"/>
      <c r="R43" s="3991"/>
      <c r="S43" s="3992"/>
      <c r="T43" s="3993"/>
      <c r="U43" s="3994"/>
      <c r="V43" s="3994"/>
      <c r="W43" s="3995"/>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4012"/>
      <c r="C44" s="3984"/>
      <c r="D44" s="3985"/>
      <c r="E44" s="3986"/>
      <c r="F44" s="3986"/>
      <c r="G44" s="3986"/>
      <c r="H44" s="3986"/>
      <c r="I44" s="3986"/>
      <c r="J44" s="4013">
        <f>IF(C44="",0,HLOOKUP(C44,'Part V-Utility Allowances'!$I$11:$M$22,12))</f>
        <v>0</v>
      </c>
      <c r="K44" s="3988"/>
      <c r="L44" s="567">
        <f t="shared" si="0"/>
        <v>0</v>
      </c>
      <c r="M44" s="567">
        <f t="shared" si="1"/>
        <v>0</v>
      </c>
      <c r="N44" s="3989"/>
      <c r="O44" s="3989"/>
      <c r="P44" s="3989"/>
      <c r="Q44" s="3990"/>
      <c r="R44" s="3991"/>
      <c r="S44" s="3992"/>
      <c r="T44" s="3993"/>
      <c r="U44" s="3994"/>
      <c r="V44" s="3994"/>
      <c r="W44" s="3995"/>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4012"/>
      <c r="C45" s="3984"/>
      <c r="D45" s="3985"/>
      <c r="E45" s="3986"/>
      <c r="F45" s="3986"/>
      <c r="G45" s="3986"/>
      <c r="H45" s="3986"/>
      <c r="I45" s="3986"/>
      <c r="J45" s="4013">
        <f>IF(C45="",0,HLOOKUP(C45,'Part V-Utility Allowances'!$I$11:$M$22,12))</f>
        <v>0</v>
      </c>
      <c r="K45" s="3988"/>
      <c r="L45" s="567">
        <f t="shared" si="0"/>
        <v>0</v>
      </c>
      <c r="M45" s="567">
        <f t="shared" si="1"/>
        <v>0</v>
      </c>
      <c r="N45" s="3989"/>
      <c r="O45" s="3989"/>
      <c r="P45" s="3989"/>
      <c r="Q45" s="3990"/>
      <c r="R45" s="3991"/>
      <c r="S45" s="3992"/>
      <c r="T45" s="3993"/>
      <c r="U45" s="3994"/>
      <c r="V45" s="3994"/>
      <c r="W45" s="3995"/>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4012"/>
      <c r="C46" s="3984"/>
      <c r="D46" s="3985"/>
      <c r="E46" s="3986"/>
      <c r="F46" s="3986"/>
      <c r="G46" s="3986"/>
      <c r="H46" s="3986"/>
      <c r="I46" s="3986"/>
      <c r="J46" s="4013">
        <f>IF(C46="",0,HLOOKUP(C46,'Part V-Utility Allowances'!$I$11:$M$22,12))</f>
        <v>0</v>
      </c>
      <c r="K46" s="3988"/>
      <c r="L46" s="567">
        <f t="shared" si="0"/>
        <v>0</v>
      </c>
      <c r="M46" s="567">
        <f t="shared" si="1"/>
        <v>0</v>
      </c>
      <c r="N46" s="3989"/>
      <c r="O46" s="3989"/>
      <c r="P46" s="3989"/>
      <c r="Q46" s="3990"/>
      <c r="R46" s="3991"/>
      <c r="S46" s="3992"/>
      <c r="T46" s="3993"/>
      <c r="U46" s="3994"/>
      <c r="V46" s="3994"/>
      <c r="W46" s="3995"/>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4014"/>
      <c r="C47" s="4015"/>
      <c r="D47" s="4016"/>
      <c r="E47" s="4017"/>
      <c r="F47" s="4017"/>
      <c r="G47" s="4017"/>
      <c r="H47" s="4017"/>
      <c r="I47" s="4017"/>
      <c r="J47" s="4018">
        <f>IF(C47="",0,HLOOKUP(C47,'Part V-Utility Allowances'!$I$11:$M$22,12))</f>
        <v>0</v>
      </c>
      <c r="K47" s="4019"/>
      <c r="L47" s="568">
        <f t="shared" si="0"/>
        <v>0</v>
      </c>
      <c r="M47" s="568">
        <f t="shared" si="1"/>
        <v>0</v>
      </c>
      <c r="N47" s="4020"/>
      <c r="O47" s="4020"/>
      <c r="P47" s="4020"/>
      <c r="Q47" s="4021"/>
      <c r="R47" s="4022"/>
      <c r="S47" s="4023"/>
      <c r="T47" s="4024"/>
      <c r="U47" s="4025"/>
      <c r="V47" s="4025"/>
      <c r="W47" s="4026"/>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9</v>
      </c>
      <c r="B48" s="2651" t="s">
        <v>4211</v>
      </c>
      <c r="C48" s="2652"/>
      <c r="D48" s="138" t="s">
        <v>996</v>
      </c>
      <c r="E48" s="1343">
        <f>SUM(E10:E47)</f>
        <v>50</v>
      </c>
      <c r="F48" s="1341">
        <f>(E10*F10+E11*F11+E12*F12+E13*F13+E14*F14+E15*F15+E16*F16+E17*F17+E18*F18+E19*F19+E20*F20+E21*F21+E22*F22+E23*F23+E24*F24+E25*F25+E26*F26+E27*F27+E28*F28+E29*F29+E30*F30+E31*F31+E32*F32+E33*F33+E34*F34+E35*F35+E36*F36+E37*F37+E38*F38+E39*F39+E40*F40+E41*F41+E42*F42+E43*F43+E44*F44+E45*F45+E46*F46+E47*F47)</f>
        <v>53100</v>
      </c>
      <c r="H48" s="2655" t="s">
        <v>4208</v>
      </c>
      <c r="I48" s="4027" t="s">
        <v>4209</v>
      </c>
      <c r="J48" s="1344" t="str">
        <f>IF(P67=0,"",IF(SUM(P58:P62)/P67&gt;=0.4,"Pass","Fail"))</f>
        <v>Pass</v>
      </c>
      <c r="K48" s="547"/>
      <c r="L48" s="872" t="s">
        <v>1276</v>
      </c>
      <c r="M48" s="123">
        <f>SUM(M10:M47)</f>
        <v>26910</v>
      </c>
      <c r="N48" s="94"/>
      <c r="O48" s="548"/>
      <c r="P48" s="94"/>
      <c r="Q48" s="461"/>
      <c r="R48" s="461"/>
      <c r="S48" s="461"/>
      <c r="T48" s="461"/>
      <c r="U48" s="461"/>
      <c r="V48" s="855"/>
      <c r="W48" s="549"/>
      <c r="X48" s="2249">
        <f t="shared" ref="X48:FA48" si="348">SUM(X10:X47)</f>
        <v>0</v>
      </c>
      <c r="Y48" s="2249">
        <f t="shared" si="348"/>
        <v>0</v>
      </c>
      <c r="Z48" s="2249">
        <f t="shared" si="348"/>
        <v>0</v>
      </c>
      <c r="AA48" s="2249">
        <f t="shared" si="348"/>
        <v>0</v>
      </c>
      <c r="AB48" s="2249">
        <f t="shared" si="348"/>
        <v>0</v>
      </c>
      <c r="AC48" s="2249">
        <f t="shared" ref="AC48:AL48" si="349">SUM(AC10:AC47)</f>
        <v>0</v>
      </c>
      <c r="AD48" s="2249">
        <f t="shared" si="349"/>
        <v>2</v>
      </c>
      <c r="AE48" s="2249">
        <f t="shared" si="349"/>
        <v>4</v>
      </c>
      <c r="AF48" s="2249">
        <f t="shared" si="349"/>
        <v>4</v>
      </c>
      <c r="AG48" s="2249">
        <f t="shared" si="349"/>
        <v>0</v>
      </c>
      <c r="AH48" s="2249">
        <f t="shared" si="349"/>
        <v>0</v>
      </c>
      <c r="AI48" s="2249">
        <f t="shared" si="349"/>
        <v>4</v>
      </c>
      <c r="AJ48" s="2249">
        <f t="shared" si="349"/>
        <v>8</v>
      </c>
      <c r="AK48" s="2249">
        <f t="shared" si="349"/>
        <v>8</v>
      </c>
      <c r="AL48" s="2249">
        <f t="shared" si="349"/>
        <v>0</v>
      </c>
      <c r="AM48" s="2249">
        <f>SUM(AM10:AM47)</f>
        <v>0</v>
      </c>
      <c r="AN48" s="2249">
        <f>SUM(AN10:AN47)</f>
        <v>4</v>
      </c>
      <c r="AO48" s="2249">
        <f>SUM(AO10:AO47)</f>
        <v>8</v>
      </c>
      <c r="AP48" s="2249">
        <f>SUM(AP10:AP47)</f>
        <v>8</v>
      </c>
      <c r="AQ48" s="2249">
        <f>SUM(AQ10:AQ47)</f>
        <v>0</v>
      </c>
      <c r="AR48" s="2249">
        <f t="shared" si="348"/>
        <v>0</v>
      </c>
      <c r="AS48" s="2249">
        <f t="shared" si="348"/>
        <v>0</v>
      </c>
      <c r="AT48" s="2249">
        <f t="shared" si="348"/>
        <v>0</v>
      </c>
      <c r="AU48" s="2249">
        <f t="shared" si="348"/>
        <v>0</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0</v>
      </c>
      <c r="BI48" s="2249">
        <f t="shared" si="348"/>
        <v>0</v>
      </c>
      <c r="BJ48" s="2249">
        <f t="shared" si="348"/>
        <v>0</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0</v>
      </c>
      <c r="CD48" s="2249">
        <f t="shared" si="348"/>
        <v>0</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0</v>
      </c>
      <c r="EK48" s="2249">
        <f t="shared" si="348"/>
        <v>0</v>
      </c>
      <c r="EL48" s="2249">
        <f t="shared" si="348"/>
        <v>0</v>
      </c>
      <c r="EM48" s="2249">
        <f t="shared" si="348"/>
        <v>0</v>
      </c>
      <c r="EN48" s="2249">
        <f t="shared" ref="EN48:EW48" si="352">SUM(EN10:EN47)</f>
        <v>0</v>
      </c>
      <c r="EO48" s="2249">
        <f t="shared" si="352"/>
        <v>1560</v>
      </c>
      <c r="EP48" s="2249">
        <f t="shared" si="352"/>
        <v>4060</v>
      </c>
      <c r="EQ48" s="2249">
        <f t="shared" si="352"/>
        <v>5000</v>
      </c>
      <c r="ER48" s="2249">
        <f t="shared" si="352"/>
        <v>0</v>
      </c>
      <c r="ES48" s="2249">
        <f t="shared" si="352"/>
        <v>0</v>
      </c>
      <c r="ET48" s="2249">
        <f t="shared" si="352"/>
        <v>3120</v>
      </c>
      <c r="EU48" s="2249">
        <f t="shared" si="352"/>
        <v>8120</v>
      </c>
      <c r="EV48" s="2249">
        <f t="shared" si="352"/>
        <v>10000</v>
      </c>
      <c r="EW48" s="2249">
        <f t="shared" si="352"/>
        <v>0</v>
      </c>
      <c r="EX48" s="2249">
        <f t="shared" si="348"/>
        <v>0</v>
      </c>
      <c r="EY48" s="2249">
        <f t="shared" si="348"/>
        <v>3120</v>
      </c>
      <c r="EZ48" s="2249">
        <f t="shared" si="348"/>
        <v>8120</v>
      </c>
      <c r="FA48" s="2249">
        <f t="shared" si="348"/>
        <v>10000</v>
      </c>
      <c r="FB48" s="2249">
        <f t="shared" ref="FB48:HW48" si="353">SUM(FB10:FB47)</f>
        <v>0</v>
      </c>
      <c r="FC48" s="2249">
        <f>SUM(FC10:FC47)</f>
        <v>0</v>
      </c>
      <c r="FD48" s="2249">
        <f>SUM(FD10:FD47)</f>
        <v>0</v>
      </c>
      <c r="FE48" s="2249">
        <f>SUM(FE10:FE47)</f>
        <v>0</v>
      </c>
      <c r="FF48" s="2249">
        <f>SUM(FF10:FF47)</f>
        <v>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0</v>
      </c>
      <c r="FT48" s="2249">
        <f t="shared" si="353"/>
        <v>0</v>
      </c>
      <c r="FU48" s="2249">
        <f t="shared" si="353"/>
        <v>0</v>
      </c>
      <c r="FV48" s="2249">
        <f t="shared" si="353"/>
        <v>0</v>
      </c>
      <c r="FW48" s="2249">
        <f t="shared" si="353"/>
        <v>0</v>
      </c>
      <c r="FX48" s="2249">
        <f t="shared" si="353"/>
        <v>0</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10</v>
      </c>
      <c r="GI48" s="2249">
        <f t="shared" si="353"/>
        <v>20</v>
      </c>
      <c r="GJ48" s="2249">
        <f t="shared" si="353"/>
        <v>20</v>
      </c>
      <c r="GK48" s="2249">
        <f t="shared" si="353"/>
        <v>0</v>
      </c>
      <c r="GL48" s="2249">
        <f t="shared" si="353"/>
        <v>0</v>
      </c>
      <c r="GM48" s="2249">
        <f t="shared" si="353"/>
        <v>0</v>
      </c>
      <c r="GN48" s="2249">
        <f t="shared" si="353"/>
        <v>0</v>
      </c>
      <c r="GO48" s="2249">
        <f t="shared" si="353"/>
        <v>0</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0</v>
      </c>
      <c r="IB48" s="2249">
        <f t="shared" si="354"/>
        <v>0</v>
      </c>
      <c r="IC48" s="2249">
        <f t="shared" si="354"/>
        <v>0</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10</v>
      </c>
      <c r="JK48" s="2249">
        <f t="shared" si="354"/>
        <v>20</v>
      </c>
      <c r="JL48" s="2249">
        <f t="shared" si="354"/>
        <v>20</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0</v>
      </c>
      <c r="KY48" s="2249">
        <f t="shared" si="355"/>
        <v>0</v>
      </c>
      <c r="KZ48" s="2249">
        <f t="shared" si="355"/>
        <v>0</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0</v>
      </c>
      <c r="LI48" s="2249">
        <f t="shared" si="356"/>
        <v>0</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0</v>
      </c>
      <c r="MS48" s="2249">
        <f t="shared" si="355"/>
        <v>0</v>
      </c>
      <c r="MT48" s="2249">
        <f t="shared" si="355"/>
        <v>0</v>
      </c>
      <c r="MU48" s="2249">
        <f t="shared" si="355"/>
        <v>0</v>
      </c>
      <c r="MV48" s="2249">
        <f t="shared" si="355"/>
        <v>10</v>
      </c>
      <c r="MW48" s="2249">
        <f t="shared" si="355"/>
        <v>20</v>
      </c>
      <c r="MX48" s="2249">
        <f t="shared" si="355"/>
        <v>20</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2653">
        <f>IF(SUM(E17:E47)=0,"",(B17*E17+B18*E18+B19*E19+B20*E20+B21*E21+B22*E22+B23*E23+B24*E24+B25*E25+B26*E26+B27*E27+B28*E28+B29*E29+B30*E30+B31*E31+B32*E32+B33*E33+B34*E34+B35*E35+B36*E36+B37*E37+B38*E38+B39*E39+B40*E40+B41*E41+B42*E42+B43*E43+B44*E44+B45*E45+B46*E46+B47*E47)/SUM(E17:E47))</f>
        <v>58</v>
      </c>
      <c r="C49" s="2654"/>
      <c r="D49" s="2375" t="s">
        <v>4118</v>
      </c>
      <c r="E49" s="1340">
        <f>SUM(E17:E47)</f>
        <v>50</v>
      </c>
      <c r="F49" s="1342">
        <f>(E17*F17+E18*F18+E19*F19+E20*F20+E21*F21+E22*F22+E23*F23+E24*F24+E25*F25+E26*F26+E27*F27+E28*F28+E29*F29+E30*F30+E31*F31+E32*F32+E33*F33+E34*F34+E35*F35+E36*F36+E37*F37+E38*F38+E39*F39+E40*F40+E41*F41+E42*F42+E43*F43+E44*F44+E45*F45+E46*F46+E47*F47)</f>
        <v>53100</v>
      </c>
      <c r="H49" s="2656"/>
      <c r="I49" s="4028" t="s">
        <v>4210</v>
      </c>
      <c r="J49" s="1345" t="str">
        <f>IF(P67=0,"",IF(SUM(P59:P62)/P67&gt;=0.2,"Pass","Fail"))</f>
        <v>Pass</v>
      </c>
      <c r="K49" s="547"/>
      <c r="L49" s="138" t="s">
        <v>794</v>
      </c>
      <c r="M49" s="123">
        <f>M48*12</f>
        <v>322920</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2650" t="s">
        <v>2552</v>
      </c>
      <c r="B51" s="4029"/>
      <c r="C51" s="4029"/>
      <c r="D51" s="4029"/>
      <c r="E51" s="4029"/>
      <c r="F51" s="4029"/>
      <c r="G51" s="4029"/>
      <c r="H51" s="4029"/>
      <c r="I51" s="4029"/>
      <c r="J51" s="4029"/>
      <c r="K51" s="4029"/>
      <c r="L51" s="4029"/>
      <c r="M51" s="4029"/>
      <c r="N51" s="4029"/>
      <c r="O51" s="4029"/>
      <c r="P51" s="4029"/>
      <c r="Q51" s="4029"/>
      <c r="R51" s="4030"/>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4029"/>
      <c r="B52" s="4029"/>
      <c r="C52" s="4029"/>
      <c r="D52" s="4029"/>
      <c r="E52" s="4029"/>
      <c r="F52" s="4029"/>
      <c r="G52" s="4029"/>
      <c r="H52" s="4029"/>
      <c r="I52" s="4029"/>
      <c r="J52" s="4029"/>
      <c r="K52" s="4029"/>
      <c r="L52" s="4029"/>
      <c r="M52" s="4029"/>
      <c r="N52" s="4029"/>
      <c r="O52" s="4029"/>
      <c r="P52" s="4029"/>
      <c r="Q52" s="4029"/>
      <c r="R52" s="4030"/>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722</v>
      </c>
      <c r="B53" s="13" t="s">
        <v>519</v>
      </c>
      <c r="L53" s="2644" t="str">
        <f>'Part I-Project Information'!$K$94</f>
        <v>Income Averaging</v>
      </c>
      <c r="M53" s="2645"/>
      <c r="N53" s="2645"/>
      <c r="O53" s="2646"/>
      <c r="P53" s="82"/>
      <c r="S53" s="2659" t="str">
        <f>B53</f>
        <v>UNIT SUMMARY</v>
      </c>
      <c r="T53" s="2659"/>
      <c r="U53" s="2659"/>
      <c r="V53" s="2659"/>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2640" t="s">
        <v>4804</v>
      </c>
      <c r="B56" s="2640"/>
      <c r="C56" s="94" t="s">
        <v>1115</v>
      </c>
      <c r="D56" s="1"/>
      <c r="E56" s="1"/>
      <c r="F56" s="1"/>
      <c r="G56" s="82"/>
      <c r="H56" s="110" t="s">
        <v>4119</v>
      </c>
      <c r="I56" s="36"/>
      <c r="J56" s="82"/>
      <c r="K56" s="1353">
        <f>X48</f>
        <v>0</v>
      </c>
      <c r="L56" s="1354">
        <f>Y48</f>
        <v>0</v>
      </c>
      <c r="M56" s="1354">
        <f>Z48</f>
        <v>0</v>
      </c>
      <c r="N56" s="1354">
        <f>AA48</f>
        <v>0</v>
      </c>
      <c r="O56" s="1355">
        <f>AB48</f>
        <v>0</v>
      </c>
      <c r="P56" s="919">
        <f t="shared" ref="P56:P67" si="357">SUM(K56:O56)</f>
        <v>0</v>
      </c>
      <c r="Q56" s="2647" t="s">
        <v>3494</v>
      </c>
      <c r="R56" s="2382"/>
      <c r="S56" s="4031"/>
      <c r="T56" s="4032"/>
      <c r="U56" s="4032"/>
      <c r="V56" s="4032"/>
      <c r="W56" s="4033"/>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40"/>
      <c r="B57" s="2640"/>
      <c r="C57" s="94"/>
      <c r="D57" s="1"/>
      <c r="E57" s="1"/>
      <c r="F57" s="1"/>
      <c r="G57" s="82"/>
      <c r="H57" s="110" t="s">
        <v>4120</v>
      </c>
      <c r="I57" s="36"/>
      <c r="J57" s="82"/>
      <c r="K57" s="1356">
        <f>AC48</f>
        <v>0</v>
      </c>
      <c r="L57" s="1357">
        <f>AD48</f>
        <v>2</v>
      </c>
      <c r="M57" s="1357">
        <f>AE48</f>
        <v>4</v>
      </c>
      <c r="N57" s="1357">
        <f>AF48</f>
        <v>4</v>
      </c>
      <c r="O57" s="1358">
        <f>AG48</f>
        <v>0</v>
      </c>
      <c r="P57" s="914">
        <f t="shared" si="357"/>
        <v>10</v>
      </c>
      <c r="Q57" s="2647"/>
      <c r="R57" s="2382"/>
      <c r="S57" s="3993"/>
      <c r="T57" s="3994"/>
      <c r="U57" s="3994"/>
      <c r="V57" s="3994"/>
      <c r="W57" s="3995"/>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40"/>
      <c r="B58" s="2640"/>
      <c r="C58" s="94"/>
      <c r="D58" s="1"/>
      <c r="E58" s="1"/>
      <c r="F58" s="1"/>
      <c r="G58" s="82"/>
      <c r="H58" s="110" t="s">
        <v>1127</v>
      </c>
      <c r="I58" s="36"/>
      <c r="J58" s="82"/>
      <c r="K58" s="1356">
        <f>AH48</f>
        <v>0</v>
      </c>
      <c r="L58" s="1357">
        <f>AI48</f>
        <v>4</v>
      </c>
      <c r="M58" s="1357">
        <f>AJ48</f>
        <v>8</v>
      </c>
      <c r="N58" s="1357">
        <f>AK48</f>
        <v>8</v>
      </c>
      <c r="O58" s="1358">
        <f>AL48</f>
        <v>0</v>
      </c>
      <c r="P58" s="914">
        <f t="shared" si="357"/>
        <v>20</v>
      </c>
      <c r="Q58" s="2647"/>
      <c r="R58" s="2382"/>
      <c r="S58" s="3993"/>
      <c r="T58" s="3994"/>
      <c r="U58" s="3994"/>
      <c r="V58" s="3994"/>
      <c r="W58" s="3995"/>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40"/>
      <c r="B59" s="2640"/>
      <c r="C59" s="94"/>
      <c r="D59" s="1"/>
      <c r="E59" s="1"/>
      <c r="F59" s="1"/>
      <c r="G59" s="82"/>
      <c r="H59" s="103" t="s">
        <v>115</v>
      </c>
      <c r="I59" s="52"/>
      <c r="J59" s="1094"/>
      <c r="K59" s="1377">
        <f>AM48</f>
        <v>0</v>
      </c>
      <c r="L59" s="1378">
        <f>AN48</f>
        <v>4</v>
      </c>
      <c r="M59" s="1378">
        <f>AO48</f>
        <v>8</v>
      </c>
      <c r="N59" s="1378">
        <f>AP48</f>
        <v>8</v>
      </c>
      <c r="O59" s="1379">
        <f>AQ48</f>
        <v>0</v>
      </c>
      <c r="P59" s="572">
        <f t="shared" si="357"/>
        <v>20</v>
      </c>
      <c r="Q59" s="2647"/>
      <c r="R59" s="2382"/>
      <c r="S59" s="3993"/>
      <c r="T59" s="3994"/>
      <c r="U59" s="3994"/>
      <c r="V59" s="3994"/>
      <c r="W59" s="3995"/>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40"/>
      <c r="B60" s="2640"/>
      <c r="C60" s="94"/>
      <c r="D60" s="1"/>
      <c r="E60" s="1"/>
      <c r="F60" s="1"/>
      <c r="G60" s="82"/>
      <c r="H60" s="103" t="s">
        <v>4121</v>
      </c>
      <c r="I60" s="52"/>
      <c r="J60" s="1094"/>
      <c r="K60" s="1356">
        <f>AR48</f>
        <v>0</v>
      </c>
      <c r="L60" s="1357">
        <f>AS48</f>
        <v>0</v>
      </c>
      <c r="M60" s="1357">
        <f>AT48</f>
        <v>0</v>
      </c>
      <c r="N60" s="1357">
        <f>AU48</f>
        <v>0</v>
      </c>
      <c r="O60" s="1358">
        <f>AV48</f>
        <v>0</v>
      </c>
      <c r="P60" s="914">
        <f t="shared" si="357"/>
        <v>0</v>
      </c>
      <c r="Q60" s="2647"/>
      <c r="R60" s="2382"/>
      <c r="S60" s="3993"/>
      <c r="T60" s="3994"/>
      <c r="U60" s="3994"/>
      <c r="V60" s="3994"/>
      <c r="W60" s="3995"/>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40"/>
      <c r="B61" s="2640"/>
      <c r="C61" s="94"/>
      <c r="D61" s="1"/>
      <c r="E61" s="1"/>
      <c r="F61" s="1"/>
      <c r="G61" s="82"/>
      <c r="H61" s="110" t="s">
        <v>4122</v>
      </c>
      <c r="I61" s="36"/>
      <c r="J61" s="82"/>
      <c r="K61" s="1356">
        <f>AW48</f>
        <v>0</v>
      </c>
      <c r="L61" s="1357">
        <f>AX48</f>
        <v>0</v>
      </c>
      <c r="M61" s="1357">
        <f>AY48</f>
        <v>0</v>
      </c>
      <c r="N61" s="1357">
        <f>AZ48</f>
        <v>0</v>
      </c>
      <c r="O61" s="1358">
        <f>BA48</f>
        <v>0</v>
      </c>
      <c r="P61" s="914">
        <f t="shared" si="357"/>
        <v>0</v>
      </c>
      <c r="Q61" s="2647"/>
      <c r="R61" s="2382"/>
      <c r="S61" s="3993"/>
      <c r="T61" s="3994"/>
      <c r="U61" s="3994"/>
      <c r="V61" s="3994"/>
      <c r="W61" s="3995"/>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40"/>
      <c r="B62" s="2640"/>
      <c r="C62" s="4"/>
      <c r="D62" s="1"/>
      <c r="E62" s="1"/>
      <c r="F62" s="1"/>
      <c r="G62" s="82"/>
      <c r="H62" s="110" t="s">
        <v>4123</v>
      </c>
      <c r="I62" s="36"/>
      <c r="J62" s="82"/>
      <c r="K62" s="1359">
        <f>BB48</f>
        <v>0</v>
      </c>
      <c r="L62" s="1360">
        <f>BC48</f>
        <v>0</v>
      </c>
      <c r="M62" s="1360">
        <f>BD48</f>
        <v>0</v>
      </c>
      <c r="N62" s="1360">
        <f>BE48</f>
        <v>0</v>
      </c>
      <c r="O62" s="1361">
        <f>BF48</f>
        <v>0</v>
      </c>
      <c r="P62" s="572">
        <f t="shared" si="357"/>
        <v>0</v>
      </c>
      <c r="Q62" s="2647"/>
      <c r="R62" s="2382"/>
      <c r="S62" s="3993"/>
      <c r="T62" s="3994"/>
      <c r="U62" s="3994"/>
      <c r="V62" s="3994"/>
      <c r="W62" s="3995"/>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2640"/>
      <c r="B63" s="2640"/>
      <c r="C63" s="110" t="s">
        <v>4205</v>
      </c>
      <c r="D63" s="1"/>
      <c r="E63" s="1"/>
      <c r="F63" s="1"/>
      <c r="G63" s="82"/>
      <c r="H63" s="89"/>
      <c r="I63" s="55"/>
      <c r="J63" s="82"/>
      <c r="K63" s="1327">
        <f>SUM(K56:K62)</f>
        <v>0</v>
      </c>
      <c r="L63" s="1327">
        <f>SUM(L56:L62)</f>
        <v>10</v>
      </c>
      <c r="M63" s="1327">
        <f>SUM(M56:M62)</f>
        <v>20</v>
      </c>
      <c r="N63" s="1327">
        <f>SUM(N56:N62)</f>
        <v>20</v>
      </c>
      <c r="O63" s="1327">
        <f>SUM(O56:O62)</f>
        <v>0</v>
      </c>
      <c r="P63" s="1327">
        <f t="shared" si="357"/>
        <v>50</v>
      </c>
      <c r="Q63" s="2648"/>
      <c r="S63" s="3993"/>
      <c r="T63" s="3994"/>
      <c r="U63" s="3994"/>
      <c r="V63" s="3994"/>
      <c r="W63" s="3995"/>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2640"/>
      <c r="B64" s="2640"/>
      <c r="D64" s="1"/>
      <c r="E64" s="1"/>
      <c r="F64" s="1"/>
      <c r="G64" s="82"/>
      <c r="H64" s="110" t="s">
        <v>298</v>
      </c>
      <c r="I64" s="36"/>
      <c r="J64" s="82"/>
      <c r="K64" s="915">
        <f>BG48</f>
        <v>0</v>
      </c>
      <c r="L64" s="915">
        <f>BH48</f>
        <v>0</v>
      </c>
      <c r="M64" s="915">
        <f>BI48</f>
        <v>0</v>
      </c>
      <c r="N64" s="915">
        <f>BJ48</f>
        <v>0</v>
      </c>
      <c r="O64" s="915">
        <f>BK48</f>
        <v>0</v>
      </c>
      <c r="P64" s="915">
        <f t="shared" si="357"/>
        <v>0</v>
      </c>
      <c r="S64" s="3993"/>
      <c r="T64" s="3994"/>
      <c r="U64" s="3994"/>
      <c r="V64" s="3994"/>
      <c r="W64" s="3995"/>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40"/>
      <c r="B65" s="2640"/>
      <c r="C65" s="1334" t="s">
        <v>1116</v>
      </c>
      <c r="D65" s="1334"/>
      <c r="E65" s="1334"/>
      <c r="F65" s="1334"/>
      <c r="G65" s="1335"/>
      <c r="H65" s="1753"/>
      <c r="I65" s="49"/>
      <c r="J65" s="1335"/>
      <c r="K65" s="1336">
        <f>SUM(K63:K64)</f>
        <v>0</v>
      </c>
      <c r="L65" s="1336">
        <f>SUM(L63:L64)</f>
        <v>10</v>
      </c>
      <c r="M65" s="1336">
        <f>SUM(M63:M64)</f>
        <v>20</v>
      </c>
      <c r="N65" s="1336">
        <f>SUM(N63:N64)</f>
        <v>20</v>
      </c>
      <c r="O65" s="1336">
        <f>SUM(O63:O64)</f>
        <v>0</v>
      </c>
      <c r="P65" s="1336">
        <f t="shared" si="357"/>
        <v>50</v>
      </c>
      <c r="S65" s="3993"/>
      <c r="T65" s="3994"/>
      <c r="U65" s="3994"/>
      <c r="V65" s="3994"/>
      <c r="W65" s="3995"/>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40"/>
      <c r="B66" s="2640"/>
      <c r="D66" s="1"/>
      <c r="E66" s="1"/>
      <c r="F66" s="1"/>
      <c r="G66" s="82"/>
      <c r="H66" s="110" t="s">
        <v>2444</v>
      </c>
      <c r="I66" s="36"/>
      <c r="J66" s="82"/>
      <c r="K66" s="915">
        <f>ED48</f>
        <v>0</v>
      </c>
      <c r="L66" s="915">
        <f>EE48</f>
        <v>0</v>
      </c>
      <c r="M66" s="915">
        <f>EF48</f>
        <v>0</v>
      </c>
      <c r="N66" s="915">
        <f>EG48</f>
        <v>0</v>
      </c>
      <c r="O66" s="915">
        <f>EH48</f>
        <v>0</v>
      </c>
      <c r="P66" s="915">
        <f t="shared" si="357"/>
        <v>0</v>
      </c>
      <c r="Q66" s="483" t="s">
        <v>3495</v>
      </c>
      <c r="S66" s="3993"/>
      <c r="T66" s="3994"/>
      <c r="U66" s="3994"/>
      <c r="V66" s="3994"/>
      <c r="W66" s="3995"/>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40"/>
      <c r="B67" s="2640"/>
      <c r="C67" s="4" t="s">
        <v>1749</v>
      </c>
      <c r="D67" s="1"/>
      <c r="E67" s="1"/>
      <c r="F67" s="1"/>
      <c r="G67" s="82"/>
      <c r="H67" s="110"/>
      <c r="I67" s="36"/>
      <c r="J67" s="82"/>
      <c r="K67" s="1326">
        <f>SUM(K65:K66)</f>
        <v>0</v>
      </c>
      <c r="L67" s="1326">
        <f>SUM(L65:L66)</f>
        <v>10</v>
      </c>
      <c r="M67" s="1326">
        <f>SUM(M65:M66)</f>
        <v>20</v>
      </c>
      <c r="N67" s="1326">
        <f>SUM(N65:N66)</f>
        <v>20</v>
      </c>
      <c r="O67" s="1326">
        <f>SUM(O65:O66)</f>
        <v>0</v>
      </c>
      <c r="P67" s="1326">
        <f t="shared" si="357"/>
        <v>50</v>
      </c>
      <c r="S67" s="4024"/>
      <c r="T67" s="4025"/>
      <c r="U67" s="4025"/>
      <c r="V67" s="4025"/>
      <c r="W67" s="4026"/>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40"/>
      <c r="B68" s="2640"/>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40"/>
      <c r="B69" s="2640"/>
      <c r="C69" s="2672" t="s">
        <v>4224</v>
      </c>
      <c r="D69" s="2672"/>
      <c r="E69" s="2672"/>
      <c r="F69" s="2672"/>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40"/>
      <c r="B70" s="2640"/>
      <c r="C70" s="2672"/>
      <c r="D70" s="2672"/>
      <c r="E70" s="2672"/>
      <c r="F70" s="2672"/>
      <c r="G70" s="8"/>
      <c r="H70" s="110" t="s">
        <v>4119</v>
      </c>
      <c r="I70" s="36"/>
      <c r="J70" s="1741"/>
      <c r="K70" s="4034" t="str">
        <f t="shared" ref="K70:P70" si="358">IF(OR(K56=0,K$67=0),"",K56/K$67)</f>
        <v/>
      </c>
      <c r="L70" s="4035" t="str">
        <f t="shared" si="358"/>
        <v/>
      </c>
      <c r="M70" s="4035" t="str">
        <f t="shared" si="358"/>
        <v/>
      </c>
      <c r="N70" s="4035" t="str">
        <f t="shared" si="358"/>
        <v/>
      </c>
      <c r="O70" s="4035" t="str">
        <f t="shared" si="358"/>
        <v/>
      </c>
      <c r="P70" s="4036" t="str">
        <f t="shared" si="358"/>
        <v/>
      </c>
      <c r="Q70" s="40" t="s">
        <v>4777</v>
      </c>
      <c r="S70" s="4031"/>
      <c r="T70" s="4032"/>
      <c r="U70" s="4032"/>
      <c r="V70" s="4032"/>
      <c r="W70" s="4033"/>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40"/>
      <c r="B71" s="2640"/>
      <c r="C71" s="1476"/>
      <c r="D71" s="8"/>
      <c r="E71" s="8"/>
      <c r="F71" s="8"/>
      <c r="G71" s="8"/>
      <c r="H71" s="110" t="s">
        <v>4799</v>
      </c>
      <c r="I71" s="36"/>
      <c r="J71" s="1"/>
      <c r="K71" s="4037" t="str">
        <f>IF(OR(K56=0,$P70="",K$67=0),"",$P70*K$67)</f>
        <v/>
      </c>
      <c r="L71" s="4037" t="str">
        <f>IF(OR(L56=0,$P70="",L$67=0),"",$P70*L$67)</f>
        <v/>
      </c>
      <c r="M71" s="4037" t="str">
        <f>IF(OR(M56=0,$P70="",M$67=0),"",$P70*M$67)</f>
        <v/>
      </c>
      <c r="N71" s="4037" t="str">
        <f>IF(OR(N56=0,$P70="",N$67=0),"",$P70*N$67)</f>
        <v/>
      </c>
      <c r="O71" s="4037" t="str">
        <f>IF(OR(O56=0,$P70="",O$67=0),"",$P70*O$67)</f>
        <v/>
      </c>
      <c r="P71" s="4038" t="str">
        <f>IF(OR($P70="",P$67=0),"",$P70*P$67)</f>
        <v/>
      </c>
      <c r="S71" s="3993"/>
      <c r="T71" s="3994"/>
      <c r="U71" s="3994"/>
      <c r="V71" s="3994"/>
      <c r="W71" s="3995"/>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39" t="s">
        <v>4800</v>
      </c>
      <c r="I72" s="4040"/>
      <c r="J72" s="1"/>
      <c r="K72" s="4041" t="str">
        <f t="shared" ref="K72:P72" si="359">IF(OR(K71="",K56=0),"", K56-K71)</f>
        <v/>
      </c>
      <c r="L72" s="4042" t="str">
        <f t="shared" si="359"/>
        <v/>
      </c>
      <c r="M72" s="4042" t="str">
        <f t="shared" si="359"/>
        <v/>
      </c>
      <c r="N72" s="4042" t="str">
        <f t="shared" si="359"/>
        <v/>
      </c>
      <c r="O72" s="4042" t="str">
        <f t="shared" si="359"/>
        <v/>
      </c>
      <c r="P72" s="4043" t="str">
        <f t="shared" si="359"/>
        <v/>
      </c>
      <c r="S72" s="3993"/>
      <c r="T72" s="3994"/>
      <c r="U72" s="3994"/>
      <c r="V72" s="3994"/>
      <c r="W72" s="3995"/>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44" t="s">
        <v>4776</v>
      </c>
      <c r="E73" s="4044"/>
      <c r="F73" s="4044"/>
      <c r="G73" s="8"/>
      <c r="H73" s="110" t="s">
        <v>4120</v>
      </c>
      <c r="I73" s="36"/>
      <c r="J73" s="1"/>
      <c r="K73" s="4045" t="str">
        <f t="shared" ref="K73:P73" si="360">IF(OR(K57=0,K$67=0),"",K57/K$67)</f>
        <v/>
      </c>
      <c r="L73" s="4046">
        <f t="shared" si="360"/>
        <v>0.2</v>
      </c>
      <c r="M73" s="4046">
        <f t="shared" si="360"/>
        <v>0.2</v>
      </c>
      <c r="N73" s="4046">
        <f t="shared" si="360"/>
        <v>0.2</v>
      </c>
      <c r="O73" s="4046" t="str">
        <f t="shared" si="360"/>
        <v/>
      </c>
      <c r="P73" s="4047">
        <f t="shared" si="360"/>
        <v>0.2</v>
      </c>
      <c r="S73" s="3993"/>
      <c r="T73" s="3994"/>
      <c r="U73" s="3994"/>
      <c r="V73" s="3994"/>
      <c r="W73" s="3995"/>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44"/>
      <c r="E74" s="4044"/>
      <c r="F74" s="4044"/>
      <c r="G74" s="8"/>
      <c r="H74" s="110" t="s">
        <v>4799</v>
      </c>
      <c r="I74" s="36"/>
      <c r="J74" s="1"/>
      <c r="K74" s="4037" t="str">
        <f>IF(OR(K57=0,$P73="",K$67=0),"",$P73*K$67)</f>
        <v/>
      </c>
      <c r="L74" s="4037">
        <f>IF(OR(L57=0,$P73="",L$67=0),"",$P73*L$67)</f>
        <v>2</v>
      </c>
      <c r="M74" s="4037">
        <f>IF(OR(M57=0,$P73="",M$67=0),"",$P73*M$67)</f>
        <v>4</v>
      </c>
      <c r="N74" s="4037">
        <f>IF(OR(N57=0,$P73="",N$67=0),"",$P73*N$67)</f>
        <v>4</v>
      </c>
      <c r="O74" s="4037" t="str">
        <f>IF(OR(O57=0,$P73="",O$67=0),"",$P73*O$67)</f>
        <v/>
      </c>
      <c r="P74" s="4038">
        <f>IF(OR($P73="",P$67=0),"",$P73*P$67)</f>
        <v>10</v>
      </c>
      <c r="S74" s="3993"/>
      <c r="T74" s="3994"/>
      <c r="U74" s="3994"/>
      <c r="V74" s="3994"/>
      <c r="W74" s="3995"/>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44"/>
      <c r="E75" s="4044"/>
      <c r="F75" s="4044"/>
      <c r="G75" s="8"/>
      <c r="H75" s="4039" t="s">
        <v>4800</v>
      </c>
      <c r="I75" s="4040"/>
      <c r="J75" s="1"/>
      <c r="K75" s="4041" t="str">
        <f t="shared" ref="K75:P75" si="361">IF(OR(K74="",K57=0),"", K57-K74)</f>
        <v/>
      </c>
      <c r="L75" s="4041">
        <f t="shared" si="361"/>
        <v>0</v>
      </c>
      <c r="M75" s="4041">
        <f t="shared" si="361"/>
        <v>0</v>
      </c>
      <c r="N75" s="4041">
        <f t="shared" si="361"/>
        <v>0</v>
      </c>
      <c r="O75" s="4041" t="str">
        <f t="shared" si="361"/>
        <v/>
      </c>
      <c r="P75" s="4041">
        <f t="shared" si="361"/>
        <v>0</v>
      </c>
      <c r="S75" s="3993"/>
      <c r="T75" s="3994"/>
      <c r="U75" s="3994"/>
      <c r="V75" s="3994"/>
      <c r="W75" s="3995"/>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4775</v>
      </c>
      <c r="D76" s="4044"/>
      <c r="E76" s="4044"/>
      <c r="F76" s="4044"/>
      <c r="G76" s="8"/>
      <c r="H76" s="110" t="s">
        <v>1127</v>
      </c>
      <c r="I76" s="36"/>
      <c r="J76" s="1"/>
      <c r="K76" s="4045" t="str">
        <f t="shared" ref="K76:P76" si="362">IF(OR(K58=0,K$67=0),"",K58/K$67)</f>
        <v/>
      </c>
      <c r="L76" s="4046">
        <f t="shared" si="362"/>
        <v>0.4</v>
      </c>
      <c r="M76" s="4046">
        <f t="shared" si="362"/>
        <v>0.4</v>
      </c>
      <c r="N76" s="4046">
        <f t="shared" si="362"/>
        <v>0.4</v>
      </c>
      <c r="O76" s="4046" t="str">
        <f t="shared" si="362"/>
        <v/>
      </c>
      <c r="P76" s="4047">
        <f t="shared" si="362"/>
        <v>0.4</v>
      </c>
      <c r="S76" s="3993"/>
      <c r="T76" s="3994"/>
      <c r="U76" s="3994"/>
      <c r="V76" s="3994"/>
      <c r="W76" s="3995"/>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4"/>
      <c r="E77" s="4044"/>
      <c r="F77" s="4044"/>
      <c r="G77" s="8"/>
      <c r="H77" s="110" t="s">
        <v>4799</v>
      </c>
      <c r="I77" s="36"/>
      <c r="J77" s="1"/>
      <c r="K77" s="4037" t="str">
        <f>IF(OR(K58=0,$P76="",K$67=0),"",$P76*K$67)</f>
        <v/>
      </c>
      <c r="L77" s="4037">
        <f>IF(OR(L58=0,$P76="",L$67=0),"",$P76*L$67)</f>
        <v>4</v>
      </c>
      <c r="M77" s="4037">
        <f>IF(OR(M58=0,$P76="",M$67=0),"",$P76*M$67)</f>
        <v>8</v>
      </c>
      <c r="N77" s="4037">
        <f>IF(OR(N58=0,$P76="",N$67=0),"",$P76*N$67)</f>
        <v>8</v>
      </c>
      <c r="O77" s="4037" t="str">
        <f>IF(OR(O58=0,$P76="",O$67=0),"",$P76*O$67)</f>
        <v/>
      </c>
      <c r="P77" s="4038">
        <f>IF(OR($P76="",P$67=0),"",$P76*P$67)</f>
        <v>20</v>
      </c>
      <c r="S77" s="4024"/>
      <c r="T77" s="4025"/>
      <c r="U77" s="4025"/>
      <c r="V77" s="4025"/>
      <c r="W77" s="4026"/>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39" t="s">
        <v>4800</v>
      </c>
      <c r="I78" s="4040"/>
      <c r="J78" s="1"/>
      <c r="K78" s="4041" t="str">
        <f t="shared" ref="K78:P78" si="363">IF(OR(K77="",K58=0),"", K58-K77)</f>
        <v/>
      </c>
      <c r="L78" s="4041">
        <f t="shared" si="363"/>
        <v>0</v>
      </c>
      <c r="M78" s="4041">
        <f t="shared" si="363"/>
        <v>0</v>
      </c>
      <c r="N78" s="4041">
        <f t="shared" si="363"/>
        <v>0</v>
      </c>
      <c r="O78" s="4041" t="str">
        <f t="shared" si="363"/>
        <v/>
      </c>
      <c r="P78" s="4041">
        <f t="shared" si="363"/>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4775</v>
      </c>
      <c r="D79" s="4048"/>
      <c r="E79" s="4048"/>
      <c r="F79" s="8"/>
      <c r="G79" s="8"/>
      <c r="H79" s="110" t="s">
        <v>115</v>
      </c>
      <c r="I79" s="36"/>
      <c r="J79" s="1"/>
      <c r="K79" s="4045" t="str">
        <f t="shared" ref="K79:P79" si="364">IF(OR(K59=0,K$67=0),"",K59/K$67)</f>
        <v/>
      </c>
      <c r="L79" s="4046">
        <f t="shared" si="364"/>
        <v>0.4</v>
      </c>
      <c r="M79" s="4046">
        <f t="shared" si="364"/>
        <v>0.4</v>
      </c>
      <c r="N79" s="4046">
        <f t="shared" si="364"/>
        <v>0.4</v>
      </c>
      <c r="O79" s="4046" t="str">
        <f t="shared" si="364"/>
        <v/>
      </c>
      <c r="P79" s="4047">
        <f t="shared" si="364"/>
        <v>0.4</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48"/>
      <c r="E80" s="4048"/>
      <c r="F80" s="8"/>
      <c r="G80" s="8"/>
      <c r="H80" s="110" t="s">
        <v>4799</v>
      </c>
      <c r="I80" s="36"/>
      <c r="J80" s="1"/>
      <c r="K80" s="4037" t="str">
        <f>IF(OR(K59=0,$P79="",K$67=0),"",$P79*K$67)</f>
        <v/>
      </c>
      <c r="L80" s="4037">
        <f>IF(OR(L59=0,$P79="",L$67=0),"",$P79*L$67)</f>
        <v>4</v>
      </c>
      <c r="M80" s="4037">
        <f>IF(OR(M59=0,$P79="",M$67=0),"",$P79*M$67)</f>
        <v>8</v>
      </c>
      <c r="N80" s="4037">
        <f>IF(OR(N59=0,$P79="",N$67=0),"",$P79*N$67)</f>
        <v>8</v>
      </c>
      <c r="O80" s="4037" t="str">
        <f>IF(OR(O59=0,$P79="",O$67=0),"",$P79*O$67)</f>
        <v/>
      </c>
      <c r="P80" s="4038">
        <f>IF(OR($P79="",P$67=0),"",$P79*P$67)</f>
        <v>20</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48"/>
      <c r="E81" s="4048"/>
      <c r="F81" s="8"/>
      <c r="G81" s="8"/>
      <c r="H81" s="4039" t="s">
        <v>4800</v>
      </c>
      <c r="I81" s="4040"/>
      <c r="J81" s="1"/>
      <c r="K81" s="4041" t="str">
        <f t="shared" ref="K81:P81" si="365">IF(OR(K80="",K59=0),"", K59-K80)</f>
        <v/>
      </c>
      <c r="L81" s="4041">
        <f t="shared" si="365"/>
        <v>0</v>
      </c>
      <c r="M81" s="4041">
        <f t="shared" si="365"/>
        <v>0</v>
      </c>
      <c r="N81" s="4041">
        <f t="shared" si="365"/>
        <v>0</v>
      </c>
      <c r="O81" s="4041" t="str">
        <f t="shared" si="365"/>
        <v/>
      </c>
      <c r="P81" s="4041">
        <f t="shared" si="365"/>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4775</v>
      </c>
      <c r="D82" s="4048"/>
      <c r="E82" s="4048"/>
      <c r="F82" s="8"/>
      <c r="G82" s="8"/>
      <c r="H82" s="110" t="s">
        <v>4121</v>
      </c>
      <c r="I82" s="36"/>
      <c r="J82" s="1"/>
      <c r="K82" s="4045" t="str">
        <f t="shared" ref="K82:P82" si="366">IF(OR(K60=0,K$67=0),"",K60/K$67)</f>
        <v/>
      </c>
      <c r="L82" s="4046" t="str">
        <f t="shared" si="366"/>
        <v/>
      </c>
      <c r="M82" s="4046" t="str">
        <f t="shared" si="366"/>
        <v/>
      </c>
      <c r="N82" s="4046" t="str">
        <f t="shared" si="366"/>
        <v/>
      </c>
      <c r="O82" s="4046" t="str">
        <f t="shared" si="366"/>
        <v/>
      </c>
      <c r="P82" s="4047" t="str">
        <f t="shared" si="366"/>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4799</v>
      </c>
      <c r="I83" s="36"/>
      <c r="J83" s="1"/>
      <c r="K83" s="4037" t="str">
        <f>IF(OR(K60=0,$P82="",K$67=0),"",$P82*K$67)</f>
        <v/>
      </c>
      <c r="L83" s="4037" t="str">
        <f>IF(OR(L60=0,$P82="",L$67=0),"",$P82*L$67)</f>
        <v/>
      </c>
      <c r="M83" s="4037" t="str">
        <f>IF(OR(M60=0,$P82="",M$67=0),"",$P82*M$67)</f>
        <v/>
      </c>
      <c r="N83" s="4037" t="str">
        <f>IF(OR(N60=0,$P82="",N$67=0),"",$P82*N$67)</f>
        <v/>
      </c>
      <c r="O83" s="4037" t="str">
        <f>IF(OR(O60=0,$P82="",O$67=0),"",$P82*O$67)</f>
        <v/>
      </c>
      <c r="P83" s="4038" t="str">
        <f>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39" t="s">
        <v>4800</v>
      </c>
      <c r="I84" s="4040"/>
      <c r="J84" s="1"/>
      <c r="K84" s="4041" t="str">
        <f t="shared" ref="K84:P84" si="367">IF(OR(K83="",K60=0),"", K60-K83)</f>
        <v/>
      </c>
      <c r="L84" s="4041" t="str">
        <f t="shared" si="367"/>
        <v/>
      </c>
      <c r="M84" s="4041" t="str">
        <f t="shared" si="367"/>
        <v/>
      </c>
      <c r="N84" s="4041" t="str">
        <f t="shared" si="367"/>
        <v/>
      </c>
      <c r="O84" s="4041" t="str">
        <f t="shared" si="367"/>
        <v/>
      </c>
      <c r="P84" s="4041" t="str">
        <f t="shared" si="367"/>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4775</v>
      </c>
      <c r="D85" s="8"/>
      <c r="E85" s="8"/>
      <c r="F85" s="8"/>
      <c r="G85" s="8"/>
      <c r="H85" s="110" t="s">
        <v>4122</v>
      </c>
      <c r="I85" s="36"/>
      <c r="J85" s="1"/>
      <c r="K85" s="4045" t="str">
        <f t="shared" ref="K85:P85" si="368">IF(OR(K61=0,K$67=0),"",K61/K$67)</f>
        <v/>
      </c>
      <c r="L85" s="4046" t="str">
        <f t="shared" si="368"/>
        <v/>
      </c>
      <c r="M85" s="4046" t="str">
        <f t="shared" si="368"/>
        <v/>
      </c>
      <c r="N85" s="4046" t="str">
        <f t="shared" si="368"/>
        <v/>
      </c>
      <c r="O85" s="4046" t="str">
        <f t="shared" si="368"/>
        <v/>
      </c>
      <c r="P85" s="4047" t="str">
        <f t="shared" si="368"/>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4799</v>
      </c>
      <c r="I86" s="36"/>
      <c r="J86" s="1"/>
      <c r="K86" s="4037" t="str">
        <f>IF(OR(K61=0,$P85="",K$67=0),"",$P85*K$67)</f>
        <v/>
      </c>
      <c r="L86" s="4037" t="str">
        <f>IF(OR(L61=0,$P85="",L$67=0),"",$P85*L$67)</f>
        <v/>
      </c>
      <c r="M86" s="4037" t="str">
        <f>IF(OR(M61=0,$P85="",M$67=0),"",$P85*M$67)</f>
        <v/>
      </c>
      <c r="N86" s="4037" t="str">
        <f>IF(OR(N61=0,$P85="",N$67=0),"",$P85*N$67)</f>
        <v/>
      </c>
      <c r="O86" s="4037" t="str">
        <f>IF(OR(O61=0,$P85="",O$67=0),"",$P85*O$67)</f>
        <v/>
      </c>
      <c r="P86" s="4038" t="str">
        <f>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39" t="s">
        <v>4800</v>
      </c>
      <c r="I87" s="4040"/>
      <c r="J87" s="1"/>
      <c r="K87" s="4041" t="str">
        <f t="shared" ref="K87:P87" si="369">IF(OR(K86="",K61=0),"", K61-K86)</f>
        <v/>
      </c>
      <c r="L87" s="4041" t="str">
        <f t="shared" si="369"/>
        <v/>
      </c>
      <c r="M87" s="4041" t="str">
        <f t="shared" si="369"/>
        <v/>
      </c>
      <c r="N87" s="4041" t="str">
        <f t="shared" si="369"/>
        <v/>
      </c>
      <c r="O87" s="4041" t="str">
        <f t="shared" si="369"/>
        <v/>
      </c>
      <c r="P87" s="4041" t="str">
        <f t="shared" si="369"/>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4775</v>
      </c>
      <c r="D88" s="8"/>
      <c r="E88" s="8"/>
      <c r="F88" s="8"/>
      <c r="G88" s="8"/>
      <c r="H88" s="103" t="s">
        <v>4123</v>
      </c>
      <c r="I88" s="52"/>
      <c r="J88" s="1"/>
      <c r="K88" s="4045" t="str">
        <f t="shared" ref="K88:P88" si="370">IF(OR(K62=0,K$67=0),"",K62/K$67)</f>
        <v/>
      </c>
      <c r="L88" s="4046" t="str">
        <f t="shared" si="370"/>
        <v/>
      </c>
      <c r="M88" s="4046" t="str">
        <f t="shared" si="370"/>
        <v/>
      </c>
      <c r="N88" s="4046" t="str">
        <f t="shared" si="370"/>
        <v/>
      </c>
      <c r="O88" s="4046" t="str">
        <f t="shared" si="370"/>
        <v/>
      </c>
      <c r="P88" s="4047" t="str">
        <f t="shared" si="370"/>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49"/>
      <c r="E89" s="4049"/>
      <c r="F89" s="8"/>
      <c r="G89" s="8"/>
      <c r="H89" s="110" t="s">
        <v>4799</v>
      </c>
      <c r="I89" s="36"/>
      <c r="J89" s="1"/>
      <c r="K89" s="4037" t="str">
        <f>IF(OR(K62=0,$P88="",K$67=0),"",$P88*K$67)</f>
        <v/>
      </c>
      <c r="L89" s="4037" t="str">
        <f>IF(OR(L62=0,$P88="",L$67=0),"",$P88*L$67)</f>
        <v/>
      </c>
      <c r="M89" s="4037" t="str">
        <f>IF(OR(M62=0,$P88="",M$67=0),"",$P88*M$67)</f>
        <v/>
      </c>
      <c r="N89" s="4037" t="str">
        <f>IF(OR(N62=0,$P88="",N$67=0),"",$P88*N$67)</f>
        <v/>
      </c>
      <c r="O89" s="4037" t="str">
        <f>IF(OR(O62=0,$P88="",O$67=0),"",$P88*O$67)</f>
        <v/>
      </c>
      <c r="P89" s="4038" t="str">
        <f>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48"/>
      <c r="E90" s="4048"/>
      <c r="F90" s="8"/>
      <c r="G90" s="8"/>
      <c r="H90" s="4039" t="s">
        <v>4800</v>
      </c>
      <c r="I90" s="4040"/>
      <c r="J90" s="1"/>
      <c r="K90" s="4050" t="str">
        <f t="shared" ref="K90:P90" si="371">IF(OR(K89="",K62=0),"", K62-K89)</f>
        <v/>
      </c>
      <c r="L90" s="4050" t="str">
        <f t="shared" si="371"/>
        <v/>
      </c>
      <c r="M90" s="4050" t="str">
        <f t="shared" si="371"/>
        <v/>
      </c>
      <c r="N90" s="4050" t="str">
        <f t="shared" si="371"/>
        <v/>
      </c>
      <c r="O90" s="4050" t="str">
        <f t="shared" si="371"/>
        <v/>
      </c>
      <c r="P90" s="4050" t="str">
        <f t="shared" si="371"/>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4119</v>
      </c>
      <c r="I93" s="36"/>
      <c r="J93" s="82"/>
      <c r="K93" s="1362">
        <f>CP48</f>
        <v>0</v>
      </c>
      <c r="L93" s="1363">
        <f>CQ48</f>
        <v>0</v>
      </c>
      <c r="M93" s="1363">
        <f>CR48</f>
        <v>0</v>
      </c>
      <c r="N93" s="1363">
        <f>CS48</f>
        <v>0</v>
      </c>
      <c r="O93" s="1364">
        <f>CT48</f>
        <v>0</v>
      </c>
      <c r="P93" s="916">
        <f t="shared" ref="P93:P100" si="372">SUM(K93:O93)</f>
        <v>0</v>
      </c>
      <c r="S93" s="4031"/>
      <c r="T93" s="4032"/>
      <c r="U93" s="4032"/>
      <c r="V93" s="4032"/>
      <c r="W93" s="4033"/>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4120</v>
      </c>
      <c r="I94" s="36"/>
      <c r="J94" s="82"/>
      <c r="K94" s="1365">
        <f>CK48</f>
        <v>0</v>
      </c>
      <c r="L94" s="1366">
        <f>CL48</f>
        <v>0</v>
      </c>
      <c r="M94" s="1366">
        <f>CM48</f>
        <v>0</v>
      </c>
      <c r="N94" s="1366">
        <f>CN48</f>
        <v>0</v>
      </c>
      <c r="O94" s="1367">
        <f>CO48</f>
        <v>0</v>
      </c>
      <c r="P94" s="1325">
        <f t="shared" si="372"/>
        <v>0</v>
      </c>
      <c r="S94" s="3993"/>
      <c r="T94" s="3994"/>
      <c r="U94" s="3994"/>
      <c r="V94" s="3994"/>
      <c r="W94" s="3995"/>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2"/>
        <v>0</v>
      </c>
      <c r="S95" s="3993"/>
      <c r="T95" s="3994"/>
      <c r="U95" s="3994"/>
      <c r="V95" s="3994"/>
      <c r="W95" s="3995"/>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2"/>
        <v>0</v>
      </c>
      <c r="S96" s="3993"/>
      <c r="T96" s="3994"/>
      <c r="U96" s="3994"/>
      <c r="V96" s="3994"/>
      <c r="W96" s="3995"/>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4121</v>
      </c>
      <c r="I97" s="52"/>
      <c r="J97" s="1094"/>
      <c r="K97" s="1365">
        <f>BV48</f>
        <v>0</v>
      </c>
      <c r="L97" s="1366">
        <f>BW48</f>
        <v>0</v>
      </c>
      <c r="M97" s="1366">
        <f>BX48</f>
        <v>0</v>
      </c>
      <c r="N97" s="1366">
        <f>BY48</f>
        <v>0</v>
      </c>
      <c r="O97" s="1367">
        <f>BZ48</f>
        <v>0</v>
      </c>
      <c r="P97" s="1325">
        <f t="shared" si="372"/>
        <v>0</v>
      </c>
      <c r="S97" s="3993"/>
      <c r="T97" s="3994"/>
      <c r="U97" s="3994"/>
      <c r="V97" s="3994"/>
      <c r="W97" s="3995"/>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4122</v>
      </c>
      <c r="I98" s="36"/>
      <c r="J98" s="82"/>
      <c r="K98" s="1365">
        <f>BQ48</f>
        <v>0</v>
      </c>
      <c r="L98" s="1366">
        <f>BR48</f>
        <v>0</v>
      </c>
      <c r="M98" s="1366">
        <f>BS48</f>
        <v>0</v>
      </c>
      <c r="N98" s="1366">
        <f>BT48</f>
        <v>0</v>
      </c>
      <c r="O98" s="1367">
        <f>BU48</f>
        <v>0</v>
      </c>
      <c r="P98" s="1325">
        <f t="shared" si="372"/>
        <v>0</v>
      </c>
      <c r="S98" s="3993"/>
      <c r="T98" s="3994"/>
      <c r="U98" s="3994"/>
      <c r="V98" s="3994"/>
      <c r="W98" s="3995"/>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4123</v>
      </c>
      <c r="I99" s="36"/>
      <c r="J99" s="82"/>
      <c r="K99" s="1368">
        <f>BL48</f>
        <v>0</v>
      </c>
      <c r="L99" s="1369">
        <f>BM48</f>
        <v>0</v>
      </c>
      <c r="M99" s="1369">
        <f>BN48</f>
        <v>0</v>
      </c>
      <c r="N99" s="1369">
        <f>BO48</f>
        <v>0</v>
      </c>
      <c r="O99" s="1370">
        <f>BP48</f>
        <v>0</v>
      </c>
      <c r="P99" s="918">
        <f t="shared" si="372"/>
        <v>0</v>
      </c>
      <c r="S99" s="3993"/>
      <c r="T99" s="3994"/>
      <c r="U99" s="3994"/>
      <c r="V99" s="3994"/>
      <c r="W99" s="3995"/>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2"/>
        <v>0</v>
      </c>
      <c r="S100" s="4024"/>
      <c r="T100" s="4025"/>
      <c r="U100" s="4025"/>
      <c r="V100" s="4025"/>
      <c r="W100" s="4026"/>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4422</v>
      </c>
      <c r="H102" s="89"/>
      <c r="L102" s="2644" t="str">
        <f>$L$53</f>
        <v>Income Averaging</v>
      </c>
      <c r="M102" s="2645"/>
      <c r="N102" s="2645"/>
      <c r="O102" s="264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4119</v>
      </c>
      <c r="I104" s="36"/>
      <c r="J104" s="82"/>
      <c r="K104" s="1362">
        <f>DY48</f>
        <v>0</v>
      </c>
      <c r="L104" s="1363">
        <f>DZ48</f>
        <v>0</v>
      </c>
      <c r="M104" s="1363">
        <f>EA48</f>
        <v>0</v>
      </c>
      <c r="N104" s="1363">
        <f>EB48</f>
        <v>0</v>
      </c>
      <c r="O104" s="1364">
        <f>EC48</f>
        <v>0</v>
      </c>
      <c r="P104" s="919">
        <f t="shared" ref="P104:P111" si="373">SUM(K104:O104)</f>
        <v>0</v>
      </c>
      <c r="S104" s="4031"/>
      <c r="T104" s="4032"/>
      <c r="U104" s="4032"/>
      <c r="V104" s="4032"/>
      <c r="W104" s="4033"/>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4120</v>
      </c>
      <c r="I105" s="36"/>
      <c r="J105" s="82"/>
      <c r="K105" s="1365">
        <f>DT48</f>
        <v>0</v>
      </c>
      <c r="L105" s="1366">
        <f>DU48</f>
        <v>0</v>
      </c>
      <c r="M105" s="1366">
        <f>DV48</f>
        <v>0</v>
      </c>
      <c r="N105" s="1366">
        <f>DW48</f>
        <v>0</v>
      </c>
      <c r="O105" s="1367">
        <f>DX48</f>
        <v>0</v>
      </c>
      <c r="P105" s="914">
        <f t="shared" si="373"/>
        <v>0</v>
      </c>
      <c r="S105" s="3993"/>
      <c r="T105" s="3994"/>
      <c r="U105" s="3994"/>
      <c r="V105" s="3994"/>
      <c r="W105" s="3995"/>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73"/>
        <v>0</v>
      </c>
      <c r="S106" s="3993"/>
      <c r="T106" s="3994"/>
      <c r="U106" s="3994"/>
      <c r="V106" s="3994"/>
      <c r="W106" s="3995"/>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73"/>
        <v>0</v>
      </c>
      <c r="S107" s="3993"/>
      <c r="T107" s="3994"/>
      <c r="U107" s="3994"/>
      <c r="V107" s="3994"/>
      <c r="W107" s="3995"/>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4121</v>
      </c>
      <c r="I108" s="52"/>
      <c r="J108" s="1094"/>
      <c r="K108" s="1365">
        <f>DE48</f>
        <v>0</v>
      </c>
      <c r="L108" s="1366">
        <f>DF48</f>
        <v>0</v>
      </c>
      <c r="M108" s="1366">
        <f>DG48</f>
        <v>0</v>
      </c>
      <c r="N108" s="1366">
        <f>DH48</f>
        <v>0</v>
      </c>
      <c r="O108" s="1367">
        <f>DI48</f>
        <v>0</v>
      </c>
      <c r="P108" s="914">
        <f t="shared" si="373"/>
        <v>0</v>
      </c>
      <c r="S108" s="3993"/>
      <c r="T108" s="3994"/>
      <c r="U108" s="3994"/>
      <c r="V108" s="3994"/>
      <c r="W108" s="3995"/>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4122</v>
      </c>
      <c r="I109" s="36"/>
      <c r="J109" s="82"/>
      <c r="K109" s="1365">
        <f>CZ48</f>
        <v>0</v>
      </c>
      <c r="L109" s="1366">
        <f>DA48</f>
        <v>0</v>
      </c>
      <c r="M109" s="1366">
        <f>DB48</f>
        <v>0</v>
      </c>
      <c r="N109" s="1366">
        <f>DC48</f>
        <v>0</v>
      </c>
      <c r="O109" s="1367">
        <f>DD48</f>
        <v>0</v>
      </c>
      <c r="P109" s="914">
        <f t="shared" si="373"/>
        <v>0</v>
      </c>
      <c r="S109" s="3993"/>
      <c r="T109" s="3994"/>
      <c r="U109" s="3994"/>
      <c r="V109" s="3994"/>
      <c r="W109" s="3995"/>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4123</v>
      </c>
      <c r="I110" s="36"/>
      <c r="J110" s="82"/>
      <c r="K110" s="1368">
        <f>CU48</f>
        <v>0</v>
      </c>
      <c r="L110" s="1369">
        <f>CV48</f>
        <v>0</v>
      </c>
      <c r="M110" s="1369">
        <f>CW48</f>
        <v>0</v>
      </c>
      <c r="N110" s="1369">
        <f>CX48</f>
        <v>0</v>
      </c>
      <c r="O110" s="1370">
        <f>CY48</f>
        <v>0</v>
      </c>
      <c r="P110" s="915">
        <f t="shared" si="373"/>
        <v>0</v>
      </c>
      <c r="S110" s="3993"/>
      <c r="T110" s="3994"/>
      <c r="U110" s="3994"/>
      <c r="V110" s="3994"/>
      <c r="W110" s="3995"/>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73"/>
        <v>0</v>
      </c>
      <c r="S111" s="4024"/>
      <c r="T111" s="4025"/>
      <c r="U111" s="4025"/>
      <c r="V111" s="4025"/>
      <c r="W111" s="4026"/>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73" t="s">
        <v>36</v>
      </c>
      <c r="D113" s="2673"/>
      <c r="E113" s="103" t="s">
        <v>2236</v>
      </c>
      <c r="F113" s="1"/>
      <c r="G113" s="82"/>
      <c r="H113" s="110" t="s">
        <v>1404</v>
      </c>
      <c r="I113" s="36"/>
      <c r="J113" s="82"/>
      <c r="K113" s="1353">
        <f>GG48</f>
        <v>0</v>
      </c>
      <c r="L113" s="1354">
        <f>GH48</f>
        <v>10</v>
      </c>
      <c r="M113" s="1354">
        <f>GI48</f>
        <v>20</v>
      </c>
      <c r="N113" s="1354">
        <f>GJ48</f>
        <v>20</v>
      </c>
      <c r="O113" s="1355">
        <f>GK48</f>
        <v>0</v>
      </c>
      <c r="P113" s="919">
        <f t="shared" ref="P113:P123" si="374">SUM(K113:O113)</f>
        <v>50</v>
      </c>
      <c r="S113" s="4031"/>
      <c r="T113" s="4032"/>
      <c r="U113" s="4032"/>
      <c r="V113" s="4032"/>
      <c r="W113" s="4033"/>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73"/>
      <c r="D114" s="2673"/>
      <c r="E114" s="110"/>
      <c r="F114" s="1"/>
      <c r="G114" s="82"/>
      <c r="H114" s="110" t="s">
        <v>298</v>
      </c>
      <c r="I114" s="36"/>
      <c r="J114" s="82"/>
      <c r="K114" s="1359">
        <f>GL48</f>
        <v>0</v>
      </c>
      <c r="L114" s="1360">
        <f>GM48</f>
        <v>0</v>
      </c>
      <c r="M114" s="1360">
        <f>GN48</f>
        <v>0</v>
      </c>
      <c r="N114" s="1360">
        <f>GO48</f>
        <v>0</v>
      </c>
      <c r="O114" s="1361">
        <f>GP48</f>
        <v>0</v>
      </c>
      <c r="P114" s="915">
        <f t="shared" si="374"/>
        <v>0</v>
      </c>
      <c r="S114" s="3993"/>
      <c r="T114" s="3994"/>
      <c r="U114" s="3994"/>
      <c r="V114" s="3994"/>
      <c r="W114" s="3995"/>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73"/>
      <c r="D115" s="2673"/>
      <c r="E115" s="110"/>
      <c r="F115" s="1"/>
      <c r="G115" s="82"/>
      <c r="H115" s="165" t="s">
        <v>30</v>
      </c>
      <c r="I115" s="86"/>
      <c r="J115" s="82"/>
      <c r="K115" s="1328">
        <f>SUM(K113:K114)+GQ48</f>
        <v>0</v>
      </c>
      <c r="L115" s="1328">
        <f>SUM(L113:L114)+GR48</f>
        <v>10</v>
      </c>
      <c r="M115" s="1328">
        <f>SUM(M113:M114)+GS48</f>
        <v>20</v>
      </c>
      <c r="N115" s="1328">
        <f>SUM(N113:N114)+GT48</f>
        <v>20</v>
      </c>
      <c r="O115" s="1328">
        <f>SUM(O113:O114)+GU48</f>
        <v>0</v>
      </c>
      <c r="P115" s="1328">
        <f t="shared" si="374"/>
        <v>50</v>
      </c>
      <c r="S115" s="3993"/>
      <c r="T115" s="3994"/>
      <c r="U115" s="3994"/>
      <c r="V115" s="3994"/>
      <c r="W115" s="3995"/>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2673"/>
      <c r="D116" s="2673"/>
      <c r="E116" s="103" t="s">
        <v>2086</v>
      </c>
      <c r="F116" s="1"/>
      <c r="G116" s="82"/>
      <c r="H116" s="110" t="s">
        <v>1404</v>
      </c>
      <c r="I116" s="36"/>
      <c r="J116" s="82"/>
      <c r="K116" s="1353">
        <f>GV48</f>
        <v>0</v>
      </c>
      <c r="L116" s="1354">
        <f>GW48</f>
        <v>0</v>
      </c>
      <c r="M116" s="1354">
        <f>GX48</f>
        <v>0</v>
      </c>
      <c r="N116" s="1354">
        <f>GY48</f>
        <v>0</v>
      </c>
      <c r="O116" s="1355">
        <f>GZ48</f>
        <v>0</v>
      </c>
      <c r="P116" s="919">
        <f t="shared" si="374"/>
        <v>0</v>
      </c>
      <c r="S116" s="3993"/>
      <c r="T116" s="3994"/>
      <c r="U116" s="3994"/>
      <c r="V116" s="3994"/>
      <c r="W116" s="3995"/>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73"/>
      <c r="D117" s="2673"/>
      <c r="E117" s="110"/>
      <c r="F117" s="1"/>
      <c r="G117" s="82"/>
      <c r="H117" s="110" t="s">
        <v>298</v>
      </c>
      <c r="I117" s="36"/>
      <c r="J117" s="82"/>
      <c r="K117" s="1359">
        <f>HA48</f>
        <v>0</v>
      </c>
      <c r="L117" s="1360">
        <f>HB48</f>
        <v>0</v>
      </c>
      <c r="M117" s="1360">
        <f>HC48</f>
        <v>0</v>
      </c>
      <c r="N117" s="1360">
        <f>HD48</f>
        <v>0</v>
      </c>
      <c r="O117" s="1361">
        <f>HE48</f>
        <v>0</v>
      </c>
      <c r="P117" s="915">
        <f t="shared" si="374"/>
        <v>0</v>
      </c>
      <c r="S117" s="3993"/>
      <c r="T117" s="3994"/>
      <c r="U117" s="3994"/>
      <c r="V117" s="3994"/>
      <c r="W117" s="3995"/>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73"/>
      <c r="D118" s="2673"/>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74"/>
        <v>0</v>
      </c>
      <c r="S118" s="3993"/>
      <c r="T118" s="3994"/>
      <c r="U118" s="3994"/>
      <c r="V118" s="3994"/>
      <c r="W118" s="3995"/>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9" t="s">
        <v>1391</v>
      </c>
      <c r="F119" s="2669"/>
      <c r="G119" s="82"/>
      <c r="H119" s="110" t="s">
        <v>1404</v>
      </c>
      <c r="I119" s="36"/>
      <c r="J119" s="82"/>
      <c r="K119" s="1353">
        <f>HK48</f>
        <v>0</v>
      </c>
      <c r="L119" s="1354">
        <f>HL48</f>
        <v>0</v>
      </c>
      <c r="M119" s="1354">
        <f>HM48</f>
        <v>0</v>
      </c>
      <c r="N119" s="1354">
        <f>HN48</f>
        <v>0</v>
      </c>
      <c r="O119" s="1355">
        <f>HO48</f>
        <v>0</v>
      </c>
      <c r="P119" s="919">
        <f t="shared" si="374"/>
        <v>0</v>
      </c>
      <c r="S119" s="3993"/>
      <c r="T119" s="3994"/>
      <c r="U119" s="3994"/>
      <c r="V119" s="3994"/>
      <c r="W119" s="3995"/>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9"/>
      <c r="F120" s="2669"/>
      <c r="G120" s="82"/>
      <c r="H120" s="110" t="s">
        <v>298</v>
      </c>
      <c r="I120" s="36"/>
      <c r="J120" s="82"/>
      <c r="K120" s="1359">
        <f>HP48</f>
        <v>0</v>
      </c>
      <c r="L120" s="1360">
        <f>HQ48</f>
        <v>0</v>
      </c>
      <c r="M120" s="1360">
        <f>HR48</f>
        <v>0</v>
      </c>
      <c r="N120" s="1360">
        <f>HS48</f>
        <v>0</v>
      </c>
      <c r="O120" s="1361">
        <f>HT48</f>
        <v>0</v>
      </c>
      <c r="P120" s="915">
        <f t="shared" si="374"/>
        <v>0</v>
      </c>
      <c r="S120" s="3993"/>
      <c r="T120" s="3994"/>
      <c r="U120" s="3994"/>
      <c r="V120" s="3994"/>
      <c r="W120" s="3995"/>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74"/>
        <v>0</v>
      </c>
      <c r="S121" s="3993"/>
      <c r="T121" s="3994"/>
      <c r="U121" s="3994"/>
      <c r="V121" s="3994"/>
      <c r="W121" s="3995"/>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1"/>
      <c r="L122" s="4051"/>
      <c r="M122" s="4051"/>
      <c r="N122" s="4051"/>
      <c r="O122" s="4051"/>
      <c r="P122" s="569">
        <f t="shared" si="374"/>
        <v>0</v>
      </c>
      <c r="S122" s="3993"/>
      <c r="T122" s="3994"/>
      <c r="U122" s="3994"/>
      <c r="V122" s="3994"/>
      <c r="W122" s="3995"/>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87" t="str">
        <f>IF(AND('Part IV-A-Uses of Funds'!$T$172="Yes",'Part IX Scoring Criteria'!$O$415&gt;0,P123&lt;1),"SHOW HISTORIC UNITS HERE &gt;&gt;&gt;&gt;","")</f>
        <v/>
      </c>
      <c r="B123" s="2687"/>
      <c r="C123" s="2687"/>
      <c r="D123" s="2687"/>
      <c r="E123" s="480" t="s">
        <v>3281</v>
      </c>
      <c r="F123" s="1"/>
      <c r="G123" s="172"/>
      <c r="H123" s="111"/>
      <c r="I123" s="82"/>
      <c r="J123" s="82"/>
      <c r="K123" s="4052"/>
      <c r="L123" s="4052"/>
      <c r="M123" s="4052"/>
      <c r="N123" s="4052"/>
      <c r="O123" s="4052"/>
      <c r="P123" s="570">
        <f t="shared" si="374"/>
        <v>0</v>
      </c>
      <c r="S123" s="3993"/>
      <c r="T123" s="3994"/>
      <c r="U123" s="3994"/>
      <c r="V123" s="3994"/>
      <c r="W123" s="3995"/>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93"/>
      <c r="T124" s="3994"/>
      <c r="U124" s="3994"/>
      <c r="V124" s="3994"/>
      <c r="W124" s="3995"/>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3249</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4"/>
      <c r="T125" s="4025"/>
      <c r="U125" s="4025"/>
      <c r="V125" s="4025"/>
      <c r="W125" s="4026"/>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70" t="s">
        <v>3771</v>
      </c>
      <c r="D127" s="2670"/>
      <c r="E127" s="1090" t="s">
        <v>37</v>
      </c>
      <c r="F127" s="948"/>
      <c r="G127" s="1091"/>
      <c r="H127" s="1755"/>
      <c r="I127" s="1092"/>
      <c r="J127" s="1093"/>
      <c r="K127" s="1374">
        <f t="shared" ref="K127:P127" si="375">SUM(K128:K137)</f>
        <v>0</v>
      </c>
      <c r="L127" s="1375">
        <f t="shared" si="375"/>
        <v>0</v>
      </c>
      <c r="M127" s="1375">
        <f t="shared" si="375"/>
        <v>0</v>
      </c>
      <c r="N127" s="1375">
        <f t="shared" si="375"/>
        <v>0</v>
      </c>
      <c r="O127" s="1376">
        <f t="shared" si="375"/>
        <v>0</v>
      </c>
      <c r="P127" s="1333">
        <f t="shared" si="375"/>
        <v>0</v>
      </c>
      <c r="S127" s="4031"/>
      <c r="T127" s="4032"/>
      <c r="U127" s="4032"/>
      <c r="V127" s="4032"/>
      <c r="W127" s="4033"/>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71"/>
      <c r="D128" s="2671"/>
      <c r="E128" s="103"/>
      <c r="F128" s="5"/>
      <c r="G128" s="151"/>
      <c r="H128" s="1752" t="s">
        <v>2536</v>
      </c>
      <c r="I128" s="856"/>
      <c r="J128" s="1094"/>
      <c r="K128" s="1356">
        <f>JS48</f>
        <v>0</v>
      </c>
      <c r="L128" s="1357">
        <f>JT48</f>
        <v>0</v>
      </c>
      <c r="M128" s="1357">
        <f>JU48</f>
        <v>0</v>
      </c>
      <c r="N128" s="1357">
        <f>JV48</f>
        <v>0</v>
      </c>
      <c r="O128" s="1358">
        <f>JW48</f>
        <v>0</v>
      </c>
      <c r="P128" s="914">
        <f t="shared" ref="P128:P145" si="376">SUM(K128:O128)</f>
        <v>0</v>
      </c>
      <c r="S128" s="3993"/>
      <c r="T128" s="3994"/>
      <c r="U128" s="3994"/>
      <c r="V128" s="3994"/>
      <c r="W128" s="3995"/>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71"/>
      <c r="D129" s="2671"/>
      <c r="E129" s="103"/>
      <c r="F129" s="5"/>
      <c r="G129" s="151"/>
      <c r="H129" s="1756" t="s">
        <v>3249</v>
      </c>
      <c r="I129" s="95"/>
      <c r="J129" s="1094"/>
      <c r="K129" s="1377">
        <f>JX48</f>
        <v>0</v>
      </c>
      <c r="L129" s="1378">
        <f>JY48</f>
        <v>0</v>
      </c>
      <c r="M129" s="1378">
        <f>JZ48</f>
        <v>0</v>
      </c>
      <c r="N129" s="1378">
        <f>KA48</f>
        <v>0</v>
      </c>
      <c r="O129" s="1379">
        <f>KB48</f>
        <v>0</v>
      </c>
      <c r="P129" s="572">
        <f t="shared" si="376"/>
        <v>0</v>
      </c>
      <c r="S129" s="3993"/>
      <c r="T129" s="3994"/>
      <c r="U129" s="3994"/>
      <c r="V129" s="3994"/>
      <c r="W129" s="3995"/>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71"/>
      <c r="D130" s="2671"/>
      <c r="E130" s="103"/>
      <c r="F130" s="5"/>
      <c r="G130" s="151"/>
      <c r="H130" s="1752" t="s">
        <v>2537</v>
      </c>
      <c r="I130" s="856"/>
      <c r="J130" s="1094"/>
      <c r="K130" s="1356">
        <f>KC48</f>
        <v>0</v>
      </c>
      <c r="L130" s="1357">
        <f>KD48</f>
        <v>0</v>
      </c>
      <c r="M130" s="1357">
        <f>KE48</f>
        <v>0</v>
      </c>
      <c r="N130" s="1357">
        <f>KF48</f>
        <v>0</v>
      </c>
      <c r="O130" s="1358">
        <f>KG48</f>
        <v>0</v>
      </c>
      <c r="P130" s="573">
        <f t="shared" si="376"/>
        <v>0</v>
      </c>
      <c r="S130" s="3993"/>
      <c r="T130" s="3994"/>
      <c r="U130" s="3994"/>
      <c r="V130" s="3994"/>
      <c r="W130" s="3995"/>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71"/>
      <c r="D131" s="2671"/>
      <c r="E131" s="103"/>
      <c r="F131" s="5"/>
      <c r="G131" s="151"/>
      <c r="H131" s="1756" t="s">
        <v>3249</v>
      </c>
      <c r="I131" s="95"/>
      <c r="J131" s="1094"/>
      <c r="K131" s="1377">
        <f>KH48</f>
        <v>0</v>
      </c>
      <c r="L131" s="1378">
        <f>KI48</f>
        <v>0</v>
      </c>
      <c r="M131" s="1378">
        <f>KJ48</f>
        <v>0</v>
      </c>
      <c r="N131" s="1378">
        <f>KK48</f>
        <v>0</v>
      </c>
      <c r="O131" s="1379">
        <f>KL48</f>
        <v>0</v>
      </c>
      <c r="P131" s="572">
        <f t="shared" si="376"/>
        <v>0</v>
      </c>
      <c r="S131" s="3993"/>
      <c r="T131" s="3994"/>
      <c r="U131" s="3994"/>
      <c r="V131" s="3994"/>
      <c r="W131" s="3995"/>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71"/>
      <c r="D132" s="2671"/>
      <c r="E132" s="103"/>
      <c r="F132" s="5"/>
      <c r="G132" s="151"/>
      <c r="H132" s="1752" t="s">
        <v>2539</v>
      </c>
      <c r="I132" s="856"/>
      <c r="J132" s="1094"/>
      <c r="K132" s="1356">
        <f>KM48</f>
        <v>0</v>
      </c>
      <c r="L132" s="1357">
        <f>KN48</f>
        <v>0</v>
      </c>
      <c r="M132" s="1357">
        <f>KO48</f>
        <v>0</v>
      </c>
      <c r="N132" s="1357">
        <f>KP48</f>
        <v>0</v>
      </c>
      <c r="O132" s="1358">
        <f>KQ48</f>
        <v>0</v>
      </c>
      <c r="P132" s="573">
        <f t="shared" si="376"/>
        <v>0</v>
      </c>
      <c r="S132" s="3993"/>
      <c r="T132" s="3994"/>
      <c r="U132" s="3994"/>
      <c r="V132" s="3994"/>
      <c r="W132" s="3995"/>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71"/>
      <c r="D133" s="2671"/>
      <c r="E133" s="103"/>
      <c r="F133" s="5"/>
      <c r="G133" s="151"/>
      <c r="H133" s="1756" t="s">
        <v>3249</v>
      </c>
      <c r="I133" s="95"/>
      <c r="J133" s="1094"/>
      <c r="K133" s="1377">
        <f>KR48</f>
        <v>0</v>
      </c>
      <c r="L133" s="1378">
        <f>KS48</f>
        <v>0</v>
      </c>
      <c r="M133" s="1378">
        <f>KT48</f>
        <v>0</v>
      </c>
      <c r="N133" s="1378">
        <f>KU48</f>
        <v>0</v>
      </c>
      <c r="O133" s="1379">
        <f>KV48</f>
        <v>0</v>
      </c>
      <c r="P133" s="572">
        <f t="shared" si="376"/>
        <v>0</v>
      </c>
      <c r="S133" s="3993"/>
      <c r="T133" s="3994"/>
      <c r="U133" s="3994"/>
      <c r="V133" s="3994"/>
      <c r="W133" s="3995"/>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71"/>
      <c r="D134" s="2671"/>
      <c r="E134" s="103"/>
      <c r="F134" s="1"/>
      <c r="G134" s="82"/>
      <c r="H134" s="1740" t="s">
        <v>2538</v>
      </c>
      <c r="I134" s="40"/>
      <c r="J134" s="82"/>
      <c r="K134" s="1356">
        <f>KW48</f>
        <v>0</v>
      </c>
      <c r="L134" s="1357">
        <f>KX48</f>
        <v>0</v>
      </c>
      <c r="M134" s="1357">
        <f>KY48</f>
        <v>0</v>
      </c>
      <c r="N134" s="1357">
        <f>KZ48</f>
        <v>0</v>
      </c>
      <c r="O134" s="1358">
        <f>LA48</f>
        <v>0</v>
      </c>
      <c r="P134" s="573">
        <f t="shared" si="376"/>
        <v>0</v>
      </c>
      <c r="S134" s="3993"/>
      <c r="T134" s="3994"/>
      <c r="U134" s="3994"/>
      <c r="V134" s="3994"/>
      <c r="W134" s="3995"/>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71"/>
      <c r="D135" s="2671"/>
      <c r="E135" s="103"/>
      <c r="F135" s="1"/>
      <c r="G135" s="82"/>
      <c r="H135" s="1757" t="s">
        <v>3249</v>
      </c>
      <c r="I135" s="852"/>
      <c r="J135" s="82"/>
      <c r="K135" s="1377">
        <f>LB48</f>
        <v>0</v>
      </c>
      <c r="L135" s="1378">
        <f>LC48</f>
        <v>0</v>
      </c>
      <c r="M135" s="1378">
        <f>LD48</f>
        <v>0</v>
      </c>
      <c r="N135" s="1378">
        <f>LE48</f>
        <v>0</v>
      </c>
      <c r="O135" s="1379">
        <f>LF48</f>
        <v>0</v>
      </c>
      <c r="P135" s="914">
        <f t="shared" si="376"/>
        <v>0</v>
      </c>
      <c r="S135" s="3993"/>
      <c r="T135" s="3994"/>
      <c r="U135" s="3994"/>
      <c r="V135" s="3994"/>
      <c r="W135" s="3995"/>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2"/>
      <c r="D136" s="2372"/>
      <c r="E136" s="103"/>
      <c r="F136" s="1"/>
      <c r="G136" s="82"/>
      <c r="H136" s="1740" t="s">
        <v>4794</v>
      </c>
      <c r="I136" s="40"/>
      <c r="J136" s="82"/>
      <c r="K136" s="1380">
        <f>LG48</f>
        <v>0</v>
      </c>
      <c r="L136" s="1381">
        <f>LH48</f>
        <v>0</v>
      </c>
      <c r="M136" s="1381">
        <f>LI48</f>
        <v>0</v>
      </c>
      <c r="N136" s="1381">
        <f>LJ48</f>
        <v>0</v>
      </c>
      <c r="O136" s="1382">
        <f>LK48</f>
        <v>0</v>
      </c>
      <c r="P136" s="573">
        <f>SUM(K136:O136)</f>
        <v>0</v>
      </c>
      <c r="S136" s="3993"/>
      <c r="T136" s="3994"/>
      <c r="U136" s="3994"/>
      <c r="V136" s="3994"/>
      <c r="W136" s="3995"/>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2"/>
      <c r="D137" s="2372"/>
      <c r="E137" s="103"/>
      <c r="F137" s="1"/>
      <c r="G137" s="82"/>
      <c r="H137" s="1757" t="s">
        <v>3249</v>
      </c>
      <c r="I137" s="852"/>
      <c r="J137" s="82"/>
      <c r="K137" s="1356">
        <f>LL48</f>
        <v>0</v>
      </c>
      <c r="L137" s="1357">
        <f>LM48</f>
        <v>0</v>
      </c>
      <c r="M137" s="1357">
        <f>LN48</f>
        <v>0</v>
      </c>
      <c r="N137" s="1357">
        <f>LO48</f>
        <v>0</v>
      </c>
      <c r="O137" s="1358">
        <f>LP48</f>
        <v>0</v>
      </c>
      <c r="P137" s="914">
        <f>SUM(K137:O137)</f>
        <v>0</v>
      </c>
      <c r="S137" s="3993"/>
      <c r="T137" s="3994"/>
      <c r="U137" s="3994"/>
      <c r="V137" s="3994"/>
      <c r="W137" s="3995"/>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76"/>
        <v>0</v>
      </c>
      <c r="S138" s="3993"/>
      <c r="T138" s="3994"/>
      <c r="U138" s="3994"/>
      <c r="V138" s="3994"/>
      <c r="W138" s="3995"/>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3249</v>
      </c>
      <c r="I139" s="852"/>
      <c r="J139" s="82"/>
      <c r="K139" s="1377">
        <f>IJ48</f>
        <v>0</v>
      </c>
      <c r="L139" s="1378">
        <f>IK48</f>
        <v>0</v>
      </c>
      <c r="M139" s="1378">
        <f>IL48</f>
        <v>0</v>
      </c>
      <c r="N139" s="1378">
        <f>IM48</f>
        <v>0</v>
      </c>
      <c r="O139" s="1379">
        <f>IN48</f>
        <v>0</v>
      </c>
      <c r="P139" s="572">
        <f t="shared" si="376"/>
        <v>0</v>
      </c>
      <c r="S139" s="3993"/>
      <c r="T139" s="3994"/>
      <c r="U139" s="3994"/>
      <c r="V139" s="3994"/>
      <c r="W139" s="3995"/>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10</v>
      </c>
      <c r="M140" s="1381">
        <f>JK48</f>
        <v>20</v>
      </c>
      <c r="N140" s="1381">
        <f>JL48</f>
        <v>20</v>
      </c>
      <c r="O140" s="1382">
        <f>JM48</f>
        <v>0</v>
      </c>
      <c r="P140" s="573">
        <f t="shared" si="376"/>
        <v>50</v>
      </c>
      <c r="S140" s="3993"/>
      <c r="T140" s="3994"/>
      <c r="U140" s="3994"/>
      <c r="V140" s="3994"/>
      <c r="W140" s="3995"/>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3249</v>
      </c>
      <c r="I141" s="852"/>
      <c r="J141" s="82"/>
      <c r="K141" s="1377">
        <f>JN48</f>
        <v>0</v>
      </c>
      <c r="L141" s="1378">
        <f>JO48</f>
        <v>0</v>
      </c>
      <c r="M141" s="1378">
        <f>JP48</f>
        <v>0</v>
      </c>
      <c r="N141" s="1378">
        <f>JQ48</f>
        <v>0</v>
      </c>
      <c r="O141" s="1379">
        <f>JR48</f>
        <v>0</v>
      </c>
      <c r="P141" s="572">
        <f t="shared" si="376"/>
        <v>0</v>
      </c>
      <c r="S141" s="3993"/>
      <c r="T141" s="3994"/>
      <c r="U141" s="3994"/>
      <c r="V141" s="3994"/>
      <c r="W141" s="3995"/>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76"/>
        <v>0</v>
      </c>
      <c r="S142" s="3993"/>
      <c r="T142" s="3994"/>
      <c r="U142" s="3994"/>
      <c r="V142" s="3994"/>
      <c r="W142" s="3995"/>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3249</v>
      </c>
      <c r="I143" s="852"/>
      <c r="J143" s="82"/>
      <c r="K143" s="1356">
        <f>JD48</f>
        <v>0</v>
      </c>
      <c r="L143" s="1357">
        <f>JE48</f>
        <v>0</v>
      </c>
      <c r="M143" s="1357">
        <f>JF48</f>
        <v>0</v>
      </c>
      <c r="N143" s="1357">
        <f>JG48</f>
        <v>0</v>
      </c>
      <c r="O143" s="1358">
        <f>JH48</f>
        <v>0</v>
      </c>
      <c r="P143" s="572">
        <f t="shared" si="376"/>
        <v>0</v>
      </c>
      <c r="S143" s="3993"/>
      <c r="T143" s="3994"/>
      <c r="U143" s="3994"/>
      <c r="V143" s="3994"/>
      <c r="W143" s="3995"/>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76"/>
        <v>0</v>
      </c>
      <c r="S144" s="3993"/>
      <c r="T144" s="3994"/>
      <c r="U144" s="3994"/>
      <c r="V144" s="3994"/>
      <c r="W144" s="3995"/>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3249</v>
      </c>
      <c r="I145" s="852"/>
      <c r="J145" s="82"/>
      <c r="K145" s="1359">
        <f>IT48</f>
        <v>0</v>
      </c>
      <c r="L145" s="1360">
        <f>IU48</f>
        <v>0</v>
      </c>
      <c r="M145" s="1360">
        <f>IV48</f>
        <v>0</v>
      </c>
      <c r="N145" s="1360">
        <f>IW48</f>
        <v>0</v>
      </c>
      <c r="O145" s="1361">
        <f>IX48</f>
        <v>0</v>
      </c>
      <c r="P145" s="915">
        <f t="shared" si="376"/>
        <v>0</v>
      </c>
      <c r="S145" s="4024"/>
      <c r="T145" s="4025"/>
      <c r="U145" s="4025"/>
      <c r="V145" s="4025"/>
      <c r="W145" s="4026"/>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4422</v>
      </c>
      <c r="H147" s="89"/>
      <c r="L147" s="2644" t="str">
        <f>$L$53</f>
        <v>Income Averaging</v>
      </c>
      <c r="M147" s="2645"/>
      <c r="N147" s="2645"/>
      <c r="O147" s="2646"/>
      <c r="P147" s="82"/>
      <c r="S147" s="2659" t="str">
        <f>B147</f>
        <v>UNIT SUMMARY (Continued)</v>
      </c>
      <c r="T147" s="2659"/>
      <c r="U147" s="2659"/>
      <c r="V147" s="2659"/>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70" t="s">
        <v>4114</v>
      </c>
      <c r="D149" s="2670"/>
      <c r="E149" s="1090" t="s">
        <v>3244</v>
      </c>
      <c r="F149" s="1091"/>
      <c r="G149" s="1092"/>
      <c r="H149" s="1758"/>
      <c r="I149" s="1095"/>
      <c r="J149" s="1093"/>
      <c r="K149" s="1383">
        <f t="shared" ref="K149:O150" si="377">K138+K142+K144</f>
        <v>0</v>
      </c>
      <c r="L149" s="1384">
        <f>L138+L142+L144</f>
        <v>0</v>
      </c>
      <c r="M149" s="1384">
        <f t="shared" si="377"/>
        <v>0</v>
      </c>
      <c r="N149" s="1384">
        <f t="shared" si="377"/>
        <v>0</v>
      </c>
      <c r="O149" s="1385">
        <f t="shared" si="377"/>
        <v>0</v>
      </c>
      <c r="P149" s="916">
        <f t="shared" ref="P149:P156" si="378">SUM(K149:O149)</f>
        <v>0</v>
      </c>
      <c r="S149" s="4031"/>
      <c r="T149" s="4032"/>
      <c r="U149" s="4032"/>
      <c r="V149" s="4032"/>
      <c r="W149" s="4033"/>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71"/>
      <c r="D150" s="2671"/>
      <c r="E150" s="103"/>
      <c r="F150" s="483"/>
      <c r="G150" s="151"/>
      <c r="H150" s="1756" t="s">
        <v>3249</v>
      </c>
      <c r="I150" s="95"/>
      <c r="J150" s="1094"/>
      <c r="K150" s="1386">
        <f t="shared" si="377"/>
        <v>0</v>
      </c>
      <c r="L150" s="1387">
        <f t="shared" si="377"/>
        <v>0</v>
      </c>
      <c r="M150" s="1387">
        <f t="shared" si="377"/>
        <v>0</v>
      </c>
      <c r="N150" s="1387">
        <f t="shared" si="377"/>
        <v>0</v>
      </c>
      <c r="O150" s="1388">
        <f t="shared" si="377"/>
        <v>0</v>
      </c>
      <c r="P150" s="575">
        <f t="shared" si="378"/>
        <v>0</v>
      </c>
      <c r="S150" s="3993"/>
      <c r="T150" s="3994"/>
      <c r="U150" s="3994"/>
      <c r="V150" s="3994"/>
      <c r="W150" s="3995"/>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71"/>
      <c r="D151" s="2671"/>
      <c r="E151" s="103" t="s">
        <v>3245</v>
      </c>
      <c r="F151" s="483"/>
      <c r="G151" s="151"/>
      <c r="H151" s="1020"/>
      <c r="I151" s="483"/>
      <c r="J151" s="1094"/>
      <c r="K151" s="1389">
        <f t="shared" ref="K151:O152" si="379">K128+K140</f>
        <v>0</v>
      </c>
      <c r="L151" s="1390">
        <f t="shared" si="379"/>
        <v>10</v>
      </c>
      <c r="M151" s="1390">
        <f t="shared" si="379"/>
        <v>20</v>
      </c>
      <c r="N151" s="1390">
        <f t="shared" si="379"/>
        <v>20</v>
      </c>
      <c r="O151" s="1391">
        <f t="shared" si="379"/>
        <v>0</v>
      </c>
      <c r="P151" s="917">
        <f t="shared" si="378"/>
        <v>50</v>
      </c>
      <c r="S151" s="3993"/>
      <c r="T151" s="3994"/>
      <c r="U151" s="3994"/>
      <c r="V151" s="3994"/>
      <c r="W151" s="3995"/>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71"/>
      <c r="D152" s="2671"/>
      <c r="E152" s="103"/>
      <c r="F152" s="483"/>
      <c r="G152" s="151"/>
      <c r="H152" s="1756" t="s">
        <v>3249</v>
      </c>
      <c r="I152" s="95"/>
      <c r="J152" s="1094"/>
      <c r="K152" s="1386">
        <f t="shared" si="379"/>
        <v>0</v>
      </c>
      <c r="L152" s="1387">
        <f t="shared" si="379"/>
        <v>0</v>
      </c>
      <c r="M152" s="1387">
        <f t="shared" si="379"/>
        <v>0</v>
      </c>
      <c r="N152" s="1387">
        <f t="shared" si="379"/>
        <v>0</v>
      </c>
      <c r="O152" s="1388">
        <f t="shared" si="379"/>
        <v>0</v>
      </c>
      <c r="P152" s="575">
        <f t="shared" si="378"/>
        <v>0</v>
      </c>
      <c r="S152" s="3993"/>
      <c r="T152" s="3994"/>
      <c r="U152" s="3994"/>
      <c r="V152" s="3994"/>
      <c r="W152" s="3995"/>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71"/>
      <c r="D153" s="2671"/>
      <c r="E153" s="103" t="s">
        <v>3246</v>
      </c>
      <c r="F153" s="483"/>
      <c r="G153" s="151"/>
      <c r="H153" s="1752"/>
      <c r="I153" s="856"/>
      <c r="J153" s="1094"/>
      <c r="K153" s="1389">
        <f t="shared" ref="K153:O154" si="380">K132+K134</f>
        <v>0</v>
      </c>
      <c r="L153" s="1390">
        <f t="shared" si="380"/>
        <v>0</v>
      </c>
      <c r="M153" s="1390">
        <f t="shared" si="380"/>
        <v>0</v>
      </c>
      <c r="N153" s="1390">
        <f t="shared" si="380"/>
        <v>0</v>
      </c>
      <c r="O153" s="1391">
        <f t="shared" si="380"/>
        <v>0</v>
      </c>
      <c r="P153" s="917">
        <f t="shared" si="378"/>
        <v>0</v>
      </c>
      <c r="S153" s="3993"/>
      <c r="T153" s="3994"/>
      <c r="U153" s="3994"/>
      <c r="V153" s="3994"/>
      <c r="W153" s="3995"/>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71"/>
      <c r="D154" s="2671"/>
      <c r="E154" s="103"/>
      <c r="F154" s="483"/>
      <c r="G154" s="151"/>
      <c r="H154" s="1756" t="s">
        <v>3249</v>
      </c>
      <c r="I154" s="95"/>
      <c r="J154" s="1094"/>
      <c r="K154" s="1386">
        <f t="shared" si="380"/>
        <v>0</v>
      </c>
      <c r="L154" s="1387">
        <f t="shared" si="380"/>
        <v>0</v>
      </c>
      <c r="M154" s="1387">
        <f t="shared" si="380"/>
        <v>0</v>
      </c>
      <c r="N154" s="1387">
        <f t="shared" si="380"/>
        <v>0</v>
      </c>
      <c r="O154" s="1388">
        <f t="shared" si="380"/>
        <v>0</v>
      </c>
      <c r="P154" s="575">
        <f t="shared" si="378"/>
        <v>0</v>
      </c>
      <c r="S154" s="3993"/>
      <c r="T154" s="3994"/>
      <c r="U154" s="3994"/>
      <c r="V154" s="3994"/>
      <c r="W154" s="3995"/>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71"/>
      <c r="D155" s="2671"/>
      <c r="E155" s="103" t="s">
        <v>3247</v>
      </c>
      <c r="F155" s="483"/>
      <c r="G155" s="151"/>
      <c r="H155" s="1752"/>
      <c r="I155" s="856"/>
      <c r="J155" s="1094"/>
      <c r="K155" s="1389">
        <f t="shared" ref="K155:O156" si="381">K130+K136</f>
        <v>0</v>
      </c>
      <c r="L155" s="1390">
        <f t="shared" si="381"/>
        <v>0</v>
      </c>
      <c r="M155" s="1390">
        <f t="shared" si="381"/>
        <v>0</v>
      </c>
      <c r="N155" s="1390">
        <f t="shared" si="381"/>
        <v>0</v>
      </c>
      <c r="O155" s="1391">
        <f t="shared" si="381"/>
        <v>0</v>
      </c>
      <c r="P155" s="917">
        <f t="shared" si="378"/>
        <v>0</v>
      </c>
      <c r="S155" s="3993"/>
      <c r="T155" s="3994"/>
      <c r="U155" s="3994"/>
      <c r="V155" s="3994"/>
      <c r="W155" s="3995"/>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3249</v>
      </c>
      <c r="I156" s="852"/>
      <c r="J156" s="82"/>
      <c r="K156" s="1392">
        <f t="shared" si="381"/>
        <v>0</v>
      </c>
      <c r="L156" s="1393">
        <f t="shared" si="381"/>
        <v>0</v>
      </c>
      <c r="M156" s="1393">
        <f t="shared" si="381"/>
        <v>0</v>
      </c>
      <c r="N156" s="1393">
        <f t="shared" si="381"/>
        <v>0</v>
      </c>
      <c r="O156" s="1394">
        <f t="shared" si="381"/>
        <v>0</v>
      </c>
      <c r="P156" s="918">
        <f t="shared" si="378"/>
        <v>0</v>
      </c>
      <c r="Q156" s="2649" t="s">
        <v>4448</v>
      </c>
      <c r="S156" s="4024"/>
      <c r="T156" s="4025"/>
      <c r="U156" s="4025"/>
      <c r="V156" s="4025"/>
      <c r="W156" s="4026"/>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49"/>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49"/>
      <c r="S158" s="2482" t="str">
        <f>B158</f>
        <v>Unit Square Footage:</v>
      </c>
      <c r="T158" s="2482"/>
      <c r="U158" s="2482"/>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4119</v>
      </c>
      <c r="I159" s="55"/>
      <c r="J159" s="82"/>
      <c r="K159" s="1362">
        <f>EI48</f>
        <v>0</v>
      </c>
      <c r="L159" s="1363">
        <f>EJ48</f>
        <v>0</v>
      </c>
      <c r="M159" s="1363">
        <f>EK48</f>
        <v>0</v>
      </c>
      <c r="N159" s="1363">
        <f>EL48</f>
        <v>0</v>
      </c>
      <c r="O159" s="1364">
        <f>EM48</f>
        <v>0</v>
      </c>
      <c r="P159" s="1322">
        <f t="shared" ref="P159:P165" si="382">SUM(K159:O159)</f>
        <v>0</v>
      </c>
      <c r="Q159" s="1555" t="str">
        <f t="shared" ref="Q159:Q165" si="383">IF(OR(P56=0,P56=""),"",P159/P56)</f>
        <v/>
      </c>
      <c r="S159" s="4031"/>
      <c r="T159" s="4032"/>
      <c r="U159" s="4032"/>
      <c r="V159" s="4032"/>
      <c r="W159" s="4033"/>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4120</v>
      </c>
      <c r="I160" s="40"/>
      <c r="J160" s="82"/>
      <c r="K160" s="1395">
        <f>EN48</f>
        <v>0</v>
      </c>
      <c r="L160" s="1396">
        <f>EO48</f>
        <v>1560</v>
      </c>
      <c r="M160" s="1396">
        <f>EP48</f>
        <v>4060</v>
      </c>
      <c r="N160" s="1396">
        <f>EQ48</f>
        <v>5000</v>
      </c>
      <c r="O160" s="1397">
        <f>ER48</f>
        <v>0</v>
      </c>
      <c r="P160" s="1323">
        <f t="shared" si="382"/>
        <v>10620</v>
      </c>
      <c r="Q160" s="1555">
        <f t="shared" si="383"/>
        <v>1062</v>
      </c>
      <c r="S160" s="3993"/>
      <c r="T160" s="3994"/>
      <c r="U160" s="3994"/>
      <c r="V160" s="3994"/>
      <c r="W160" s="3995"/>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3120</v>
      </c>
      <c r="M161" s="1396">
        <f>EU48</f>
        <v>8120</v>
      </c>
      <c r="N161" s="1396">
        <f>EV48</f>
        <v>10000</v>
      </c>
      <c r="O161" s="1397">
        <f>EW48</f>
        <v>0</v>
      </c>
      <c r="P161" s="1323">
        <f t="shared" si="382"/>
        <v>21240</v>
      </c>
      <c r="Q161" s="1555">
        <f t="shared" si="383"/>
        <v>1062</v>
      </c>
      <c r="S161" s="3993"/>
      <c r="T161" s="3994"/>
      <c r="U161" s="3994"/>
      <c r="V161" s="3994"/>
      <c r="W161" s="3995"/>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3120</v>
      </c>
      <c r="M162" s="1491">
        <f>EZ48</f>
        <v>8120</v>
      </c>
      <c r="N162" s="1491">
        <f>FA48</f>
        <v>10000</v>
      </c>
      <c r="O162" s="1492">
        <f>FB48</f>
        <v>0</v>
      </c>
      <c r="P162" s="1493">
        <f t="shared" si="382"/>
        <v>21240</v>
      </c>
      <c r="Q162" s="1555">
        <f t="shared" si="383"/>
        <v>1062</v>
      </c>
      <c r="S162" s="3993"/>
      <c r="T162" s="3994"/>
      <c r="U162" s="3994"/>
      <c r="V162" s="3994"/>
      <c r="W162" s="3995"/>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4121</v>
      </c>
      <c r="I163" s="856"/>
      <c r="J163" s="1094"/>
      <c r="K163" s="1395">
        <f>FC48</f>
        <v>0</v>
      </c>
      <c r="L163" s="1396">
        <f>FD48</f>
        <v>0</v>
      </c>
      <c r="M163" s="1396">
        <f>FE48</f>
        <v>0</v>
      </c>
      <c r="N163" s="1396">
        <f>FF48</f>
        <v>0</v>
      </c>
      <c r="O163" s="1397">
        <f>FG48</f>
        <v>0</v>
      </c>
      <c r="P163" s="1323">
        <f t="shared" si="382"/>
        <v>0</v>
      </c>
      <c r="Q163" s="1555" t="str">
        <f t="shared" si="383"/>
        <v/>
      </c>
      <c r="S163" s="3993"/>
      <c r="T163" s="3994"/>
      <c r="U163" s="3994"/>
      <c r="V163" s="3994"/>
      <c r="W163" s="3995"/>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4122</v>
      </c>
      <c r="I164" s="40"/>
      <c r="J164" s="82"/>
      <c r="K164" s="1395">
        <f>FH48</f>
        <v>0</v>
      </c>
      <c r="L164" s="1396">
        <f>FI48</f>
        <v>0</v>
      </c>
      <c r="M164" s="1396">
        <f>FJ48</f>
        <v>0</v>
      </c>
      <c r="N164" s="1396">
        <f>FK48</f>
        <v>0</v>
      </c>
      <c r="O164" s="1397">
        <f>FL48</f>
        <v>0</v>
      </c>
      <c r="P164" s="1323">
        <f t="shared" si="382"/>
        <v>0</v>
      </c>
      <c r="Q164" s="1555" t="str">
        <f t="shared" si="383"/>
        <v/>
      </c>
      <c r="S164" s="3993"/>
      <c r="T164" s="3994"/>
      <c r="U164" s="3994"/>
      <c r="V164" s="3994"/>
      <c r="W164" s="3995"/>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4123</v>
      </c>
      <c r="I165" s="55"/>
      <c r="J165" s="82"/>
      <c r="K165" s="1368">
        <f>FM48</f>
        <v>0</v>
      </c>
      <c r="L165" s="1369">
        <f>FN48</f>
        <v>0</v>
      </c>
      <c r="M165" s="1369">
        <f>FO48</f>
        <v>0</v>
      </c>
      <c r="N165" s="1369">
        <f>FP48</f>
        <v>0</v>
      </c>
      <c r="O165" s="1370">
        <f>FQ48</f>
        <v>0</v>
      </c>
      <c r="P165" s="1324">
        <f t="shared" si="382"/>
        <v>0</v>
      </c>
      <c r="Q165" s="1555" t="str">
        <f t="shared" si="383"/>
        <v/>
      </c>
      <c r="S165" s="3993"/>
      <c r="T165" s="3994"/>
      <c r="U165" s="3994"/>
      <c r="V165" s="3994"/>
      <c r="W165" s="3995"/>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4204</v>
      </c>
      <c r="I166" s="40"/>
      <c r="J166" s="82"/>
      <c r="K166" s="1332">
        <f>SUM(K159:K165)</f>
        <v>0</v>
      </c>
      <c r="L166" s="1332">
        <f>SUM(L159:L165)</f>
        <v>7800</v>
      </c>
      <c r="M166" s="1332">
        <f>SUM(M159:M165)</f>
        <v>20300</v>
      </c>
      <c r="N166" s="1332">
        <f>SUM(N159:N165)</f>
        <v>25000</v>
      </c>
      <c r="O166" s="1332">
        <f>SUM(O159:O165)</f>
        <v>0</v>
      </c>
      <c r="P166" s="1332">
        <f>SUM(K166:O166)</f>
        <v>53100</v>
      </c>
      <c r="S166" s="3993"/>
      <c r="T166" s="3994"/>
      <c r="U166" s="3994"/>
      <c r="V166" s="3994"/>
      <c r="W166" s="3995"/>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993"/>
      <c r="T167" s="3994"/>
      <c r="U167" s="3994"/>
      <c r="V167" s="3994"/>
      <c r="W167" s="3995"/>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7800</v>
      </c>
      <c r="M168" s="1331">
        <f>SUM(M166:M167)</f>
        <v>20300</v>
      </c>
      <c r="N168" s="1331">
        <f>SUM(N166:N167)</f>
        <v>25000</v>
      </c>
      <c r="O168" s="1331">
        <f>SUM(O166:O167)</f>
        <v>0</v>
      </c>
      <c r="P168" s="1331">
        <f>SUM(K168:O168)</f>
        <v>53100</v>
      </c>
      <c r="S168" s="3993"/>
      <c r="T168" s="3994"/>
      <c r="U168" s="3994"/>
      <c r="V168" s="3994"/>
      <c r="W168" s="3995"/>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93"/>
      <c r="T169" s="3994"/>
      <c r="U169" s="3994"/>
      <c r="V169" s="3994"/>
      <c r="W169" s="3995"/>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7800</v>
      </c>
      <c r="M170" s="1329">
        <f>SUM(M168:M169)</f>
        <v>20300</v>
      </c>
      <c r="N170" s="1329">
        <f>SUM(N168:N169)</f>
        <v>25000</v>
      </c>
      <c r="O170" s="1329">
        <f>SUM(O168:O169)</f>
        <v>0</v>
      </c>
      <c r="P170" s="1329">
        <f>SUM(K170:O170)</f>
        <v>53100</v>
      </c>
      <c r="S170" s="4024"/>
      <c r="T170" s="4025"/>
      <c r="U170" s="4025"/>
      <c r="V170" s="4025"/>
      <c r="W170" s="4026"/>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4443</v>
      </c>
      <c r="D173" s="1"/>
      <c r="E173" s="1"/>
      <c r="F173" s="1"/>
      <c r="G173" s="1"/>
      <c r="H173" s="1"/>
      <c r="I173" s="1"/>
      <c r="J173" s="1"/>
      <c r="K173" s="1554" t="str">
        <f>IF(OR(K67="",K67=0),"",K170/K67)</f>
        <v/>
      </c>
      <c r="L173" s="1554">
        <f>IF(OR(L67="",L67=0),"",L170/L67)</f>
        <v>780</v>
      </c>
      <c r="M173" s="1554">
        <f>IF(OR(M67="",M67=0),"",M170/M67)</f>
        <v>1015</v>
      </c>
      <c r="N173" s="1554">
        <f>IF(OR(N67="",N67=0),"",N170/N67)</f>
        <v>1250</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46"/>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53">
        <f>'Part VII-Pro Forma'!B9*M49</f>
        <v>6458.4000000000005</v>
      </c>
      <c r="I178" s="4054"/>
      <c r="J178" s="4055"/>
      <c r="K178" s="110"/>
      <c r="L178" s="1740" t="s">
        <v>2656</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5"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6"/>
      <c r="I182" s="4056"/>
      <c r="J182" s="4056"/>
      <c r="K182" s="4056"/>
      <c r="L182" s="4056"/>
      <c r="M182" s="4056"/>
      <c r="N182" s="4056"/>
      <c r="O182" s="4056"/>
      <c r="P182" s="4056"/>
      <c r="Q182" s="4056"/>
      <c r="R182" s="837"/>
      <c r="S182" s="4031"/>
      <c r="T182" s="4032"/>
      <c r="U182" s="4032"/>
      <c r="V182" s="4032"/>
      <c r="W182" s="4033"/>
    </row>
    <row r="183" spans="1:503" ht="15.6" customHeight="1">
      <c r="B183" s="110" t="s">
        <v>723</v>
      </c>
      <c r="C183" s="4057"/>
      <c r="D183" s="4058"/>
      <c r="E183" s="4058"/>
      <c r="F183" s="4059"/>
      <c r="H183" s="4060"/>
      <c r="I183" s="4060"/>
      <c r="J183" s="4060"/>
      <c r="K183" s="4060"/>
      <c r="L183" s="4061"/>
      <c r="M183" s="4060"/>
      <c r="N183" s="4060"/>
      <c r="O183" s="4060"/>
      <c r="P183" s="4060"/>
      <c r="Q183" s="4060"/>
      <c r="R183" s="837"/>
      <c r="S183" s="3993"/>
      <c r="T183" s="3994"/>
      <c r="U183" s="3994"/>
      <c r="V183" s="3994"/>
      <c r="W183" s="3995"/>
    </row>
    <row r="184" spans="1:503" ht="15.6" customHeight="1">
      <c r="B184" s="110"/>
      <c r="C184" s="110" t="s">
        <v>907</v>
      </c>
      <c r="D184" s="110"/>
      <c r="E184" s="110"/>
      <c r="F184" s="110"/>
      <c r="H184" s="879">
        <f>SUM(H182:H183)</f>
        <v>0</v>
      </c>
      <c r="I184" s="879">
        <f>SUM(I182:I183)</f>
        <v>0</v>
      </c>
      <c r="J184" s="879">
        <f t="shared" ref="J184:Q184" si="384">SUM(J182:J183)</f>
        <v>0</v>
      </c>
      <c r="K184" s="879">
        <f t="shared" si="384"/>
        <v>0</v>
      </c>
      <c r="L184" s="879">
        <f t="shared" si="384"/>
        <v>0</v>
      </c>
      <c r="M184" s="879">
        <f t="shared" si="384"/>
        <v>0</v>
      </c>
      <c r="N184" s="879">
        <f t="shared" si="384"/>
        <v>0</v>
      </c>
      <c r="O184" s="879">
        <f t="shared" si="384"/>
        <v>0</v>
      </c>
      <c r="P184" s="879">
        <f t="shared" si="384"/>
        <v>0</v>
      </c>
      <c r="Q184" s="879">
        <f t="shared" si="384"/>
        <v>0</v>
      </c>
      <c r="R184" s="118"/>
      <c r="S184" s="4024"/>
      <c r="T184" s="4025"/>
      <c r="U184" s="4025"/>
      <c r="V184" s="4025"/>
      <c r="W184" s="4026"/>
    </row>
    <row r="185" spans="1:503" ht="15.6" customHeight="1">
      <c r="B185" s="880" t="s">
        <v>3496</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6"/>
      <c r="I186" s="4056"/>
      <c r="J186" s="4056"/>
      <c r="K186" s="4056"/>
      <c r="L186" s="4056"/>
      <c r="M186" s="4056"/>
      <c r="N186" s="4056"/>
      <c r="O186" s="4056"/>
      <c r="P186" s="4056"/>
      <c r="Q186" s="4056"/>
      <c r="R186" s="837"/>
      <c r="S186" s="4031"/>
      <c r="T186" s="4032"/>
      <c r="U186" s="4032"/>
      <c r="V186" s="4032"/>
      <c r="W186" s="4033"/>
    </row>
    <row r="187" spans="1:503" ht="15.6" customHeight="1">
      <c r="B187" s="110" t="s">
        <v>723</v>
      </c>
      <c r="C187" s="4057"/>
      <c r="D187" s="4058"/>
      <c r="E187" s="4058"/>
      <c r="F187" s="4059"/>
      <c r="H187" s="4060"/>
      <c r="I187" s="4060"/>
      <c r="J187" s="4060"/>
      <c r="K187" s="4060"/>
      <c r="L187" s="4061"/>
      <c r="M187" s="4060"/>
      <c r="N187" s="4060"/>
      <c r="O187" s="4060"/>
      <c r="P187" s="4060"/>
      <c r="Q187" s="4060"/>
      <c r="R187" s="837"/>
      <c r="S187" s="3993"/>
      <c r="T187" s="3994"/>
      <c r="U187" s="3994"/>
      <c r="V187" s="3994"/>
      <c r="W187" s="3995"/>
    </row>
    <row r="188" spans="1:503" ht="15.6" customHeight="1">
      <c r="B188" s="110"/>
      <c r="C188" s="110" t="s">
        <v>188</v>
      </c>
      <c r="D188" s="110"/>
      <c r="E188" s="110"/>
      <c r="F188" s="110"/>
      <c r="H188" s="879">
        <f>SUM(H186:H187)</f>
        <v>0</v>
      </c>
      <c r="I188" s="879">
        <f>SUM(I186:I187)</f>
        <v>0</v>
      </c>
      <c r="J188" s="879">
        <f t="shared" ref="J188:Q188" si="385">SUM(J186:J187)</f>
        <v>0</v>
      </c>
      <c r="K188" s="879">
        <f t="shared" si="385"/>
        <v>0</v>
      </c>
      <c r="L188" s="879">
        <f t="shared" si="385"/>
        <v>0</v>
      </c>
      <c r="M188" s="879">
        <f t="shared" si="385"/>
        <v>0</v>
      </c>
      <c r="N188" s="879">
        <f t="shared" si="385"/>
        <v>0</v>
      </c>
      <c r="O188" s="879">
        <f t="shared" si="385"/>
        <v>0</v>
      </c>
      <c r="P188" s="879">
        <f t="shared" si="385"/>
        <v>0</v>
      </c>
      <c r="Q188" s="879">
        <f t="shared" si="385"/>
        <v>0</v>
      </c>
      <c r="R188" s="118"/>
      <c r="S188" s="4024"/>
      <c r="T188" s="4025"/>
      <c r="U188" s="4025"/>
      <c r="V188" s="4025"/>
      <c r="W188" s="4026"/>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056"/>
      <c r="I191" s="4056"/>
      <c r="J191" s="4056"/>
      <c r="K191" s="4056"/>
      <c r="L191" s="4062"/>
      <c r="M191" s="4056"/>
      <c r="N191" s="4056"/>
      <c r="O191" s="4056"/>
      <c r="P191" s="4056"/>
      <c r="Q191" s="4056"/>
      <c r="R191" s="837"/>
      <c r="S191" s="4031"/>
      <c r="T191" s="4032"/>
      <c r="U191" s="4032"/>
      <c r="V191" s="4032"/>
      <c r="W191" s="4033"/>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7"/>
      <c r="D192" s="4058"/>
      <c r="E192" s="4058"/>
      <c r="F192" s="4059"/>
      <c r="H192" s="4060"/>
      <c r="I192" s="4060"/>
      <c r="J192" s="4060"/>
      <c r="K192" s="4060"/>
      <c r="L192" s="4061"/>
      <c r="M192" s="4060"/>
      <c r="N192" s="4060"/>
      <c r="O192" s="4060"/>
      <c r="P192" s="4060"/>
      <c r="Q192" s="4060"/>
      <c r="R192" s="837"/>
      <c r="S192" s="3993"/>
      <c r="T192" s="3994"/>
      <c r="U192" s="3994"/>
      <c r="V192" s="3994"/>
      <c r="W192" s="3995"/>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86">SUM(J191:J192)</f>
        <v>0</v>
      </c>
      <c r="K193" s="879">
        <f t="shared" si="386"/>
        <v>0</v>
      </c>
      <c r="L193" s="879">
        <f t="shared" si="386"/>
        <v>0</v>
      </c>
      <c r="M193" s="879">
        <f t="shared" si="386"/>
        <v>0</v>
      </c>
      <c r="N193" s="879">
        <f t="shared" si="386"/>
        <v>0</v>
      </c>
      <c r="O193" s="879">
        <f t="shared" si="386"/>
        <v>0</v>
      </c>
      <c r="P193" s="879">
        <f t="shared" si="386"/>
        <v>0</v>
      </c>
      <c r="Q193" s="879">
        <f t="shared" si="386"/>
        <v>0</v>
      </c>
      <c r="R193" s="118"/>
      <c r="S193" s="4024"/>
      <c r="T193" s="4025"/>
      <c r="U193" s="4025"/>
      <c r="V193" s="4025"/>
      <c r="W193" s="4026"/>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3496</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6"/>
      <c r="I195" s="4056"/>
      <c r="J195" s="4056"/>
      <c r="K195" s="4056"/>
      <c r="L195" s="4062"/>
      <c r="M195" s="4056"/>
      <c r="N195" s="4056"/>
      <c r="O195" s="4056"/>
      <c r="P195" s="4056"/>
      <c r="Q195" s="4056"/>
      <c r="R195" s="837"/>
      <c r="S195" s="4031"/>
      <c r="T195" s="4032"/>
      <c r="U195" s="4032"/>
      <c r="V195" s="4032"/>
      <c r="W195" s="4033"/>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7"/>
      <c r="D196" s="4058"/>
      <c r="E196" s="4058"/>
      <c r="F196" s="4059"/>
      <c r="H196" s="4060"/>
      <c r="I196" s="4060"/>
      <c r="J196" s="4060"/>
      <c r="K196" s="4060"/>
      <c r="L196" s="4061"/>
      <c r="M196" s="4060"/>
      <c r="N196" s="4060"/>
      <c r="O196" s="4060"/>
      <c r="P196" s="4060"/>
      <c r="Q196" s="4060"/>
      <c r="R196" s="837"/>
      <c r="S196" s="3993"/>
      <c r="T196" s="3994"/>
      <c r="U196" s="3994"/>
      <c r="V196" s="3994"/>
      <c r="W196" s="3995"/>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87">SUM(J195:J196)</f>
        <v>0</v>
      </c>
      <c r="K197" s="879">
        <f t="shared" si="387"/>
        <v>0</v>
      </c>
      <c r="L197" s="879">
        <f t="shared" si="387"/>
        <v>0</v>
      </c>
      <c r="M197" s="879">
        <f t="shared" si="387"/>
        <v>0</v>
      </c>
      <c r="N197" s="879">
        <f t="shared" si="387"/>
        <v>0</v>
      </c>
      <c r="O197" s="879">
        <f t="shared" si="387"/>
        <v>0</v>
      </c>
      <c r="P197" s="879">
        <f t="shared" si="387"/>
        <v>0</v>
      </c>
      <c r="Q197" s="879">
        <f t="shared" si="387"/>
        <v>0</v>
      </c>
      <c r="R197" s="118"/>
      <c r="S197" s="4024"/>
      <c r="T197" s="4025"/>
      <c r="U197" s="4025"/>
      <c r="V197" s="4025"/>
      <c r="W197" s="4026"/>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6"/>
      <c r="I200" s="4056"/>
      <c r="J200" s="4056"/>
      <c r="K200" s="4056"/>
      <c r="L200" s="4062"/>
      <c r="M200" s="4056"/>
      <c r="N200" s="4056"/>
      <c r="O200" s="4056"/>
      <c r="P200" s="4056"/>
      <c r="Q200" s="4056"/>
      <c r="R200" s="837"/>
      <c r="S200" s="4031"/>
      <c r="T200" s="4032"/>
      <c r="U200" s="4032"/>
      <c r="V200" s="4032"/>
      <c r="W200" s="4033"/>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7"/>
      <c r="D201" s="4058"/>
      <c r="E201" s="4058"/>
      <c r="F201" s="4059"/>
      <c r="H201" s="4060"/>
      <c r="I201" s="4060"/>
      <c r="J201" s="4060"/>
      <c r="K201" s="4060"/>
      <c r="L201" s="4061"/>
      <c r="M201" s="4060"/>
      <c r="N201" s="4060"/>
      <c r="O201" s="4060"/>
      <c r="P201" s="4060"/>
      <c r="Q201" s="4060"/>
      <c r="R201" s="837"/>
      <c r="S201" s="3993"/>
      <c r="T201" s="3994"/>
      <c r="U201" s="3994"/>
      <c r="V201" s="3994"/>
      <c r="W201" s="3995"/>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88">SUM(J200:J201)</f>
        <v>0</v>
      </c>
      <c r="K202" s="879">
        <f t="shared" si="388"/>
        <v>0</v>
      </c>
      <c r="L202" s="879">
        <f t="shared" si="388"/>
        <v>0</v>
      </c>
      <c r="M202" s="879">
        <f t="shared" si="388"/>
        <v>0</v>
      </c>
      <c r="N202" s="879">
        <f t="shared" si="388"/>
        <v>0</v>
      </c>
      <c r="O202" s="879">
        <f t="shared" si="388"/>
        <v>0</v>
      </c>
      <c r="P202" s="879">
        <f t="shared" si="388"/>
        <v>0</v>
      </c>
      <c r="Q202" s="879">
        <f t="shared" si="388"/>
        <v>0</v>
      </c>
      <c r="R202" s="118"/>
      <c r="S202" s="4024"/>
      <c r="T202" s="4025"/>
      <c r="U202" s="4025"/>
      <c r="V202" s="4025"/>
      <c r="W202" s="4026"/>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3496</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6"/>
      <c r="I204" s="4056"/>
      <c r="J204" s="4056"/>
      <c r="K204" s="4056"/>
      <c r="L204" s="4062"/>
      <c r="M204" s="4056"/>
      <c r="N204" s="4056"/>
      <c r="O204" s="4056"/>
      <c r="P204" s="4056"/>
      <c r="Q204" s="4056"/>
      <c r="R204" s="837"/>
      <c r="S204" s="4031"/>
      <c r="T204" s="4032"/>
      <c r="U204" s="4032"/>
      <c r="V204" s="4032"/>
      <c r="W204" s="4033"/>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7"/>
      <c r="D205" s="4058"/>
      <c r="E205" s="4058"/>
      <c r="F205" s="4059"/>
      <c r="H205" s="4060"/>
      <c r="I205" s="4060"/>
      <c r="J205" s="4060"/>
      <c r="K205" s="4060"/>
      <c r="L205" s="4061"/>
      <c r="M205" s="4060"/>
      <c r="N205" s="4060"/>
      <c r="O205" s="4060"/>
      <c r="P205" s="4060"/>
      <c r="Q205" s="4060"/>
      <c r="R205" s="837"/>
      <c r="S205" s="3993"/>
      <c r="T205" s="3994"/>
      <c r="U205" s="3994"/>
      <c r="V205" s="3994"/>
      <c r="W205" s="3995"/>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89">SUM(J204:J205)</f>
        <v>0</v>
      </c>
      <c r="K206" s="879">
        <f t="shared" si="389"/>
        <v>0</v>
      </c>
      <c r="L206" s="879">
        <f t="shared" si="389"/>
        <v>0</v>
      </c>
      <c r="M206" s="879">
        <f t="shared" si="389"/>
        <v>0</v>
      </c>
      <c r="N206" s="879">
        <f t="shared" si="389"/>
        <v>0</v>
      </c>
      <c r="O206" s="879">
        <f t="shared" si="389"/>
        <v>0</v>
      </c>
      <c r="P206" s="879">
        <f t="shared" si="389"/>
        <v>0</v>
      </c>
      <c r="Q206" s="879">
        <f t="shared" si="389"/>
        <v>0</v>
      </c>
      <c r="R206" s="118"/>
      <c r="S206" s="4024"/>
      <c r="T206" s="4025"/>
      <c r="U206" s="4025"/>
      <c r="V206" s="4025"/>
      <c r="W206" s="4026"/>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056"/>
      <c r="I209" s="4056"/>
      <c r="J209" s="4056"/>
      <c r="K209" s="4056"/>
      <c r="L209" s="4062"/>
      <c r="M209" s="89"/>
      <c r="N209" s="89"/>
      <c r="O209" s="89"/>
      <c r="P209" s="89"/>
      <c r="Q209" s="89"/>
      <c r="R209" s="8"/>
      <c r="S209" s="4031"/>
      <c r="T209" s="4032"/>
      <c r="U209" s="4032"/>
      <c r="V209" s="4032"/>
      <c r="W209" s="4033"/>
    </row>
    <row r="210" spans="1:503" ht="15.6" customHeight="1">
      <c r="B210" s="110" t="s">
        <v>723</v>
      </c>
      <c r="C210" s="4057"/>
      <c r="D210" s="4058"/>
      <c r="E210" s="4058"/>
      <c r="F210" s="4059"/>
      <c r="H210" s="4060"/>
      <c r="I210" s="4060"/>
      <c r="J210" s="4060"/>
      <c r="K210" s="4060"/>
      <c r="L210" s="4061"/>
      <c r="M210" s="89"/>
      <c r="N210" s="89"/>
      <c r="O210" s="89"/>
      <c r="P210" s="89"/>
      <c r="Q210" s="89"/>
      <c r="R210" s="8"/>
      <c r="S210" s="3993"/>
      <c r="T210" s="3994"/>
      <c r="U210" s="3994"/>
      <c r="V210" s="3994"/>
      <c r="W210" s="3995"/>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4"/>
      <c r="T211" s="4025"/>
      <c r="U211" s="4025"/>
      <c r="V211" s="4025"/>
      <c r="W211" s="4026"/>
    </row>
    <row r="212" spans="1:503" ht="15.6" customHeight="1">
      <c r="B212" s="880" t="s">
        <v>3496</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6"/>
      <c r="I213" s="4056"/>
      <c r="J213" s="4056"/>
      <c r="K213" s="4056"/>
      <c r="L213" s="4062"/>
      <c r="M213" s="89"/>
      <c r="N213" s="89"/>
      <c r="O213" s="89"/>
      <c r="P213" s="89"/>
      <c r="Q213" s="89"/>
      <c r="R213" s="8"/>
      <c r="S213" s="4031"/>
      <c r="T213" s="4032"/>
      <c r="U213" s="4032"/>
      <c r="V213" s="4032"/>
      <c r="W213" s="4033"/>
    </row>
    <row r="214" spans="1:503" ht="15.6" customHeight="1">
      <c r="B214" s="110" t="s">
        <v>723</v>
      </c>
      <c r="C214" s="4057"/>
      <c r="D214" s="4058"/>
      <c r="E214" s="4058"/>
      <c r="F214" s="4059"/>
      <c r="H214" s="4060"/>
      <c r="I214" s="4060"/>
      <c r="J214" s="4060"/>
      <c r="K214" s="4060"/>
      <c r="L214" s="4061"/>
      <c r="M214" s="89"/>
      <c r="N214" s="89"/>
      <c r="O214" s="89"/>
      <c r="P214" s="89"/>
      <c r="Q214" s="89"/>
      <c r="R214" s="8"/>
      <c r="S214" s="3993"/>
      <c r="T214" s="3994"/>
      <c r="U214" s="3994"/>
      <c r="V214" s="3994"/>
      <c r="W214" s="3995"/>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4"/>
      <c r="T215" s="4025"/>
      <c r="U215" s="4025"/>
      <c r="V215" s="4025"/>
      <c r="W215" s="4026"/>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24000</v>
      </c>
      <c r="R219" s="1"/>
      <c r="S219" s="4031"/>
      <c r="T219" s="4032"/>
      <c r="U219" s="4032"/>
      <c r="V219" s="4032"/>
      <c r="W219" s="4033"/>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63">
        <v>30888</v>
      </c>
      <c r="G220" s="4064"/>
      <c r="H220" s="1"/>
      <c r="I220" s="1" t="s">
        <v>1351</v>
      </c>
      <c r="K220" s="1"/>
      <c r="L220" s="4063"/>
      <c r="M220" s="4064"/>
      <c r="N220" s="1"/>
      <c r="O220" s="391">
        <f>+Q219/(P67*0.93)</f>
        <v>516.12903225806451</v>
      </c>
      <c r="P220" s="66" t="s">
        <v>2666</v>
      </c>
      <c r="Q220" s="1"/>
      <c r="R220" s="837"/>
      <c r="S220" s="3993"/>
      <c r="T220" s="3994"/>
      <c r="U220" s="3994"/>
      <c r="V220" s="3994"/>
      <c r="W220" s="3995"/>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5">
        <v>25740</v>
      </c>
      <c r="G221" s="4066"/>
      <c r="H221" s="1"/>
      <c r="I221" s="1" t="s">
        <v>1352</v>
      </c>
      <c r="K221" s="1"/>
      <c r="L221" s="4067">
        <v>600</v>
      </c>
      <c r="M221" s="4068"/>
      <c r="N221" s="1"/>
      <c r="O221" s="391">
        <f>+Q219/(P67*0.93)/12</f>
        <v>43.01075268817204</v>
      </c>
      <c r="P221" s="66" t="s">
        <v>2667</v>
      </c>
      <c r="Q221" s="1"/>
      <c r="R221" s="837"/>
      <c r="S221" s="3993"/>
      <c r="T221" s="3994"/>
      <c r="U221" s="3994"/>
      <c r="V221" s="3994"/>
      <c r="W221" s="3995"/>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5"/>
      <c r="G222" s="4066"/>
      <c r="H222" s="1"/>
      <c r="I222" s="1"/>
      <c r="K222" s="122" t="s">
        <v>187</v>
      </c>
      <c r="L222" s="2674">
        <f>SUM(L220:M221)</f>
        <v>600</v>
      </c>
      <c r="M222" s="2675"/>
      <c r="N222" s="1"/>
      <c r="O222" s="36" t="s">
        <v>3545</v>
      </c>
      <c r="P222" s="930"/>
      <c r="Q222" s="930"/>
      <c r="R222" s="837"/>
      <c r="S222" s="3993"/>
      <c r="T222" s="3994"/>
      <c r="U222" s="3994"/>
      <c r="V222" s="3994"/>
      <c r="W222" s="3995"/>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4695</v>
      </c>
      <c r="F223" s="4065">
        <v>15000</v>
      </c>
      <c r="G223" s="4066"/>
      <c r="H223" s="1"/>
      <c r="I223" s="1"/>
      <c r="K223" s="1"/>
      <c r="L223" s="1"/>
      <c r="M223" s="1"/>
      <c r="N223" s="1"/>
      <c r="R223" s="837"/>
      <c r="S223" s="3993"/>
      <c r="T223" s="3994"/>
      <c r="U223" s="3994"/>
      <c r="V223" s="3994"/>
      <c r="W223" s="3995"/>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4696</v>
      </c>
      <c r="F224" s="4065"/>
      <c r="G224" s="4066"/>
      <c r="H224" s="1"/>
      <c r="I224" s="1"/>
      <c r="K224" s="1"/>
      <c r="L224" s="1"/>
      <c r="M224" s="1"/>
      <c r="N224" s="1"/>
      <c r="R224" s="837"/>
      <c r="S224" s="3993"/>
      <c r="T224" s="3994"/>
      <c r="U224" s="3994"/>
      <c r="V224" s="3994"/>
      <c r="W224" s="3995"/>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69" t="s">
        <v>7098</v>
      </c>
      <c r="C225" s="4070"/>
      <c r="D225" s="4070"/>
      <c r="E225" s="4071"/>
      <c r="F225" s="4067">
        <v>3500</v>
      </c>
      <c r="G225" s="4068"/>
      <c r="H225" s="1"/>
      <c r="I225" s="10" t="s">
        <v>1266</v>
      </c>
      <c r="K225" s="1"/>
      <c r="L225" s="1"/>
      <c r="M225" s="1"/>
      <c r="N225" s="1"/>
      <c r="R225" s="837"/>
      <c r="S225" s="3993"/>
      <c r="T225" s="3994"/>
      <c r="U225" s="3994"/>
      <c r="V225" s="3994"/>
      <c r="W225" s="3995"/>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74">
        <f>SUM(F220:G225)</f>
        <v>75128</v>
      </c>
      <c r="G226" s="2675"/>
      <c r="H226" s="1"/>
      <c r="I226" s="1" t="s">
        <v>1569</v>
      </c>
      <c r="K226" s="1"/>
      <c r="L226" s="4072">
        <v>1000</v>
      </c>
      <c r="M226" s="4073"/>
      <c r="N226" s="1"/>
      <c r="R226" s="1"/>
      <c r="S226" s="3993"/>
      <c r="T226" s="3994"/>
      <c r="U226" s="3994"/>
      <c r="V226" s="3994"/>
      <c r="W226" s="3995"/>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74">
        <v>7000</v>
      </c>
      <c r="M227" s="4075"/>
      <c r="N227" s="2658" t="str">
        <f>IF(Q229="","",IF(Q227&lt;Q229, "WARNING! OE below required minimum.",""))</f>
        <v/>
      </c>
      <c r="O227" s="10" t="s">
        <v>2135</v>
      </c>
      <c r="P227" s="5"/>
      <c r="Q227" s="401">
        <f>F226+F235+F246+L222+L230+L239+L246+Q219</f>
        <v>231318</v>
      </c>
      <c r="R227" s="5"/>
      <c r="S227" s="3993"/>
      <c r="T227" s="3994"/>
      <c r="U227" s="3994"/>
      <c r="V227" s="3994"/>
      <c r="W227" s="3995"/>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4">
        <v>1000</v>
      </c>
      <c r="M228" s="4075"/>
      <c r="N228" s="2658"/>
      <c r="O228" s="66" t="s">
        <v>2668</v>
      </c>
      <c r="P228" s="391">
        <f>+Q227/P67</f>
        <v>4626.3599999999997</v>
      </c>
      <c r="R228" s="838"/>
      <c r="S228" s="3993"/>
      <c r="T228" s="3994"/>
      <c r="U228" s="3994"/>
      <c r="V228" s="3994"/>
      <c r="W228" s="3995"/>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3">
        <v>1500</v>
      </c>
      <c r="G229" s="4064"/>
      <c r="H229" s="1"/>
      <c r="I229" s="4076" t="s">
        <v>49</v>
      </c>
      <c r="J229" s="4077"/>
      <c r="K229" s="4078"/>
      <c r="L229" s="4079"/>
      <c r="M229" s="4080"/>
      <c r="N229" s="2658"/>
      <c r="P229" s="931" t="s">
        <v>3546</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162500</v>
      </c>
      <c r="R229" s="1"/>
      <c r="S229" s="3993"/>
      <c r="T229" s="3994"/>
      <c r="U229" s="3994"/>
      <c r="V229" s="3994"/>
      <c r="W229" s="3995"/>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5">
        <v>3500</v>
      </c>
      <c r="G230" s="4066"/>
      <c r="H230" s="1"/>
      <c r="I230" s="10"/>
      <c r="K230" s="11" t="s">
        <v>187</v>
      </c>
      <c r="L230" s="2676">
        <f>SUM(L226:L229)</f>
        <v>9000</v>
      </c>
      <c r="M230" s="2677"/>
      <c r="N230" s="2658"/>
      <c r="R230" s="1"/>
      <c r="S230" s="3993"/>
      <c r="T230" s="3994"/>
      <c r="U230" s="3994"/>
      <c r="V230" s="3994"/>
      <c r="W230" s="3995"/>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5"/>
      <c r="G231" s="4066"/>
      <c r="H231" s="1"/>
      <c r="N231" s="1"/>
      <c r="R231" s="2392"/>
      <c r="S231" s="3993"/>
      <c r="T231" s="3994"/>
      <c r="U231" s="3994"/>
      <c r="V231" s="3994"/>
      <c r="W231" s="3995"/>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65"/>
      <c r="G232" s="4066"/>
      <c r="H232" s="1"/>
      <c r="L232" s="1"/>
      <c r="M232" s="1"/>
      <c r="N232" s="1"/>
      <c r="R232" s="2392"/>
      <c r="S232" s="3993"/>
      <c r="T232" s="3994"/>
      <c r="U232" s="3994"/>
      <c r="V232" s="3994"/>
      <c r="W232" s="3995"/>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5"/>
      <c r="G233" s="4066"/>
      <c r="H233" s="1"/>
      <c r="I233" s="10" t="s">
        <v>1348</v>
      </c>
      <c r="K233" s="2362" t="s">
        <v>4434</v>
      </c>
      <c r="O233" s="1590" t="s">
        <v>3359</v>
      </c>
      <c r="P233" s="10"/>
      <c r="Q233" s="4081">
        <f>Q242</f>
        <v>12500</v>
      </c>
      <c r="S233" s="3993"/>
      <c r="T233" s="3994"/>
      <c r="U233" s="3994"/>
      <c r="V233" s="3994"/>
      <c r="W233" s="3995"/>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69" t="s">
        <v>7055</v>
      </c>
      <c r="C234" s="4070"/>
      <c r="D234" s="4070"/>
      <c r="E234" s="4071"/>
      <c r="F234" s="4067">
        <v>4240</v>
      </c>
      <c r="G234" s="4068"/>
      <c r="H234" s="1"/>
      <c r="I234" s="1" t="s">
        <v>1341</v>
      </c>
      <c r="K234" s="452">
        <f>L234/12/P67</f>
        <v>16.666666666666668</v>
      </c>
      <c r="L234" s="4072">
        <v>10000</v>
      </c>
      <c r="M234" s="4073"/>
      <c r="N234" s="2681" t="str">
        <f>IF(Q233&lt;Q242, "WARNING! RR proposed is below the DCA required minimum.","")</f>
        <v/>
      </c>
      <c r="O234" s="953" t="s">
        <v>4433</v>
      </c>
      <c r="P234" s="948"/>
      <c r="Q234" s="954">
        <f>Q233/P242</f>
        <v>250</v>
      </c>
      <c r="R234" s="837"/>
      <c r="S234" s="3993"/>
      <c r="T234" s="3994"/>
      <c r="U234" s="3994"/>
      <c r="V234" s="3994"/>
      <c r="W234" s="3995"/>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74">
        <f>SUM(F229:G234)</f>
        <v>9240</v>
      </c>
      <c r="G235" s="2675"/>
      <c r="H235" s="1"/>
      <c r="I235" s="1" t="s">
        <v>1342</v>
      </c>
      <c r="K235" s="452">
        <f>L235/12/P67</f>
        <v>0</v>
      </c>
      <c r="L235" s="4074"/>
      <c r="M235" s="4075"/>
      <c r="N235" s="2682"/>
      <c r="O235" s="2683" t="s">
        <v>3553</v>
      </c>
      <c r="P235" s="2684"/>
      <c r="Q235" s="2685"/>
      <c r="S235" s="3993"/>
      <c r="T235" s="3994"/>
      <c r="U235" s="3994"/>
      <c r="V235" s="3994"/>
      <c r="W235" s="3995"/>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4515</v>
      </c>
      <c r="K236" s="452">
        <f>L236/12/P67</f>
        <v>5.25</v>
      </c>
      <c r="L236" s="4074">
        <v>3150</v>
      </c>
      <c r="M236" s="4075"/>
      <c r="N236" s="2682"/>
      <c r="O236" s="947" t="s">
        <v>2633</v>
      </c>
      <c r="P236" s="834" t="s">
        <v>3633</v>
      </c>
      <c r="Q236" s="949" t="s">
        <v>3322</v>
      </c>
      <c r="R236" s="5"/>
      <c r="S236" s="3993"/>
      <c r="T236" s="3994"/>
      <c r="U236" s="3994"/>
      <c r="V236" s="3994"/>
      <c r="W236" s="3995"/>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4">
        <v>5000</v>
      </c>
      <c r="M237" s="4075"/>
      <c r="N237" s="2682"/>
      <c r="O237" s="598" t="s">
        <v>37</v>
      </c>
      <c r="P237" s="599"/>
      <c r="Q237" s="600"/>
      <c r="R237" s="838"/>
      <c r="S237" s="3993"/>
      <c r="T237" s="3994"/>
      <c r="U237" s="3994"/>
      <c r="V237" s="3994"/>
      <c r="W237" s="3995"/>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2">
        <v>5000</v>
      </c>
      <c r="G238" s="4083"/>
      <c r="H238" s="1"/>
      <c r="I238" s="4076" t="s">
        <v>7056</v>
      </c>
      <c r="J238" s="4077"/>
      <c r="K238" s="4078"/>
      <c r="L238" s="4079">
        <v>1200</v>
      </c>
      <c r="M238" s="4080"/>
      <c r="N238" s="2682"/>
      <c r="O238" s="482" t="s">
        <v>3314</v>
      </c>
      <c r="P238" s="839" t="str">
        <f>CONCATENATE(SUM(MP48:MT48)," units x $",'DCA Underwriting Assumptions'!$Q$68," =")</f>
        <v>0 units x $350 =</v>
      </c>
      <c r="Q238" s="601">
        <f>SUM(MP48:MT48)*'DCA Underwriting Assumptions'!$Q$68</f>
        <v>0</v>
      </c>
      <c r="R238" s="4084"/>
      <c r="S238" s="3993"/>
      <c r="T238" s="3994"/>
      <c r="U238" s="3994"/>
      <c r="V238" s="3994"/>
      <c r="W238" s="3995"/>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5">
        <v>7500</v>
      </c>
      <c r="G239" s="4086"/>
      <c r="H239" s="1"/>
      <c r="I239" s="1"/>
      <c r="K239" s="11" t="s">
        <v>187</v>
      </c>
      <c r="L239" s="2676">
        <f>SUM(L234:L238)</f>
        <v>19350</v>
      </c>
      <c r="M239" s="2677"/>
      <c r="N239" s="2682"/>
      <c r="O239" s="482" t="s">
        <v>3313</v>
      </c>
      <c r="P239" s="839" t="str">
        <f>CONCATENATE(SUM(MU48:MY48)," units x $",'DCA Underwriting Assumptions'!$Q$69," =")</f>
        <v>50 units x $250 =</v>
      </c>
      <c r="Q239" s="601">
        <f>SUM(MU48:MY48)*'DCA Underwriting Assumptions'!$Q$69</f>
        <v>12500</v>
      </c>
      <c r="S239" s="3993"/>
      <c r="T239" s="3994"/>
      <c r="U239" s="3994"/>
      <c r="V239" s="3994"/>
      <c r="W239" s="3995"/>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5">
        <v>15000</v>
      </c>
      <c r="G240" s="4086"/>
      <c r="H240" s="1"/>
      <c r="K240" s="1"/>
      <c r="L240" s="1"/>
      <c r="N240" s="2682"/>
      <c r="O240" s="602" t="s">
        <v>3317</v>
      </c>
      <c r="P240" s="839" t="str">
        <f>CONCATENATE(SUM(MZ48:ND48)," units x $",'DCA Underwriting Assumptions'!$Q$70," =")</f>
        <v>0 units x $420 =</v>
      </c>
      <c r="Q240" s="601">
        <f>SUM(MZ48:ND48)*'DCA Underwriting Assumptions'!$Q$70</f>
        <v>0</v>
      </c>
      <c r="R240" s="834"/>
      <c r="S240" s="3993"/>
      <c r="T240" s="3994"/>
      <c r="U240" s="3994"/>
      <c r="V240" s="3994"/>
      <c r="W240" s="3995"/>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5">
        <v>4000</v>
      </c>
      <c r="G241" s="4066"/>
      <c r="H241" s="1"/>
      <c r="O241" s="602" t="s">
        <v>3312</v>
      </c>
      <c r="P241" s="839" t="str">
        <f>CONCATENATE(P125," units x $",'DCA Underwriting Assumptions'!$Q$70," =")</f>
        <v>0 units x $420 =</v>
      </c>
      <c r="Q241" s="601">
        <f>P125*'DCA Underwriting Assumptions'!$Q$70</f>
        <v>0</v>
      </c>
      <c r="R241" s="599"/>
      <c r="S241" s="3993"/>
      <c r="T241" s="3994"/>
      <c r="U241" s="3994"/>
      <c r="V241" s="3994"/>
      <c r="W241" s="3995"/>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5">
        <v>900</v>
      </c>
      <c r="G242" s="4066"/>
      <c r="H242" s="1"/>
      <c r="I242" s="10" t="s">
        <v>1349</v>
      </c>
      <c r="O242" s="950" t="s">
        <v>2636</v>
      </c>
      <c r="P242" s="951">
        <f>SUM(MP48:MT48)+SUM(MU48:MY48)+SUM(MZ48:ND48)+P125</f>
        <v>50</v>
      </c>
      <c r="Q242" s="952">
        <f>SUM(Q238:Q241)</f>
        <v>12500</v>
      </c>
      <c r="R242" s="839"/>
      <c r="S242" s="3993"/>
      <c r="T242" s="3994"/>
      <c r="U242" s="3994"/>
      <c r="V242" s="3994"/>
      <c r="W242" s="3995"/>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5"/>
      <c r="G243" s="4066"/>
      <c r="H243" s="1"/>
      <c r="I243" s="94" t="s">
        <v>4516</v>
      </c>
      <c r="K243" s="1"/>
      <c r="L243" s="4072">
        <v>37500</v>
      </c>
      <c r="M243" s="4073"/>
      <c r="R243" s="839"/>
      <c r="S243" s="3993"/>
      <c r="T243" s="3994"/>
      <c r="U243" s="3994"/>
      <c r="V243" s="3994"/>
      <c r="W243" s="3995"/>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5">
        <v>1000</v>
      </c>
      <c r="G244" s="4066"/>
      <c r="H244" s="1"/>
      <c r="I244" s="1" t="s">
        <v>143</v>
      </c>
      <c r="K244" s="1"/>
      <c r="L244" s="4074">
        <v>19600</v>
      </c>
      <c r="M244" s="4075"/>
      <c r="R244" s="839"/>
      <c r="S244" s="3993"/>
      <c r="T244" s="3994"/>
      <c r="U244" s="3994"/>
      <c r="V244" s="3994"/>
      <c r="W244" s="3995"/>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20.399999999999999" customHeight="1" thickBot="1">
      <c r="A245" s="1"/>
      <c r="B245" s="4069" t="s">
        <v>49</v>
      </c>
      <c r="C245" s="4070"/>
      <c r="D245" s="4070"/>
      <c r="E245" s="4071"/>
      <c r="F245" s="4067"/>
      <c r="G245" s="4068"/>
      <c r="H245" s="1"/>
      <c r="I245" s="4076" t="s">
        <v>7057</v>
      </c>
      <c r="J245" s="4077"/>
      <c r="K245" s="4078"/>
      <c r="L245" s="4087">
        <v>3500</v>
      </c>
      <c r="M245" s="4088"/>
      <c r="N245" s="1"/>
      <c r="R245" s="839"/>
      <c r="S245" s="3993"/>
      <c r="T245" s="3994"/>
      <c r="U245" s="3994"/>
      <c r="V245" s="3994"/>
      <c r="W245" s="3995"/>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79">
        <f>SUM(F238:G245)</f>
        <v>33400</v>
      </c>
      <c r="G246" s="2680"/>
      <c r="H246" s="1"/>
      <c r="K246" s="11" t="s">
        <v>187</v>
      </c>
      <c r="L246" s="2676">
        <f>SUM(L242:L245)</f>
        <v>60600</v>
      </c>
      <c r="M246" s="2678"/>
      <c r="N246" s="1"/>
      <c r="O246" s="10" t="s">
        <v>2136</v>
      </c>
      <c r="P246" s="1"/>
      <c r="Q246" s="401">
        <f>Q227+Q233</f>
        <v>243818</v>
      </c>
      <c r="R246" s="839"/>
      <c r="S246" s="4024"/>
      <c r="T246" s="4025"/>
      <c r="U246" s="4025"/>
      <c r="V246" s="4025"/>
      <c r="W246" s="4026"/>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4420</v>
      </c>
      <c r="C250" s="11"/>
      <c r="D250" s="1"/>
      <c r="E250" s="1"/>
      <c r="H250" s="12"/>
      <c r="I250" s="1489" t="s">
        <v>4421</v>
      </c>
      <c r="K250" s="4089"/>
      <c r="L250" s="4090"/>
      <c r="M250" s="1552" t="s">
        <v>4476</v>
      </c>
      <c r="N250" s="4091"/>
      <c r="O250" s="10" t="s">
        <v>4423</v>
      </c>
      <c r="P250" s="1"/>
      <c r="Q250" s="4092">
        <f>K250*N250</f>
        <v>0</v>
      </c>
      <c r="R250" s="837"/>
      <c r="S250" s="4093"/>
      <c r="T250" s="4094"/>
      <c r="U250" s="4094"/>
      <c r="V250" s="4094"/>
      <c r="W250" s="4095"/>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4477</v>
      </c>
      <c r="C252" s="11"/>
      <c r="D252" s="1"/>
      <c r="E252" s="1"/>
      <c r="F252" s="12"/>
      <c r="G252" s="12"/>
      <c r="H252" s="1"/>
      <c r="I252" s="1"/>
      <c r="J252" s="3954" t="s">
        <v>1727</v>
      </c>
      <c r="K252" s="1489" t="s">
        <v>4479</v>
      </c>
      <c r="L252" s="3954" t="s">
        <v>1727</v>
      </c>
      <c r="M252" s="72" t="s">
        <v>4480</v>
      </c>
      <c r="N252" s="4091"/>
      <c r="O252" s="461" t="s">
        <v>4478</v>
      </c>
      <c r="P252" s="1"/>
      <c r="Q252" s="4096"/>
      <c r="R252" s="837"/>
      <c r="S252" s="4093"/>
      <c r="T252" s="4094"/>
      <c r="U252" s="4094"/>
      <c r="V252" s="4094"/>
      <c r="W252" s="4095"/>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4419</v>
      </c>
      <c r="O254" s="13"/>
    </row>
    <row r="255" spans="1:503" ht="408.75" customHeight="1">
      <c r="A255" s="3819" t="s">
        <v>7089</v>
      </c>
      <c r="B255" s="3819"/>
      <c r="C255" s="3819"/>
      <c r="D255" s="3819"/>
      <c r="E255" s="3819"/>
      <c r="F255" s="3819"/>
      <c r="G255" s="3819"/>
      <c r="H255" s="3819"/>
      <c r="I255" s="3819"/>
      <c r="J255" s="3819"/>
      <c r="K255" s="3819"/>
      <c r="L255" s="3819"/>
      <c r="M255" s="3819"/>
      <c r="N255" s="3820"/>
      <c r="O255" s="3820"/>
      <c r="P255" s="3820"/>
      <c r="Q255" s="3820"/>
      <c r="R255" s="2686" t="s">
        <v>3787</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5"/>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5"/>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5"/>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g6HDFnj5aVma9Vdj/rbAooWExF2/mJ6W9d0qtTcx26Sg8qUHubsDGUvKjwcr+78FsGJ7uCMgddsC0hFSKB6t/A==" saltValue="mG3GzqcnnSq+9eJRMcZjaQ=="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2020-079 Spring Creek Crossing, Montezuma, Macon County</v>
      </c>
      <c r="B1" s="4097"/>
      <c r="C1" s="4097"/>
      <c r="D1" s="4097"/>
      <c r="E1" s="4097"/>
      <c r="F1" s="4097"/>
      <c r="G1" s="4097"/>
      <c r="H1" s="4097"/>
      <c r="I1" s="4097"/>
      <c r="J1" s="4097"/>
      <c r="K1" s="4098"/>
      <c r="L1" s="10"/>
      <c r="M1" s="10"/>
      <c r="N1" s="2693" t="str">
        <f>A1</f>
        <v>PART SEVEN - OPERATING PRO FORMA  -  2020-079 Spring Creek Crossing, Montezuma, Macon County</v>
      </c>
      <c r="O1" s="2693"/>
      <c r="P1" s="10"/>
    </row>
    <row r="2" spans="1:19" ht="13.5" customHeight="1">
      <c r="A2" s="479"/>
      <c r="B2" s="479"/>
      <c r="C2" s="479"/>
      <c r="D2" s="479"/>
      <c r="E2" s="479"/>
      <c r="F2" s="479"/>
      <c r="G2" s="479"/>
      <c r="H2" s="479"/>
      <c r="I2" s="479"/>
      <c r="J2" s="479"/>
      <c r="K2" s="479"/>
      <c r="N2" s="2694" t="s">
        <v>1798</v>
      </c>
      <c r="O2" s="2694"/>
    </row>
    <row r="3" spans="1:19" ht="13.5" customHeight="1">
      <c r="A3" s="13" t="s">
        <v>88</v>
      </c>
      <c r="C3" s="2695" t="str">
        <f>'Part I-Project Information'!$B$6</f>
        <v>May 26, 2020 Version</v>
      </c>
      <c r="D3" s="1139" t="s">
        <v>78</v>
      </c>
      <c r="E3" s="216"/>
      <c r="F3" s="1140" t="s">
        <v>3828</v>
      </c>
      <c r="N3" s="13" t="str">
        <f>A3</f>
        <v>I.  OPERATING ASSUMPTIONS</v>
      </c>
      <c r="O3" s="31"/>
    </row>
    <row r="4" spans="1:19" ht="2.4" customHeight="1">
      <c r="A4" s="16"/>
      <c r="B4" s="16"/>
      <c r="C4" s="2695"/>
      <c r="H4" s="16"/>
      <c r="I4" s="16"/>
    </row>
    <row r="5" spans="1:19" ht="13.5" customHeight="1">
      <c r="A5" s="16" t="s">
        <v>2137</v>
      </c>
      <c r="B5" s="77">
        <v>0.02</v>
      </c>
      <c r="C5" s="2695"/>
      <c r="D5" s="2671" t="s">
        <v>3829</v>
      </c>
      <c r="E5" s="2671"/>
      <c r="F5" s="2671"/>
      <c r="G5" s="4099">
        <v>5000</v>
      </c>
      <c r="H5" s="96" t="s">
        <v>1859</v>
      </c>
      <c r="K5" s="101">
        <f>IF(($B$14+$B$15+$B$16+$B$17)=0,"",B30/($B$14+$B$15+$B$16+$B$17))</f>
        <v>-1.6322697802957042E-2</v>
      </c>
      <c r="N5" s="4031"/>
      <c r="O5" s="4033"/>
    </row>
    <row r="6" spans="1:19">
      <c r="A6" s="16" t="s">
        <v>2138</v>
      </c>
      <c r="B6" s="77">
        <v>0.03</v>
      </c>
      <c r="C6" s="2695"/>
      <c r="D6" s="2671"/>
      <c r="E6" s="2671"/>
      <c r="F6" s="2671"/>
      <c r="G6" s="1141">
        <f>IF(OR('Part III-Sources of Funds'!E5="Yes",'Part III-Sources of Funds'!H5&gt;0),'DCA Underwriting Assumptions'!$Q$100,0)</f>
        <v>0</v>
      </c>
      <c r="H6" s="16"/>
      <c r="I6" s="16"/>
      <c r="J6" s="16"/>
      <c r="K6" s="16"/>
      <c r="N6" s="3993"/>
      <c r="O6" s="3995"/>
    </row>
    <row r="7" spans="1:19">
      <c r="A7" s="16" t="s">
        <v>2140</v>
      </c>
      <c r="B7" s="77">
        <v>0.03</v>
      </c>
      <c r="C7" s="2695"/>
      <c r="D7" s="79" t="s">
        <v>265</v>
      </c>
      <c r="G7" s="81"/>
      <c r="H7" s="96" t="s">
        <v>2313</v>
      </c>
      <c r="K7" s="101">
        <f>IF(($B$14+$B$15+$B$16+$B$17)=0,"",-B21/($B$14+$B$15+$B$16+$B$17))</f>
        <v>7.8348949454193795E-2</v>
      </c>
      <c r="N7" s="3993"/>
      <c r="O7" s="3995"/>
    </row>
    <row r="8" spans="1:19" ht="13.35" customHeight="1">
      <c r="A8" s="16" t="s">
        <v>2139</v>
      </c>
      <c r="B8" s="4100">
        <v>7.0000000000000007E-2</v>
      </c>
      <c r="C8" s="1480" t="str">
        <f>IF(B8&lt;0.07, "Must be &gt;= 7%!","")</f>
        <v/>
      </c>
      <c r="D8" s="78" t="s">
        <v>2442</v>
      </c>
      <c r="G8" s="4101" t="s">
        <v>2884</v>
      </c>
      <c r="H8" s="163" t="s">
        <v>1416</v>
      </c>
      <c r="K8" s="4102">
        <v>24000</v>
      </c>
      <c r="N8" s="3993"/>
      <c r="O8" s="3995"/>
    </row>
    <row r="9" spans="1:19">
      <c r="A9" s="16" t="s">
        <v>1390</v>
      </c>
      <c r="B9" s="77">
        <v>0.02</v>
      </c>
      <c r="D9" s="78" t="s">
        <v>1676</v>
      </c>
      <c r="G9" s="4103"/>
      <c r="H9" s="163" t="s">
        <v>2295</v>
      </c>
      <c r="K9" s="4104"/>
      <c r="N9" s="4024"/>
      <c r="O9" s="4026"/>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84" t="s">
        <v>2555</v>
      </c>
      <c r="O13" s="2484"/>
    </row>
    <row r="14" spans="1:19" ht="13.35" customHeight="1">
      <c r="A14" s="18" t="s">
        <v>2341</v>
      </c>
      <c r="B14" s="19">
        <f>'Part VI-Revenues &amp; Expenses'!$M$49</f>
        <v>322920</v>
      </c>
      <c r="C14" s="19">
        <f t="shared" ref="C14:K14" si="1">$B$14*(1+$B$5)^(C13-1)</f>
        <v>329378.40000000002</v>
      </c>
      <c r="D14" s="19">
        <f t="shared" si="1"/>
        <v>335965.96799999999</v>
      </c>
      <c r="E14" s="19">
        <f t="shared" si="1"/>
        <v>342685.28735999996</v>
      </c>
      <c r="F14" s="19">
        <f t="shared" si="1"/>
        <v>349538.99310720002</v>
      </c>
      <c r="G14" s="19">
        <f t="shared" si="1"/>
        <v>356529.77296934399</v>
      </c>
      <c r="H14" s="19">
        <f t="shared" si="1"/>
        <v>363660.36842873093</v>
      </c>
      <c r="I14" s="19">
        <f t="shared" si="1"/>
        <v>370933.57579730544</v>
      </c>
      <c r="J14" s="19">
        <f t="shared" si="1"/>
        <v>378352.2473132516</v>
      </c>
      <c r="K14" s="20">
        <f t="shared" si="1"/>
        <v>385919.2922595166</v>
      </c>
      <c r="N14" s="4031"/>
      <c r="O14" s="4033"/>
      <c r="S14" s="2688" t="s">
        <v>3834</v>
      </c>
    </row>
    <row r="15" spans="1:19" ht="13.35" customHeight="1">
      <c r="A15" s="21" t="s">
        <v>994</v>
      </c>
      <c r="B15" s="22">
        <f>MIN(B14*B9,'Part VI-Revenues &amp; Expenses'!$H$178)</f>
        <v>6458.4000000000005</v>
      </c>
      <c r="C15" s="22">
        <f t="shared" ref="C15:K15" si="2">$B$15*(1+$B$5)^(C13-1)</f>
        <v>6587.5680000000011</v>
      </c>
      <c r="D15" s="22">
        <f t="shared" si="2"/>
        <v>6719.3193600000004</v>
      </c>
      <c r="E15" s="22">
        <f t="shared" si="2"/>
        <v>6853.7057471999997</v>
      </c>
      <c r="F15" s="22">
        <f t="shared" si="2"/>
        <v>6990.7798621440006</v>
      </c>
      <c r="G15" s="22">
        <f t="shared" si="2"/>
        <v>7130.595459386881</v>
      </c>
      <c r="H15" s="22">
        <f t="shared" si="2"/>
        <v>7273.2073685746191</v>
      </c>
      <c r="I15" s="22">
        <f t="shared" si="2"/>
        <v>7418.6715159461091</v>
      </c>
      <c r="J15" s="22">
        <f t="shared" si="2"/>
        <v>7567.0449462650322</v>
      </c>
      <c r="K15" s="23">
        <f t="shared" si="2"/>
        <v>7718.3858451903334</v>
      </c>
      <c r="N15" s="3993"/>
      <c r="O15" s="3995"/>
      <c r="S15" s="2689"/>
    </row>
    <row r="16" spans="1:19" ht="13.35" customHeight="1">
      <c r="A16" s="21" t="s">
        <v>2342</v>
      </c>
      <c r="B16" s="22">
        <f t="shared" ref="B16:K16" si="3">-(B14+B15)*$B$8</f>
        <v>-23056.488000000005</v>
      </c>
      <c r="C16" s="22">
        <f t="shared" si="3"/>
        <v>-23517.617760000005</v>
      </c>
      <c r="D16" s="22">
        <f t="shared" si="3"/>
        <v>-23987.970115200005</v>
      </c>
      <c r="E16" s="22">
        <f t="shared" si="3"/>
        <v>-24467.729517503998</v>
      </c>
      <c r="F16" s="22">
        <f t="shared" si="3"/>
        <v>-24957.084107854083</v>
      </c>
      <c r="G16" s="22">
        <f t="shared" si="3"/>
        <v>-25456.225790011162</v>
      </c>
      <c r="H16" s="22">
        <f t="shared" si="3"/>
        <v>-25965.350305811393</v>
      </c>
      <c r="I16" s="22">
        <f t="shared" si="3"/>
        <v>-26484.657311927611</v>
      </c>
      <c r="J16" s="22">
        <f t="shared" si="3"/>
        <v>-27014.350458166169</v>
      </c>
      <c r="K16" s="23">
        <f t="shared" si="3"/>
        <v>-27554.637467329489</v>
      </c>
      <c r="N16" s="3993"/>
      <c r="O16" s="3995"/>
      <c r="Q16" s="2691" t="s">
        <v>3657</v>
      </c>
      <c r="R16" s="2691" t="s">
        <v>3833</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3"/>
      <c r="O17" s="3995"/>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3"/>
      <c r="O18" s="3995"/>
    </row>
    <row r="19" spans="1:19" ht="13.35" customHeight="1">
      <c r="A19" s="417" t="s">
        <v>4375</v>
      </c>
      <c r="B19" s="22">
        <f>SUM(B14:B18)</f>
        <v>306321.91200000001</v>
      </c>
      <c r="C19" s="22">
        <f t="shared" ref="C19:K19" si="4">SUM(C14:C18)</f>
        <v>312448.35024000006</v>
      </c>
      <c r="D19" s="22">
        <f t="shared" si="4"/>
        <v>318697.31724480004</v>
      </c>
      <c r="E19" s="22">
        <f t="shared" si="4"/>
        <v>325071.26358969597</v>
      </c>
      <c r="F19" s="22">
        <f t="shared" si="4"/>
        <v>331572.68886148988</v>
      </c>
      <c r="G19" s="22">
        <f t="shared" si="4"/>
        <v>338204.1426387197</v>
      </c>
      <c r="H19" s="22">
        <f t="shared" si="4"/>
        <v>344968.22549149417</v>
      </c>
      <c r="I19" s="22">
        <f t="shared" si="4"/>
        <v>351867.59000132396</v>
      </c>
      <c r="J19" s="22">
        <f t="shared" si="4"/>
        <v>358904.94180135051</v>
      </c>
      <c r="K19" s="23">
        <f t="shared" si="4"/>
        <v>366083.04063737742</v>
      </c>
      <c r="N19" s="3993"/>
      <c r="O19" s="3995"/>
    </row>
    <row r="20" spans="1:19" ht="13.35" customHeight="1">
      <c r="A20" s="21" t="s">
        <v>597</v>
      </c>
      <c r="B20" s="22">
        <f>-('Part VI-Revenues &amp; Expenses'!$Q$227-'Part VI-Revenues &amp; Expenses'!$Q$219)</f>
        <v>-207318</v>
      </c>
      <c r="C20" s="22">
        <f t="shared" ref="C20:K20" si="5">$B$20*(1+$B$6)^(C13-1)</f>
        <v>-213537.54</v>
      </c>
      <c r="D20" s="22">
        <f t="shared" si="5"/>
        <v>-219943.66619999998</v>
      </c>
      <c r="E20" s="22">
        <f t="shared" si="5"/>
        <v>-226541.97618600001</v>
      </c>
      <c r="F20" s="22">
        <f t="shared" si="5"/>
        <v>-233338.23547157997</v>
      </c>
      <c r="G20" s="22">
        <f t="shared" si="5"/>
        <v>-240338.38253572737</v>
      </c>
      <c r="H20" s="22">
        <f t="shared" si="5"/>
        <v>-247548.5340117992</v>
      </c>
      <c r="I20" s="22">
        <f t="shared" si="5"/>
        <v>-254974.9900321532</v>
      </c>
      <c r="J20" s="22">
        <f t="shared" si="5"/>
        <v>-262624.23973311775</v>
      </c>
      <c r="K20" s="23">
        <f t="shared" si="5"/>
        <v>-270502.96692511131</v>
      </c>
      <c r="N20" s="3993"/>
      <c r="O20" s="3995"/>
      <c r="Q20" s="62">
        <v>1</v>
      </c>
      <c r="R20" s="1043">
        <f>-B31</f>
        <v>57457</v>
      </c>
      <c r="S20" s="1043">
        <f>B32+R20</f>
        <v>57503.912000000011</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-24000</v>
      </c>
      <c r="C21" s="22">
        <f>IF(AND('Part VII-Pro Forma'!$G$8="Yes",'Part VII-Pro Forma'!$G$9="Yes"),"Choose One!",IF('Part VII-Pro Forma'!$G$8="Yes",ROUND((-$K$8*(1+'Part VII-Pro Forma'!$B$6)^('Part VII-Pro Forma'!C13-1)),),IF('Part VII-Pro Forma'!$G$9="Yes",ROUND((-(SUM(C14:C17)*'Part VII-Pro Forma'!$K$9)),),"Choose mgt fee")))</f>
        <v>-24720</v>
      </c>
      <c r="D21" s="22">
        <f>IF(AND('Part VII-Pro Forma'!$G$8="Yes",'Part VII-Pro Forma'!$G$9="Yes"),"Choose One!",IF('Part VII-Pro Forma'!$G$8="Yes",ROUND((-$K$8*(1+'Part VII-Pro Forma'!$B$6)^('Part VII-Pro Forma'!D13-1)),),IF('Part VII-Pro Forma'!$G$9="Yes",ROUND((-(SUM(D14:D17)*'Part VII-Pro Forma'!$K$9)),),"Choose mgt fee")))</f>
        <v>-25462</v>
      </c>
      <c r="E21" s="22">
        <f>IF(AND('Part VII-Pro Forma'!$G$8="Yes",'Part VII-Pro Forma'!$G$9="Yes"),"Choose One!",IF('Part VII-Pro Forma'!$G$8="Yes",ROUND((-$K$8*(1+'Part VII-Pro Forma'!$B$6)^('Part VII-Pro Forma'!E13-1)),),IF('Part VII-Pro Forma'!$G$9="Yes",ROUND((-(SUM(E14:E17)*'Part VII-Pro Forma'!$K$9)),),"Choose mgt fee")))</f>
        <v>-26225</v>
      </c>
      <c r="F21" s="22">
        <f>IF(AND('Part VII-Pro Forma'!$G$8="Yes",'Part VII-Pro Forma'!$G$9="Yes"),"Choose One!",IF('Part VII-Pro Forma'!$G$8="Yes",ROUND((-$K$8*(1+'Part VII-Pro Forma'!$B$6)^('Part VII-Pro Forma'!F13-1)),),IF('Part VII-Pro Forma'!$G$9="Yes",ROUND((-(SUM(F14:F17)*'Part VII-Pro Forma'!$K$9)),),"Choose mgt fee")))</f>
        <v>-27012</v>
      </c>
      <c r="G21" s="22">
        <f>IF(AND('Part VII-Pro Forma'!$G$8="Yes",'Part VII-Pro Forma'!$G$9="Yes"),"Choose One!",IF('Part VII-Pro Forma'!$G$8="Yes",ROUND((-$K$8*(1+'Part VII-Pro Forma'!$B$6)^('Part VII-Pro Forma'!G13-1)),),IF('Part VII-Pro Forma'!$G$9="Yes",ROUND((-(SUM(G14:G17)*'Part VII-Pro Forma'!$K$9)),),"Choose mgt fee")))</f>
        <v>-27823</v>
      </c>
      <c r="H21" s="22">
        <f>IF(AND('Part VII-Pro Forma'!$G$8="Yes",'Part VII-Pro Forma'!$G$9="Yes"),"Choose One!",IF('Part VII-Pro Forma'!$G$8="Yes",ROUND((-$K$8*(1+'Part VII-Pro Forma'!$B$6)^('Part VII-Pro Forma'!H13-1)),),IF('Part VII-Pro Forma'!$G$9="Yes",ROUND((-(SUM(H14:H17)*'Part VII-Pro Forma'!$K$9)),),"Choose mgt fee")))</f>
        <v>-28657</v>
      </c>
      <c r="I21" s="22">
        <f>IF(AND('Part VII-Pro Forma'!$G$8="Yes",'Part VII-Pro Forma'!$G$9="Yes"),"Choose One!",IF('Part VII-Pro Forma'!$G$8="Yes",ROUND((-$K$8*(1+'Part VII-Pro Forma'!$B$6)^('Part VII-Pro Forma'!I13-1)),),IF('Part VII-Pro Forma'!$G$9="Yes",ROUND((-(SUM(I14:I17)*'Part VII-Pro Forma'!$K$9)),),"Choose mgt fee")))</f>
        <v>-29517</v>
      </c>
      <c r="J21" s="22">
        <f>IF(AND('Part VII-Pro Forma'!$G$8="Yes",'Part VII-Pro Forma'!$G$9="Yes"),"Choose One!",IF('Part VII-Pro Forma'!$G$8="Yes",ROUND((-$K$8*(1+'Part VII-Pro Forma'!$B$6)^('Part VII-Pro Forma'!J13-1)),),IF('Part VII-Pro Forma'!$G$9="Yes",ROUND((-(SUM(J14:J17)*'Part VII-Pro Forma'!$K$9)),),"Choose mgt fee")))</f>
        <v>-30402</v>
      </c>
      <c r="K21" s="23">
        <f>IF(AND('Part VII-Pro Forma'!$G$8="Yes",'Part VII-Pro Forma'!$G$9="Yes"),"Choose One!",IF('Part VII-Pro Forma'!$G$8="Yes",ROUND((-$K$8*(1+'Part VII-Pro Forma'!$B$6)^('Part VII-Pro Forma'!K13-1)),),IF('Part VII-Pro Forma'!$G$9="Yes",ROUND((-(SUM(K14:K17)*'Part VII-Pro Forma'!$K$9)),),"Choose mgt fee")))</f>
        <v>-31315</v>
      </c>
      <c r="N21" s="3993"/>
      <c r="O21" s="3995"/>
      <c r="Q21" s="62">
        <v>2</v>
      </c>
      <c r="R21" s="1043">
        <f>-SUM(B31:C31)</f>
        <v>57457</v>
      </c>
      <c r="S21" s="1043">
        <f>SUM(B32:C32)+R21</f>
        <v>113819.72224000006</v>
      </c>
    </row>
    <row r="22" spans="1:19" ht="13.35" customHeight="1">
      <c r="A22" s="21" t="s">
        <v>1176</v>
      </c>
      <c r="B22" s="22">
        <f>-('Part VI-Revenues &amp; Expenses'!$Q$233)</f>
        <v>-12500</v>
      </c>
      <c r="C22" s="22">
        <f t="shared" ref="C22:K22" si="6">$B$22*(1+$B$7)^(C13-1)</f>
        <v>-12875</v>
      </c>
      <c r="D22" s="22">
        <f t="shared" si="6"/>
        <v>-13261.25</v>
      </c>
      <c r="E22" s="22">
        <f t="shared" si="6"/>
        <v>-13659.0875</v>
      </c>
      <c r="F22" s="22">
        <f t="shared" si="6"/>
        <v>-14068.860124999999</v>
      </c>
      <c r="G22" s="22">
        <f t="shared" si="6"/>
        <v>-14490.925928749997</v>
      </c>
      <c r="H22" s="22">
        <f t="shared" si="6"/>
        <v>-14925.653706612498</v>
      </c>
      <c r="I22" s="22">
        <f t="shared" si="6"/>
        <v>-15373.423317810875</v>
      </c>
      <c r="J22" s="22">
        <f t="shared" si="6"/>
        <v>-15834.626017345199</v>
      </c>
      <c r="K22" s="23">
        <f t="shared" si="6"/>
        <v>-16309.664797865556</v>
      </c>
      <c r="N22" s="3993"/>
      <c r="O22" s="3995"/>
      <c r="Q22" s="62">
        <v>3</v>
      </c>
      <c r="R22" s="1043">
        <f>-SUM(B31:D31)</f>
        <v>57457</v>
      </c>
      <c r="S22" s="1043">
        <f>SUM(B32:D32)+R22</f>
        <v>168850.12328480012</v>
      </c>
    </row>
    <row r="23" spans="1:19" ht="13.35" customHeight="1">
      <c r="A23" s="417" t="s">
        <v>4374</v>
      </c>
      <c r="B23" s="4105">
        <f>IF(B13&lt;=+'Part VI-Revenues &amp; Expenses'!$N$250,-'Part VI-Revenues &amp; Expenses'!$K$250,0)</f>
        <v>0</v>
      </c>
      <c r="C23" s="4105">
        <f>IF(C13&lt;=+'Part VI-Revenues &amp; Expenses'!$N$250,-'Part VI-Revenues &amp; Expenses'!$K$250,0)</f>
        <v>0</v>
      </c>
      <c r="D23" s="4105">
        <f>IF(D13&lt;=+'Part VI-Revenues &amp; Expenses'!$N$250,-'Part VI-Revenues &amp; Expenses'!$K$250,0)</f>
        <v>0</v>
      </c>
      <c r="E23" s="4105">
        <f>IF(E13&lt;=+'Part VI-Revenues &amp; Expenses'!$N$250,-'Part VI-Revenues &amp; Expenses'!$K$250,0)</f>
        <v>0</v>
      </c>
      <c r="F23" s="4105">
        <f>IF(F13&lt;=+'Part VI-Revenues &amp; Expenses'!$N$250,-'Part VI-Revenues &amp; Expenses'!$K$250,0)</f>
        <v>0</v>
      </c>
      <c r="G23" s="4105">
        <f>IF(G13&lt;=+'Part VI-Revenues &amp; Expenses'!$N$250,-'Part VI-Revenues &amp; Expenses'!$K$250,0)</f>
        <v>0</v>
      </c>
      <c r="H23" s="4105">
        <f>IF(H13&lt;=+'Part VI-Revenues &amp; Expenses'!$N$250,-'Part VI-Revenues &amp; Expenses'!$K$250,0)</f>
        <v>0</v>
      </c>
      <c r="I23" s="4105">
        <f>IF(I13&lt;=+'Part VI-Revenues &amp; Expenses'!$N$250,-'Part VI-Revenues &amp; Expenses'!$K$250,0)</f>
        <v>0</v>
      </c>
      <c r="J23" s="4105">
        <f>IF(J13&lt;=+'Part VI-Revenues &amp; Expenses'!$N$250,-'Part VI-Revenues &amp; Expenses'!$K$250,0)</f>
        <v>0</v>
      </c>
      <c r="K23" s="4105">
        <f>IF(K13&lt;=+'Part VI-Revenues &amp; Expenses'!$N$250,-'Part VI-Revenues &amp; Expenses'!$K$250,0)</f>
        <v>0</v>
      </c>
      <c r="N23" s="3993"/>
      <c r="O23" s="3995"/>
      <c r="Q23" s="929">
        <v>4</v>
      </c>
      <c r="R23" s="1043">
        <f>-SUM(B31:E31)</f>
        <v>57457</v>
      </c>
      <c r="S23" s="1043">
        <f>SUM(B32:E32)+R23</f>
        <v>222495.32318849608</v>
      </c>
    </row>
    <row r="24" spans="1:19" ht="13.35" customHeight="1">
      <c r="A24" s="21" t="s">
        <v>1177</v>
      </c>
      <c r="B24" s="22">
        <f>SUM(B19:B23)</f>
        <v>62503.912000000011</v>
      </c>
      <c r="C24" s="22">
        <f t="shared" ref="C24:J24" si="7">SUM(C19:C23)</f>
        <v>61315.81024000005</v>
      </c>
      <c r="D24" s="22">
        <f t="shared" si="7"/>
        <v>60030.401044800063</v>
      </c>
      <c r="E24" s="22">
        <f t="shared" si="7"/>
        <v>58645.199903695953</v>
      </c>
      <c r="F24" s="22">
        <f t="shared" si="7"/>
        <v>57153.593264909905</v>
      </c>
      <c r="G24" s="22">
        <f t="shared" si="7"/>
        <v>55551.834174242329</v>
      </c>
      <c r="H24" s="22">
        <f t="shared" si="7"/>
        <v>53837.037773082469</v>
      </c>
      <c r="I24" s="22">
        <f t="shared" si="7"/>
        <v>52002.176651359878</v>
      </c>
      <c r="J24" s="22">
        <f t="shared" si="7"/>
        <v>50044.076050887554</v>
      </c>
      <c r="K24" s="1482">
        <f>SUM(K19:K23)</f>
        <v>47955.408914400556</v>
      </c>
      <c r="N24" s="3993"/>
      <c r="O24" s="3995"/>
      <c r="Q24" s="929">
        <v>5</v>
      </c>
      <c r="R24" s="1043">
        <f>-SUM(B31:F31)</f>
        <v>57457</v>
      </c>
      <c r="S24" s="1043">
        <f>SUM(B32:F32)+R24</f>
        <v>274648.91645340598</v>
      </c>
    </row>
    <row r="25" spans="1:19" ht="13.35" customHeight="1">
      <c r="A25" s="417" t="s">
        <v>1558</v>
      </c>
      <c r="B25" s="4106">
        <f>IF('Part III-Sources of Funds'!$P$38="", 0,-'Part III-Sources of Funds'!$P$38)</f>
        <v>0</v>
      </c>
      <c r="C25" s="4106">
        <f>IF('Part III-Sources of Funds'!$P$38="", 0,-'Part III-Sources of Funds'!$P$38)</f>
        <v>0</v>
      </c>
      <c r="D25" s="4106">
        <f>IF('Part III-Sources of Funds'!$P$38="", 0,-'Part III-Sources of Funds'!$P$38)</f>
        <v>0</v>
      </c>
      <c r="E25" s="4106">
        <f>IF('Part III-Sources of Funds'!$P$38="", 0,-'Part III-Sources of Funds'!$P$38)</f>
        <v>0</v>
      </c>
      <c r="F25" s="4106">
        <f>IF('Part III-Sources of Funds'!$P$38="", 0,-'Part III-Sources of Funds'!$P$38)</f>
        <v>0</v>
      </c>
      <c r="G25" s="4106">
        <f>IF('Part III-Sources of Funds'!$P$38="", 0,-'Part III-Sources of Funds'!$P$38)</f>
        <v>0</v>
      </c>
      <c r="H25" s="4106">
        <f>IF('Part III-Sources of Funds'!$P$38="", 0,-'Part III-Sources of Funds'!$P$38)</f>
        <v>0</v>
      </c>
      <c r="I25" s="4106">
        <f>IF('Part III-Sources of Funds'!$P$38="", 0,-'Part III-Sources of Funds'!$P$38)</f>
        <v>0</v>
      </c>
      <c r="J25" s="4106">
        <f>IF('Part III-Sources of Funds'!$P$38="", 0,-'Part III-Sources of Funds'!$P$38)</f>
        <v>0</v>
      </c>
      <c r="K25" s="4106">
        <f>IF('Part III-Sources of Funds'!$P$38="", 0,-'Part III-Sources of Funds'!$P$38)</f>
        <v>0</v>
      </c>
      <c r="N25" s="3993"/>
      <c r="O25" s="3995"/>
      <c r="Q25" s="929">
        <v>6</v>
      </c>
      <c r="R25" s="1043">
        <f>-SUM(B31:G31)</f>
        <v>57457</v>
      </c>
      <c r="S25" s="1043">
        <f>SUM(B32:G32)+R25</f>
        <v>325200.75062764832</v>
      </c>
    </row>
    <row r="26" spans="1:19" ht="13.35" customHeight="1">
      <c r="A26" s="417" t="s">
        <v>1559</v>
      </c>
      <c r="B26" s="4107">
        <f>IF('Part III-Sources of Funds'!$P$39="", 0,-'Part III-Sources of Funds'!$P$39)</f>
        <v>0</v>
      </c>
      <c r="C26" s="4107">
        <f>IF('Part III-Sources of Funds'!$P$39="", 0,-'Part III-Sources of Funds'!$P$39)</f>
        <v>0</v>
      </c>
      <c r="D26" s="4107">
        <f>IF('Part III-Sources of Funds'!$P$39="", 0,-'Part III-Sources of Funds'!$P$39)</f>
        <v>0</v>
      </c>
      <c r="E26" s="4107">
        <f>IF('Part III-Sources of Funds'!$P$39="", 0,-'Part III-Sources of Funds'!$P$39)</f>
        <v>0</v>
      </c>
      <c r="F26" s="4107">
        <f>IF('Part III-Sources of Funds'!$P$39="", 0,-'Part III-Sources of Funds'!$P$39)</f>
        <v>0</v>
      </c>
      <c r="G26" s="4107">
        <f>IF('Part III-Sources of Funds'!$P$39="", 0,-'Part III-Sources of Funds'!$P$39)</f>
        <v>0</v>
      </c>
      <c r="H26" s="4107">
        <f>IF('Part III-Sources of Funds'!$P$39="", 0,-'Part III-Sources of Funds'!$P$39)</f>
        <v>0</v>
      </c>
      <c r="I26" s="4107">
        <f>IF('Part III-Sources of Funds'!$P$39="", 0,-'Part III-Sources of Funds'!$P$39)</f>
        <v>0</v>
      </c>
      <c r="J26" s="4107">
        <f>IF('Part III-Sources of Funds'!$P$39="", 0,-'Part III-Sources of Funds'!$P$39)</f>
        <v>0</v>
      </c>
      <c r="K26" s="4107">
        <f>IF('Part III-Sources of Funds'!$P$39="", 0,-'Part III-Sources of Funds'!$P$39)</f>
        <v>0</v>
      </c>
      <c r="N26" s="3993"/>
      <c r="O26" s="3995"/>
      <c r="Q26" s="929">
        <v>7</v>
      </c>
      <c r="R26" s="1043">
        <f>-SUM(B31:H31)</f>
        <v>57457</v>
      </c>
      <c r="S26" s="1043">
        <f>SUM(B32:H32)+R26</f>
        <v>374037.78840073082</v>
      </c>
    </row>
    <row r="27" spans="1:19" ht="13.35" customHeight="1">
      <c r="A27" s="417" t="s">
        <v>1560</v>
      </c>
      <c r="B27" s="4107">
        <f>IF('Part III-Sources of Funds'!$P$40="", 0,-'Part III-Sources of Funds'!$P$40)</f>
        <v>0</v>
      </c>
      <c r="C27" s="4107">
        <f>IF('Part III-Sources of Funds'!$P$40="", 0,-'Part III-Sources of Funds'!$P$40)</f>
        <v>0</v>
      </c>
      <c r="D27" s="4107">
        <f>IF('Part III-Sources of Funds'!$P$40="", 0,-'Part III-Sources of Funds'!$P$40)</f>
        <v>0</v>
      </c>
      <c r="E27" s="4107">
        <f>IF('Part III-Sources of Funds'!$P$40="", 0,-'Part III-Sources of Funds'!$P$40)</f>
        <v>0</v>
      </c>
      <c r="F27" s="4107">
        <f>IF('Part III-Sources of Funds'!$P$40="", 0,-'Part III-Sources of Funds'!$P$40)</f>
        <v>0</v>
      </c>
      <c r="G27" s="4107">
        <f>IF('Part III-Sources of Funds'!$P$40="", 0,-'Part III-Sources of Funds'!$P$40)</f>
        <v>0</v>
      </c>
      <c r="H27" s="4107">
        <f>IF('Part III-Sources of Funds'!$P$40="", 0,-'Part III-Sources of Funds'!$P$40)</f>
        <v>0</v>
      </c>
      <c r="I27" s="4107">
        <f>IF('Part III-Sources of Funds'!$P$40="", 0,-'Part III-Sources of Funds'!$P$40)</f>
        <v>0</v>
      </c>
      <c r="J27" s="4107">
        <f>IF('Part III-Sources of Funds'!$P$40="", 0,-'Part III-Sources of Funds'!$P$40)</f>
        <v>0</v>
      </c>
      <c r="K27" s="4107">
        <f>IF('Part III-Sources of Funds'!$P$40="", 0,-'Part III-Sources of Funds'!$P$40)</f>
        <v>0</v>
      </c>
      <c r="N27" s="3993"/>
      <c r="O27" s="3995"/>
      <c r="Q27" s="929">
        <v>8</v>
      </c>
      <c r="R27" s="1043">
        <f>-SUM(B31:I31)</f>
        <v>57457</v>
      </c>
      <c r="S27" s="1043">
        <f>SUM(B32:I32)+R27</f>
        <v>421039.9650520907</v>
      </c>
    </row>
    <row r="28" spans="1:19" ht="13.35" customHeight="1">
      <c r="A28" s="417" t="s">
        <v>3634</v>
      </c>
      <c r="B28" s="4107">
        <f>IF('Part III-Sources of Funds'!$P$41="", 0,-'Part III-Sources of Funds'!$P$41)</f>
        <v>0</v>
      </c>
      <c r="C28" s="4107">
        <f>IF('Part III-Sources of Funds'!$P$41="", 0,-'Part III-Sources of Funds'!$P$41)</f>
        <v>0</v>
      </c>
      <c r="D28" s="4107">
        <f>IF('Part III-Sources of Funds'!$P$41="", 0,-'Part III-Sources of Funds'!$P$41)</f>
        <v>0</v>
      </c>
      <c r="E28" s="4107">
        <f>IF('Part III-Sources of Funds'!$P$41="", 0,-'Part III-Sources of Funds'!$P$41)</f>
        <v>0</v>
      </c>
      <c r="F28" s="4107">
        <f>IF('Part III-Sources of Funds'!$P$41="", 0,-'Part III-Sources of Funds'!$P$41)</f>
        <v>0</v>
      </c>
      <c r="G28" s="4107">
        <f>IF('Part III-Sources of Funds'!$P$41="", 0,-'Part III-Sources of Funds'!$P$41)</f>
        <v>0</v>
      </c>
      <c r="H28" s="4107">
        <f>IF('Part III-Sources of Funds'!$P$41="", 0,-'Part III-Sources of Funds'!$P$41)</f>
        <v>0</v>
      </c>
      <c r="I28" s="4107">
        <f>IF('Part III-Sources of Funds'!$P$41="", 0,-'Part III-Sources of Funds'!$P$41)</f>
        <v>0</v>
      </c>
      <c r="J28" s="4107">
        <f>IF('Part III-Sources of Funds'!$P$41="", 0,-'Part III-Sources of Funds'!$P$41)</f>
        <v>0</v>
      </c>
      <c r="K28" s="4107">
        <f>IF('Part III-Sources of Funds'!$P$41="", 0,-'Part III-Sources of Funds'!$P$41)</f>
        <v>0</v>
      </c>
      <c r="N28" s="3993"/>
      <c r="O28" s="3995"/>
      <c r="Q28" s="929">
        <v>9</v>
      </c>
      <c r="R28" s="1043">
        <f>-SUM(B31:J31)</f>
        <v>57457</v>
      </c>
      <c r="S28" s="1043">
        <f>SUM(B32:J32)+R28</f>
        <v>466084.04110297828</v>
      </c>
    </row>
    <row r="29" spans="1:19" ht="13.35" customHeight="1">
      <c r="A29" s="21" t="s">
        <v>745</v>
      </c>
      <c r="B29" s="4108"/>
      <c r="C29" s="4108"/>
      <c r="D29" s="4108"/>
      <c r="E29" s="4108"/>
      <c r="F29" s="4108"/>
      <c r="G29" s="4108"/>
      <c r="H29" s="4108"/>
      <c r="I29" s="4108"/>
      <c r="J29" s="4108"/>
      <c r="K29" s="4108"/>
      <c r="N29" s="3993"/>
      <c r="O29" s="3995"/>
      <c r="Q29" s="929">
        <v>10</v>
      </c>
      <c r="R29" s="1043">
        <f>-SUM(B31:K31)</f>
        <v>57457</v>
      </c>
      <c r="S29" s="1043">
        <f>SUM(B32:K32)+R29</f>
        <v>509039.45001737884</v>
      </c>
    </row>
    <row r="30" spans="1:19" ht="13.35" customHeight="1">
      <c r="A30" s="417" t="s">
        <v>1141</v>
      </c>
      <c r="B30" s="4109">
        <f>-$G$5</f>
        <v>-5000</v>
      </c>
      <c r="C30" s="4109">
        <f t="shared" ref="C30:K30" si="8">+B30</f>
        <v>-5000</v>
      </c>
      <c r="D30" s="4109">
        <f t="shared" si="8"/>
        <v>-5000</v>
      </c>
      <c r="E30" s="4109">
        <f t="shared" si="8"/>
        <v>-5000</v>
      </c>
      <c r="F30" s="4109">
        <f t="shared" si="8"/>
        <v>-5000</v>
      </c>
      <c r="G30" s="4109">
        <f t="shared" si="8"/>
        <v>-5000</v>
      </c>
      <c r="H30" s="4109">
        <f t="shared" si="8"/>
        <v>-5000</v>
      </c>
      <c r="I30" s="4109">
        <f t="shared" si="8"/>
        <v>-5000</v>
      </c>
      <c r="J30" s="4109">
        <f t="shared" si="8"/>
        <v>-5000</v>
      </c>
      <c r="K30" s="4109">
        <f t="shared" si="8"/>
        <v>-5000</v>
      </c>
      <c r="N30" s="3993"/>
      <c r="O30" s="3995"/>
      <c r="Q30" s="929">
        <v>11</v>
      </c>
      <c r="R30" s="1043">
        <f>-SUM(B31:K31)-B63</f>
        <v>57457</v>
      </c>
      <c r="S30" s="1043">
        <f>SUM(B32:K32)+B64+R30</f>
        <v>549773.1407928376</v>
      </c>
    </row>
    <row r="31" spans="1:19" ht="13.35" customHeight="1">
      <c r="A31" s="417" t="s">
        <v>3768</v>
      </c>
      <c r="B31" s="4110">
        <v>-57457</v>
      </c>
      <c r="C31" s="4110">
        <f>IF('Part III-Sources of Funds'!$P$43="", 0,-'Part III-Sources of Funds'!$P$43)</f>
        <v>0</v>
      </c>
      <c r="D31" s="4110">
        <f>IF('Part III-Sources of Funds'!$P$43="", 0,-'Part III-Sources of Funds'!$P$43)</f>
        <v>0</v>
      </c>
      <c r="E31" s="4110">
        <f>IF('Part III-Sources of Funds'!$P$43="", 0,-'Part III-Sources of Funds'!$P$43)</f>
        <v>0</v>
      </c>
      <c r="F31" s="4110">
        <f>IF('Part III-Sources of Funds'!$P$43="", 0,-'Part III-Sources of Funds'!$P$43)</f>
        <v>0</v>
      </c>
      <c r="G31" s="4110">
        <f>IF('Part III-Sources of Funds'!$P$43="", 0,-'Part III-Sources of Funds'!$P$43)</f>
        <v>0</v>
      </c>
      <c r="H31" s="4110">
        <f>IF('Part III-Sources of Funds'!$P$43="", 0,-'Part III-Sources of Funds'!$P$43)</f>
        <v>0</v>
      </c>
      <c r="I31" s="4110">
        <f>IF('Part III-Sources of Funds'!$P$43="", 0,-'Part III-Sources of Funds'!$P$43)</f>
        <v>0</v>
      </c>
      <c r="J31" s="4110">
        <f>IF('Part III-Sources of Funds'!$P$43="", 0,-'Part III-Sources of Funds'!$P$43)</f>
        <v>0</v>
      </c>
      <c r="K31" s="4110">
        <f>IF('Part III-Sources of Funds'!$P$43="", 0,-'Part III-Sources of Funds'!$P$43)</f>
        <v>0</v>
      </c>
      <c r="N31" s="3993"/>
      <c r="O31" s="3995"/>
      <c r="Q31" s="929">
        <v>12</v>
      </c>
      <c r="R31" s="1043">
        <f>-SUM(B31:K31) - SUM(B63:C63)</f>
        <v>57457</v>
      </c>
      <c r="S31" s="1043">
        <f>SUM(B32:K32) + SUM(B64:C64)+R31</f>
        <v>588144.41527705896</v>
      </c>
    </row>
    <row r="32" spans="1:19" ht="13.35" customHeight="1">
      <c r="A32" s="21" t="s">
        <v>1142</v>
      </c>
      <c r="B32" s="22">
        <f t="shared" ref="B32:K32" si="9">SUM(B24:B31)</f>
        <v>46.912000000011176</v>
      </c>
      <c r="C32" s="22">
        <f t="shared" si="9"/>
        <v>56315.81024000005</v>
      </c>
      <c r="D32" s="22">
        <f t="shared" si="9"/>
        <v>55030.401044800063</v>
      </c>
      <c r="E32" s="22">
        <f t="shared" si="9"/>
        <v>53645.199903695953</v>
      </c>
      <c r="F32" s="22">
        <f t="shared" si="9"/>
        <v>52153.593264909905</v>
      </c>
      <c r="G32" s="22">
        <f t="shared" si="9"/>
        <v>50551.834174242329</v>
      </c>
      <c r="H32" s="22">
        <f t="shared" si="9"/>
        <v>48837.037773082469</v>
      </c>
      <c r="I32" s="22">
        <f t="shared" si="9"/>
        <v>47002.176651359878</v>
      </c>
      <c r="J32" s="22">
        <f t="shared" si="9"/>
        <v>45044.076050887554</v>
      </c>
      <c r="K32" s="23">
        <f t="shared" si="9"/>
        <v>42955.408914400556</v>
      </c>
      <c r="N32" s="3993"/>
      <c r="O32" s="3995"/>
      <c r="Q32" s="929">
        <v>13</v>
      </c>
      <c r="R32" s="1043">
        <f>-SUM(B31:K31) - SUM(B63:D63)</f>
        <v>57457</v>
      </c>
      <c r="S32" s="1043">
        <f>SUM(B32:K32) + SUM(B64:D64)+R32</f>
        <v>624008.76004101569</v>
      </c>
    </row>
    <row r="33" spans="1:19" ht="13.35" customHeight="1">
      <c r="A33" s="21" t="str">
        <f>IF('Part III-Sources of Funds'!$E$38 = "Neither", "", "DCR Mortgage A")</f>
        <v>DCR Mortgage A</v>
      </c>
      <c r="B33" s="24" t="str">
        <f t="shared" ref="B33:K33" si="10">IF(B25=0,"",-B24/B25)</f>
        <v/>
      </c>
      <c r="C33" s="24" t="str">
        <f t="shared" si="10"/>
        <v/>
      </c>
      <c r="D33" s="24" t="str">
        <f t="shared" si="10"/>
        <v/>
      </c>
      <c r="E33" s="24" t="str">
        <f t="shared" si="10"/>
        <v/>
      </c>
      <c r="F33" s="24" t="str">
        <f t="shared" si="10"/>
        <v/>
      </c>
      <c r="G33" s="24" t="str">
        <f t="shared" si="10"/>
        <v/>
      </c>
      <c r="H33" s="24" t="str">
        <f t="shared" si="10"/>
        <v/>
      </c>
      <c r="I33" s="24" t="str">
        <f t="shared" si="10"/>
        <v/>
      </c>
      <c r="J33" s="24" t="str">
        <f t="shared" si="10"/>
        <v/>
      </c>
      <c r="K33" s="25" t="str">
        <f t="shared" si="10"/>
        <v/>
      </c>
      <c r="N33" s="3993"/>
      <c r="O33" s="3995"/>
      <c r="Q33" s="929">
        <v>14</v>
      </c>
      <c r="R33" s="1043">
        <f>-SUM(B31:K31) - SUM(B63:E63)</f>
        <v>57457</v>
      </c>
      <c r="S33" s="1043">
        <f>SUM(B32:K32) + SUM(B64:E64)+R33</f>
        <v>657213.67263400403</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93"/>
      <c r="O34" s="3995"/>
      <c r="Q34" s="929">
        <v>15</v>
      </c>
      <c r="R34" s="1043">
        <f>-SUM(B31:K31) - SUM(B63:F63)</f>
        <v>57457</v>
      </c>
      <c r="S34" s="1043">
        <f>SUM(B32:K32) + SUM(B64:F64)+R34</f>
        <v>687602.48204061727</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3"/>
      <c r="O35" s="3995"/>
      <c r="Q35" s="62">
        <v>16</v>
      </c>
      <c r="R35" s="1043">
        <f>-SUM(B31:K31) - SUM(B63:G63)</f>
        <v>57457</v>
      </c>
      <c r="S35" s="1043">
        <f>SUM(B32:K32) + SUM(B64:G64)+R35</f>
        <v>715011.16315398051</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3"/>
      <c r="O36" s="3995"/>
      <c r="Q36" s="62">
        <v>17</v>
      </c>
      <c r="R36" s="1043">
        <f>-SUM(B31:K31) - SUM(B63:H63)</f>
        <v>57457</v>
      </c>
      <c r="S36" s="1043">
        <f>SUM(B32:K32) + SUM(B64:H64)+R36</f>
        <v>739269.14507378777</v>
      </c>
    </row>
    <row r="37" spans="1:19" ht="13.35" customHeight="1">
      <c r="A37" s="417" t="s">
        <v>3532</v>
      </c>
      <c r="B37" s="24" t="str">
        <f t="shared" ref="B37:K37" si="14">IF(AND(B25=0,B26=0,B27=0,B28=0),"",-B24/(B25+B26+B27+B28))</f>
        <v/>
      </c>
      <c r="C37" s="24" t="str">
        <f t="shared" si="14"/>
        <v/>
      </c>
      <c r="D37" s="24" t="str">
        <f t="shared" si="14"/>
        <v/>
      </c>
      <c r="E37" s="24" t="str">
        <f t="shared" si="14"/>
        <v/>
      </c>
      <c r="F37" s="24" t="str">
        <f t="shared" si="14"/>
        <v/>
      </c>
      <c r="G37" s="24" t="str">
        <f t="shared" si="14"/>
        <v/>
      </c>
      <c r="H37" s="24" t="str">
        <f t="shared" si="14"/>
        <v/>
      </c>
      <c r="I37" s="24" t="str">
        <f t="shared" si="14"/>
        <v/>
      </c>
      <c r="J37" s="24" t="str">
        <f t="shared" si="14"/>
        <v/>
      </c>
      <c r="K37" s="25" t="str">
        <f t="shared" si="14"/>
        <v/>
      </c>
      <c r="N37" s="3993"/>
      <c r="O37" s="3995"/>
      <c r="Q37" s="62">
        <v>18</v>
      </c>
      <c r="R37" s="1043">
        <f>-SUM(B31:K31) - SUM(B63:I63)</f>
        <v>57457</v>
      </c>
      <c r="S37" s="1043">
        <f>SUM(B32:K32) + SUM(B64:I64)+R37</f>
        <v>760200.11303169304</v>
      </c>
    </row>
    <row r="38" spans="1:19" ht="13.35" customHeight="1">
      <c r="A38" s="21" t="s">
        <v>752</v>
      </c>
      <c r="B38" s="265">
        <f t="shared" ref="B38:K38" si="15">IF(OR(B21="Choose mgt fee",B21="Choose One!"),"",(B14+B15+B16+B17+B18) / -(B20+B21+B22))</f>
        <v>1.2563547892280309</v>
      </c>
      <c r="C38" s="265">
        <f t="shared" si="15"/>
        <v>1.2441571699151375</v>
      </c>
      <c r="D38" s="265">
        <f t="shared" si="15"/>
        <v>1.2320760688173391</v>
      </c>
      <c r="E38" s="265">
        <f t="shared" si="15"/>
        <v>1.2201181036582556</v>
      </c>
      <c r="F38" s="265">
        <f t="shared" si="15"/>
        <v>1.20827119607205</v>
      </c>
      <c r="G38" s="265">
        <f t="shared" si="15"/>
        <v>1.1965376984749583</v>
      </c>
      <c r="H38" s="265">
        <f t="shared" si="15"/>
        <v>1.1849236359560174</v>
      </c>
      <c r="I38" s="265">
        <f t="shared" si="15"/>
        <v>1.1734183881709281</v>
      </c>
      <c r="J38" s="265">
        <f t="shared" si="15"/>
        <v>1.1620278954062104</v>
      </c>
      <c r="K38" s="266">
        <f t="shared" si="15"/>
        <v>1.1507426709672293</v>
      </c>
      <c r="N38" s="3993"/>
      <c r="O38" s="3995"/>
      <c r="Q38" s="929">
        <v>19</v>
      </c>
      <c r="R38" s="1043">
        <f>-SUM(B31:K31) - SUM(B63:J63)</f>
        <v>57457</v>
      </c>
      <c r="S38" s="1043">
        <f>SUM(B32:K32) + SUM(B64:J64)+R38</f>
        <v>777619.80374044925</v>
      </c>
    </row>
    <row r="39" spans="1:19" ht="13.35" customHeight="1">
      <c r="A39" s="417" t="s">
        <v>2549</v>
      </c>
      <c r="B39" s="4111" t="str">
        <f>IF('Part III-Sources of Funds'!$I$38="","",-FV('Part III-Sources of Funds'!$K$38/12,12,B25/12,'Part III-Sources of Funds'!$I$38))</f>
        <v/>
      </c>
      <c r="C39" s="4111" t="str">
        <f>IF('Part III-Sources of Funds'!$I$38="","",-FV('Part III-Sources of Funds'!$K$38/12,12,C25/12,B39))</f>
        <v/>
      </c>
      <c r="D39" s="4111" t="str">
        <f>IF('Part III-Sources of Funds'!$I$38="","",-FV('Part III-Sources of Funds'!$K$38/12,12,D25/12,C39))</f>
        <v/>
      </c>
      <c r="E39" s="4111" t="str">
        <f>IF('Part III-Sources of Funds'!$I$38="","",-FV('Part III-Sources of Funds'!$K$38/12,12,E25/12,D39))</f>
        <v/>
      </c>
      <c r="F39" s="4111" t="str">
        <f>IF('Part III-Sources of Funds'!$I$38="","",-FV('Part III-Sources of Funds'!$K$38/12,12,F25/12,E39))</f>
        <v/>
      </c>
      <c r="G39" s="4111" t="str">
        <f>IF('Part III-Sources of Funds'!$I$38="","",-FV('Part III-Sources of Funds'!$K$38/12,12,G25/12,F39))</f>
        <v/>
      </c>
      <c r="H39" s="4111" t="str">
        <f>IF('Part III-Sources of Funds'!$I$38="","",-FV('Part III-Sources of Funds'!$K$38/12,12,H25/12,G39))</f>
        <v/>
      </c>
      <c r="I39" s="4111" t="str">
        <f>IF('Part III-Sources of Funds'!$I$38="","",-FV('Part III-Sources of Funds'!$K$38/12,12,I25/12,H39))</f>
        <v/>
      </c>
      <c r="J39" s="4111" t="str">
        <f>IF('Part III-Sources of Funds'!$I$38="","",-FV('Part III-Sources of Funds'!$K$38/12,12,J25/12,I39))</f>
        <v/>
      </c>
      <c r="K39" s="4111" t="str">
        <f>IF('Part III-Sources of Funds'!$I$38="","",-FV('Part III-Sources of Funds'!$K$38/12,12,K25/12,J39))</f>
        <v/>
      </c>
      <c r="N39" s="3993"/>
      <c r="O39" s="3995"/>
      <c r="Q39" s="929">
        <v>20</v>
      </c>
      <c r="R39" s="1043">
        <f>-SUM(B31:K31) - SUM(B63:K63)</f>
        <v>57457</v>
      </c>
      <c r="S39" s="1043">
        <f>SUM(B32:K32) + SUM(B64:K64)+R39</f>
        <v>791336.79395682411</v>
      </c>
    </row>
    <row r="40" spans="1:19" ht="13.35" customHeight="1">
      <c r="A40" s="417" t="s">
        <v>2550</v>
      </c>
      <c r="B40" s="4107" t="str">
        <f>IF('Part III-Sources of Funds'!$I$39="","",-FV('Part III-Sources of Funds'!$K$39/12,12,B26/12,'Part III-Sources of Funds'!$I$39))</f>
        <v/>
      </c>
      <c r="C40" s="4107" t="str">
        <f>IF('Part III-Sources of Funds'!$I$39="","",-FV('Part III-Sources of Funds'!$K$39/12,12,C26/12,B40))</f>
        <v/>
      </c>
      <c r="D40" s="4107" t="str">
        <f>IF('Part III-Sources of Funds'!$I$39="","",-FV('Part III-Sources of Funds'!$K$39/12,12,D26/12,C40))</f>
        <v/>
      </c>
      <c r="E40" s="4107" t="str">
        <f>IF('Part III-Sources of Funds'!$I$39="","",-FV('Part III-Sources of Funds'!$K$39/12,12,E26/12,D40))</f>
        <v/>
      </c>
      <c r="F40" s="4107" t="str">
        <f>IF('Part III-Sources of Funds'!$I$39="","",-FV('Part III-Sources of Funds'!$K$39/12,12,F26/12,E40))</f>
        <v/>
      </c>
      <c r="G40" s="4107" t="str">
        <f>IF('Part III-Sources of Funds'!$I$39="","",-FV('Part III-Sources of Funds'!$K$39/12,12,G26/12,F40))</f>
        <v/>
      </c>
      <c r="H40" s="4107" t="str">
        <f>IF('Part III-Sources of Funds'!$I$39="","",-FV('Part III-Sources of Funds'!$K$39/12,12,H26/12,G40))</f>
        <v/>
      </c>
      <c r="I40" s="4107" t="str">
        <f>IF('Part III-Sources of Funds'!$I$39="","",-FV('Part III-Sources of Funds'!$K$39/12,12,I26/12,H40))</f>
        <v/>
      </c>
      <c r="J40" s="4107" t="str">
        <f>IF('Part III-Sources of Funds'!$I$39="","",-FV('Part III-Sources of Funds'!$K$39/12,12,J26/12,I40))</f>
        <v/>
      </c>
      <c r="K40" s="4107" t="str">
        <f>IF('Part III-Sources of Funds'!$I$39="","",-FV('Part III-Sources of Funds'!$K$39/12,12,K26/12,J40))</f>
        <v/>
      </c>
      <c r="N40" s="3993"/>
      <c r="O40" s="3995"/>
    </row>
    <row r="41" spans="1:19" ht="13.35" customHeight="1">
      <c r="A41" s="417" t="s">
        <v>2551</v>
      </c>
      <c r="B41" s="4107" t="str">
        <f>IF('Part III-Sources of Funds'!$I$40="","",-FV('Part III-Sources of Funds'!$K$40/12,12,B27/12,'Part III-Sources of Funds'!$I$40))</f>
        <v/>
      </c>
      <c r="C41" s="4107" t="str">
        <f>IF('Part III-Sources of Funds'!$I$40="","",-FV('Part III-Sources of Funds'!$K$40/12,12,C27/12,B41))</f>
        <v/>
      </c>
      <c r="D41" s="4107" t="str">
        <f>IF('Part III-Sources of Funds'!$I$40="","",-FV('Part III-Sources of Funds'!$K$40/12,12,D27/12,C41))</f>
        <v/>
      </c>
      <c r="E41" s="4107" t="str">
        <f>IF('Part III-Sources of Funds'!$I$40="","",-FV('Part III-Sources of Funds'!$K$40/12,12,E27/12,D41))</f>
        <v/>
      </c>
      <c r="F41" s="4107" t="str">
        <f>IF('Part III-Sources of Funds'!$I$40="","",-FV('Part III-Sources of Funds'!$K$40/12,12,F27/12,E41))</f>
        <v/>
      </c>
      <c r="G41" s="4107" t="str">
        <f>IF('Part III-Sources of Funds'!$I$40="","",-FV('Part III-Sources of Funds'!$K$40/12,12,G27/12,F41))</f>
        <v/>
      </c>
      <c r="H41" s="4107" t="str">
        <f>IF('Part III-Sources of Funds'!$I$40="","",-FV('Part III-Sources of Funds'!$K$40/12,12,H27/12,G41))</f>
        <v/>
      </c>
      <c r="I41" s="4107" t="str">
        <f>IF('Part III-Sources of Funds'!$I$40="","",-FV('Part III-Sources of Funds'!$K$40/12,12,I27/12,H41))</f>
        <v/>
      </c>
      <c r="J41" s="4107" t="str">
        <f>IF('Part III-Sources of Funds'!$I$40="","",-FV('Part III-Sources of Funds'!$K$40/12,12,J27/12,I41))</f>
        <v/>
      </c>
      <c r="K41" s="4107" t="str">
        <f>IF('Part III-Sources of Funds'!$I$40="","",-FV('Part III-Sources of Funds'!$K$40/12,12,K27/12,J41))</f>
        <v/>
      </c>
      <c r="N41" s="3993"/>
      <c r="O41" s="3995"/>
    </row>
    <row r="42" spans="1:19" ht="13.35" customHeight="1">
      <c r="A42" s="21" t="s">
        <v>764</v>
      </c>
      <c r="B42" s="4107" t="str">
        <f>IF('Part III-Sources of Funds'!$I$41="","",-FV('Part III-Sources of Funds'!$K$41/12,12,B28/12,'Part III-Sources of Funds'!$I$41))</f>
        <v/>
      </c>
      <c r="C42" s="4107" t="str">
        <f>IF('Part III-Sources of Funds'!$I$41="","",-FV('Part III-Sources of Funds'!$K$41/12,12,C28/12,B42))</f>
        <v/>
      </c>
      <c r="D42" s="4107" t="str">
        <f>IF('Part III-Sources of Funds'!$I$41="","",-FV('Part III-Sources of Funds'!$K$41/12,12,D28/12,C42))</f>
        <v/>
      </c>
      <c r="E42" s="4107" t="str">
        <f>IF('Part III-Sources of Funds'!$I$41="","",-FV('Part III-Sources of Funds'!$K$41/12,12,E28/12,D42))</f>
        <v/>
      </c>
      <c r="F42" s="4107" t="str">
        <f>IF('Part III-Sources of Funds'!$I$41="","",-FV('Part III-Sources of Funds'!$K$41/12,12,F28/12,E42))</f>
        <v/>
      </c>
      <c r="G42" s="4107" t="str">
        <f>IF('Part III-Sources of Funds'!$I$41="","",-FV('Part III-Sources of Funds'!$K$41/12,12,G28/12,F42))</f>
        <v/>
      </c>
      <c r="H42" s="4107" t="str">
        <f>IF('Part III-Sources of Funds'!$I$41="","",-FV('Part III-Sources of Funds'!$K$41/12,12,H28/12,G42))</f>
        <v/>
      </c>
      <c r="I42" s="4107" t="str">
        <f>IF('Part III-Sources of Funds'!$I$41="","",-FV('Part III-Sources of Funds'!$K$41/12,12,I28/12,H42))</f>
        <v/>
      </c>
      <c r="J42" s="4107" t="str">
        <f>IF('Part III-Sources of Funds'!$I$41="","",-FV('Part III-Sources of Funds'!$K$41/12,12,J28/12,I42))</f>
        <v/>
      </c>
      <c r="K42" s="4107" t="str">
        <f>IF('Part III-Sources of Funds'!$I$41="","",-FV('Part III-Sources of Funds'!$K$41/12,12,K28/12,J42))</f>
        <v/>
      </c>
      <c r="N42" s="3993"/>
      <c r="O42" s="3995"/>
    </row>
    <row r="43" spans="1:19" ht="13.35" customHeight="1">
      <c r="A43" s="417" t="s">
        <v>3769</v>
      </c>
      <c r="B43" s="4110">
        <f>IF('Part III-Sources of Funds'!$I$43="","",-FV('Part III-Sources of Funds'!$K$43/12,12,B31/12,'Part III-Sources of Funds'!$I$43))</f>
        <v>0</v>
      </c>
      <c r="C43" s="4110">
        <f>IF('Part III-Sources of Funds'!$I$43="","",IF(-FV('Part III-Sources of Funds'!$K$43/12,12,C31/12,B43)&gt;0,-FV('Part III-Sources of Funds'!$K$43/12,12,C31/12,B43),0))</f>
        <v>0</v>
      </c>
      <c r="D43" s="4110">
        <f>IF('Part III-Sources of Funds'!$I$43="","",IF(-FV('Part III-Sources of Funds'!$K$43/12,12,D31/12,C43)&gt;0,-FV('Part III-Sources of Funds'!$K$43/12,12,D31/12,C43),0))</f>
        <v>0</v>
      </c>
      <c r="E43" s="4110">
        <f>IF('Part III-Sources of Funds'!$I$43="","",IF(-FV('Part III-Sources of Funds'!$K$43/12,12,E31/12,D43)&gt;0,-FV('Part III-Sources of Funds'!$K$43/12,12,E31/12,D43),0))</f>
        <v>0</v>
      </c>
      <c r="F43" s="4110">
        <f>IF('Part III-Sources of Funds'!$I$43="","",IF(-FV('Part III-Sources of Funds'!$K$43/12,12,F31/12,E43)&gt;0,-FV('Part III-Sources of Funds'!$K$43/12,12,F31/12,E43),0))</f>
        <v>0</v>
      </c>
      <c r="G43" s="4110">
        <f>IF('Part III-Sources of Funds'!$I$43="","",IF(-FV('Part III-Sources of Funds'!$K$43/12,12,G31/12,F43)&gt;0,-FV('Part III-Sources of Funds'!$K$43/12,12,G31/12,F43),0))</f>
        <v>0</v>
      </c>
      <c r="H43" s="4110">
        <f>IF('Part III-Sources of Funds'!$I$43="","",IF(-FV('Part III-Sources of Funds'!$K$43/12,12,H31/12,G43)&gt;0,-FV('Part III-Sources of Funds'!$K$43/12,12,H31/12,G43),0))</f>
        <v>0</v>
      </c>
      <c r="I43" s="4110">
        <f>IF('Part III-Sources of Funds'!$I$43="","",IF(-FV('Part III-Sources of Funds'!$K$43/12,12,I31/12,H43)&gt;0,-FV('Part III-Sources of Funds'!$K$43/12,12,I31/12,H43),0))</f>
        <v>0</v>
      </c>
      <c r="J43" s="4110">
        <f>IF('Part III-Sources of Funds'!$I$43="","",IF(-FV('Part III-Sources of Funds'!$K$43/12,12,J31/12,I43)&gt;0,-FV('Part III-Sources of Funds'!$K$43/12,12,J31/12,I43),0))</f>
        <v>0</v>
      </c>
      <c r="K43" s="4110">
        <f>IF('Part III-Sources of Funds'!$I$43="","",IF(-FV('Part III-Sources of Funds'!$K$43/12,12,K31/12,J43)&gt;0,-FV('Part III-Sources of Funds'!$K$43/12,12,K31/12,J43),0))</f>
        <v>0</v>
      </c>
      <c r="N43" s="4024"/>
      <c r="O43" s="4026"/>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484" t="s">
        <v>2553</v>
      </c>
      <c r="O45" s="2484"/>
    </row>
    <row r="46" spans="1:19" ht="13.35" customHeight="1">
      <c r="A46" s="18" t="s">
        <v>2341</v>
      </c>
      <c r="B46" s="19">
        <f t="shared" ref="B46:K46" si="17">$B$14*(1+$B$5)^(B45-1)</f>
        <v>393637.67810470698</v>
      </c>
      <c r="C46" s="19">
        <f t="shared" si="17"/>
        <v>401510.43166680104</v>
      </c>
      <c r="D46" s="19">
        <f t="shared" si="17"/>
        <v>409540.64030013711</v>
      </c>
      <c r="E46" s="19">
        <f t="shared" si="17"/>
        <v>417731.45310613984</v>
      </c>
      <c r="F46" s="19">
        <f t="shared" si="17"/>
        <v>426086.08216826268</v>
      </c>
      <c r="G46" s="19">
        <f t="shared" si="17"/>
        <v>434607.80381162779</v>
      </c>
      <c r="H46" s="19">
        <f t="shared" si="17"/>
        <v>443299.95988786046</v>
      </c>
      <c r="I46" s="19">
        <f t="shared" si="17"/>
        <v>452165.95908561768</v>
      </c>
      <c r="J46" s="19">
        <f t="shared" si="17"/>
        <v>461209.27826732997</v>
      </c>
      <c r="K46" s="20">
        <f t="shared" si="17"/>
        <v>470433.46383267659</v>
      </c>
      <c r="N46" s="4031"/>
      <c r="O46" s="4033"/>
    </row>
    <row r="47" spans="1:19" ht="13.35" customHeight="1">
      <c r="A47" s="21" t="s">
        <v>994</v>
      </c>
      <c r="B47" s="22">
        <f t="shared" ref="B47:K47" si="18">$B$15*(1+$B$5)^(B45-1)</f>
        <v>7872.7535620941399</v>
      </c>
      <c r="C47" s="22">
        <f t="shared" si="18"/>
        <v>8030.2086333360212</v>
      </c>
      <c r="D47" s="22">
        <f t="shared" si="18"/>
        <v>8190.8128060027429</v>
      </c>
      <c r="E47" s="22">
        <f t="shared" si="18"/>
        <v>8354.6290621227981</v>
      </c>
      <c r="F47" s="22">
        <f t="shared" si="18"/>
        <v>8521.7216433652538</v>
      </c>
      <c r="G47" s="22">
        <f t="shared" si="18"/>
        <v>8692.1560762325571</v>
      </c>
      <c r="H47" s="22">
        <f t="shared" si="18"/>
        <v>8865.9991977572099</v>
      </c>
      <c r="I47" s="22">
        <f t="shared" si="18"/>
        <v>9043.3191817123552</v>
      </c>
      <c r="J47" s="22">
        <f t="shared" si="18"/>
        <v>9224.1855653466009</v>
      </c>
      <c r="K47" s="23">
        <f t="shared" si="18"/>
        <v>9408.6692766535325</v>
      </c>
      <c r="N47" s="3993"/>
      <c r="O47" s="3995"/>
    </row>
    <row r="48" spans="1:19" ht="13.35" customHeight="1">
      <c r="A48" s="21" t="s">
        <v>2342</v>
      </c>
      <c r="B48" s="22">
        <f t="shared" ref="B48:K48" si="19">-(B46+B47)*$B$8</f>
        <v>-28105.730216676078</v>
      </c>
      <c r="C48" s="22">
        <f t="shared" si="19"/>
        <v>-28667.844821009596</v>
      </c>
      <c r="D48" s="22">
        <f t="shared" si="19"/>
        <v>-29241.201717429791</v>
      </c>
      <c r="E48" s="22">
        <f t="shared" si="19"/>
        <v>-29826.025751778387</v>
      </c>
      <c r="F48" s="22">
        <f t="shared" si="19"/>
        <v>-30422.546266813959</v>
      </c>
      <c r="G48" s="22">
        <f t="shared" si="19"/>
        <v>-31030.997192150226</v>
      </c>
      <c r="H48" s="22">
        <f t="shared" si="19"/>
        <v>-31651.617135993241</v>
      </c>
      <c r="I48" s="22">
        <f t="shared" si="19"/>
        <v>-32284.649478713105</v>
      </c>
      <c r="J48" s="22">
        <f t="shared" si="19"/>
        <v>-32930.342468287367</v>
      </c>
      <c r="K48" s="23">
        <f t="shared" si="19"/>
        <v>-33588.94931765311</v>
      </c>
      <c r="N48" s="3993"/>
      <c r="O48" s="3995"/>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3"/>
      <c r="O49" s="3995"/>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3"/>
      <c r="O50" s="3995"/>
    </row>
    <row r="51" spans="1:19" ht="13.35" customHeight="1">
      <c r="A51" s="417" t="s">
        <v>4375</v>
      </c>
      <c r="B51" s="22">
        <f t="shared" ref="B51:K51" si="20">SUM(B46:B50)</f>
        <v>373404.70145012502</v>
      </c>
      <c r="C51" s="22">
        <f t="shared" si="20"/>
        <v>380872.79547912744</v>
      </c>
      <c r="D51" s="22">
        <f t="shared" si="20"/>
        <v>388490.25138871005</v>
      </c>
      <c r="E51" s="22">
        <f t="shared" si="20"/>
        <v>396260.05641648424</v>
      </c>
      <c r="F51" s="22">
        <f t="shared" si="20"/>
        <v>404185.25754481403</v>
      </c>
      <c r="G51" s="22">
        <f t="shared" si="20"/>
        <v>412268.96269571013</v>
      </c>
      <c r="H51" s="22">
        <f t="shared" si="20"/>
        <v>420514.34194962442</v>
      </c>
      <c r="I51" s="22">
        <f t="shared" si="20"/>
        <v>428924.62878861692</v>
      </c>
      <c r="J51" s="22">
        <f t="shared" si="20"/>
        <v>437503.1213643892</v>
      </c>
      <c r="K51" s="23">
        <f t="shared" si="20"/>
        <v>446253.183791677</v>
      </c>
      <c r="N51" s="3993"/>
      <c r="O51" s="3995"/>
    </row>
    <row r="52" spans="1:19" ht="13.35" customHeight="1">
      <c r="A52" s="21" t="s">
        <v>597</v>
      </c>
      <c r="B52" s="22">
        <f t="shared" ref="B52:K52" si="21">$B$20*(1+$B$6)^(B45-1)</f>
        <v>-278618.05593286466</v>
      </c>
      <c r="C52" s="22">
        <f t="shared" si="21"/>
        <v>-286976.59761085059</v>
      </c>
      <c r="D52" s="22">
        <f t="shared" si="21"/>
        <v>-295585.89553917607</v>
      </c>
      <c r="E52" s="22">
        <f t="shared" si="21"/>
        <v>-304453.47240535135</v>
      </c>
      <c r="F52" s="22">
        <f t="shared" si="21"/>
        <v>-313587.07657751191</v>
      </c>
      <c r="G52" s="22">
        <f t="shared" si="21"/>
        <v>-322994.6888748373</v>
      </c>
      <c r="H52" s="22">
        <f t="shared" si="21"/>
        <v>-332684.52954108233</v>
      </c>
      <c r="I52" s="22">
        <f t="shared" si="21"/>
        <v>-342665.06542731478</v>
      </c>
      <c r="J52" s="22">
        <f t="shared" si="21"/>
        <v>-352945.01739013428</v>
      </c>
      <c r="K52" s="23">
        <f t="shared" si="21"/>
        <v>-363533.36791183829</v>
      </c>
      <c r="N52" s="3993"/>
      <c r="O52" s="3995"/>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-32254</v>
      </c>
      <c r="C53" s="22">
        <f>IF(AND('Part VII-Pro Forma'!$G$8="Yes",'Part VII-Pro Forma'!$G$9="Yes"),"Choose One!",IF('Part VII-Pro Forma'!$G$8="Yes",ROUND((-$K$8*(1+'Part VII-Pro Forma'!$B$6)^('Part VII-Pro Forma'!C45-1)),),IF('Part VII-Pro Forma'!$G$9="Yes",ROUND((-(SUM(C46:C49)*'Part VII-Pro Forma'!$K$9)),),"Choose mgt fee")))</f>
        <v>-33222</v>
      </c>
      <c r="D53" s="22">
        <f>IF(AND('Part VII-Pro Forma'!$G$8="Yes",'Part VII-Pro Forma'!$G$9="Yes"),"Choose One!",IF('Part VII-Pro Forma'!$G$8="Yes",ROUND((-$K$8*(1+'Part VII-Pro Forma'!$B$6)^('Part VII-Pro Forma'!D45-1)),),IF('Part VII-Pro Forma'!$G$9="Yes",ROUND((-(SUM(D46:D49)*'Part VII-Pro Forma'!$K$9)),),"Choose mgt fee")))</f>
        <v>-34218</v>
      </c>
      <c r="E53" s="22">
        <f>IF(AND('Part VII-Pro Forma'!$G$8="Yes",'Part VII-Pro Forma'!$G$9="Yes"),"Choose One!",IF('Part VII-Pro Forma'!$G$8="Yes",ROUND((-$K$8*(1+'Part VII-Pro Forma'!$B$6)^('Part VII-Pro Forma'!E45-1)),),IF('Part VII-Pro Forma'!$G$9="Yes",ROUND((-(SUM(E46:E49)*'Part VII-Pro Forma'!$K$9)),),"Choose mgt fee")))</f>
        <v>-35245</v>
      </c>
      <c r="F53" s="22">
        <f>IF(AND('Part VII-Pro Forma'!$G$8="Yes",'Part VII-Pro Forma'!$G$9="Yes"),"Choose One!",IF('Part VII-Pro Forma'!$G$8="Yes",ROUND((-$K$8*(1+'Part VII-Pro Forma'!$B$6)^('Part VII-Pro Forma'!F45-1)),),IF('Part VII-Pro Forma'!$G$9="Yes",ROUND((-(SUM(F46:F49)*'Part VII-Pro Forma'!$K$9)),),"Choose mgt fee")))</f>
        <v>-36302</v>
      </c>
      <c r="G53" s="22">
        <f>IF(AND('Part VII-Pro Forma'!$G$8="Yes",'Part VII-Pro Forma'!$G$9="Yes"),"Choose One!",IF('Part VII-Pro Forma'!$G$8="Yes",ROUND((-$K$8*(1+'Part VII-Pro Forma'!$B$6)^('Part VII-Pro Forma'!G45-1)),),IF('Part VII-Pro Forma'!$G$9="Yes",ROUND((-(SUM(G46:G49)*'Part VII-Pro Forma'!$K$9)),),"Choose mgt fee")))</f>
        <v>-37391</v>
      </c>
      <c r="H53" s="22">
        <f>IF(AND('Part VII-Pro Forma'!$G$8="Yes",'Part VII-Pro Forma'!$G$9="Yes"),"Choose One!",IF('Part VII-Pro Forma'!$G$8="Yes",ROUND((-$K$8*(1+'Part VII-Pro Forma'!$B$6)^('Part VII-Pro Forma'!H45-1)),),IF('Part VII-Pro Forma'!$G$9="Yes",ROUND((-(SUM(H46:H49)*'Part VII-Pro Forma'!$K$9)),),"Choose mgt fee")))</f>
        <v>-38513</v>
      </c>
      <c r="I53" s="22">
        <f>IF(AND('Part VII-Pro Forma'!$G$8="Yes",'Part VII-Pro Forma'!$G$9="Yes"),"Choose One!",IF('Part VII-Pro Forma'!$G$8="Yes",ROUND((-$K$8*(1+'Part VII-Pro Forma'!$B$6)^('Part VII-Pro Forma'!I45-1)),),IF('Part VII-Pro Forma'!$G$9="Yes",ROUND((-(SUM(I46:I49)*'Part VII-Pro Forma'!$K$9)),),"Choose mgt fee")))</f>
        <v>-39668</v>
      </c>
      <c r="J53" s="22">
        <f>IF(AND('Part VII-Pro Forma'!$G$8="Yes",'Part VII-Pro Forma'!$G$9="Yes"),"Choose One!",IF('Part VII-Pro Forma'!$G$8="Yes",ROUND((-$K$8*(1+'Part VII-Pro Forma'!$B$6)^('Part VII-Pro Forma'!J45-1)),),IF('Part VII-Pro Forma'!$G$9="Yes",ROUND((-(SUM(J46:J49)*'Part VII-Pro Forma'!$K$9)),),"Choose mgt fee")))</f>
        <v>-40858</v>
      </c>
      <c r="K53" s="23">
        <f>IF(AND('Part VII-Pro Forma'!$G$8="Yes",'Part VII-Pro Forma'!$G$9="Yes"),"Choose One!",IF('Part VII-Pro Forma'!$G$8="Yes",ROUND((-$K$8*(1+'Part VII-Pro Forma'!$B$6)^('Part VII-Pro Forma'!K45-1)),),IF('Part VII-Pro Forma'!$G$9="Yes",ROUND((-(SUM(K46:K49)*'Part VII-Pro Forma'!$K$9)),),"Choose mgt fee")))</f>
        <v>-42084</v>
      </c>
      <c r="N53" s="3993"/>
      <c r="O53" s="3995"/>
    </row>
    <row r="54" spans="1:19" ht="13.35" customHeight="1">
      <c r="A54" s="21" t="s">
        <v>1176</v>
      </c>
      <c r="B54" s="22">
        <f t="shared" ref="B54:K54" si="22">$B$22*(1+$B$7)^(B45-1)</f>
        <v>-16798.954741801521</v>
      </c>
      <c r="C54" s="22">
        <f t="shared" si="22"/>
        <v>-17302.923384055568</v>
      </c>
      <c r="D54" s="22">
        <f t="shared" si="22"/>
        <v>-17822.011085577233</v>
      </c>
      <c r="E54" s="22">
        <f t="shared" si="22"/>
        <v>-18356.67141814455</v>
      </c>
      <c r="F54" s="22">
        <f t="shared" si="22"/>
        <v>-18907.371560688887</v>
      </c>
      <c r="G54" s="22">
        <f t="shared" si="22"/>
        <v>-19474.592707509557</v>
      </c>
      <c r="H54" s="22">
        <f t="shared" si="22"/>
        <v>-20058.830488734839</v>
      </c>
      <c r="I54" s="22">
        <f t="shared" si="22"/>
        <v>-20660.595403396885</v>
      </c>
      <c r="J54" s="22">
        <f t="shared" si="22"/>
        <v>-21280.413265498792</v>
      </c>
      <c r="K54" s="23">
        <f t="shared" si="22"/>
        <v>-21918.825663463755</v>
      </c>
      <c r="N54" s="3993"/>
      <c r="O54" s="3995"/>
      <c r="Q54" s="929">
        <v>10</v>
      </c>
      <c r="R54" s="1043">
        <f>-SUM(B60:K60)</f>
        <v>0</v>
      </c>
      <c r="S54" s="1043">
        <f>SUM(B61:K61)+R54</f>
        <v>0</v>
      </c>
    </row>
    <row r="55" spans="1:19" ht="13.35" customHeight="1">
      <c r="A55" s="417" t="s">
        <v>4374</v>
      </c>
      <c r="B55" s="4105">
        <f>IF(B45&lt;=+'Part VI-Revenues &amp; Expenses'!$N$250,-'Part VI-Revenues &amp; Expenses'!$K$250,0)</f>
        <v>0</v>
      </c>
      <c r="C55" s="4105">
        <f>IF(C45&lt;=+'Part VI-Revenues &amp; Expenses'!$N$250,-'Part VI-Revenues &amp; Expenses'!$K$250,0)</f>
        <v>0</v>
      </c>
      <c r="D55" s="4105">
        <f>IF(D45&lt;=+'Part VI-Revenues &amp; Expenses'!$N$250,-'Part VI-Revenues &amp; Expenses'!$K$250,0)</f>
        <v>0</v>
      </c>
      <c r="E55" s="4105">
        <f>IF(E45&lt;=+'Part VI-Revenues &amp; Expenses'!$N$250,-'Part VI-Revenues &amp; Expenses'!$K$250,0)</f>
        <v>0</v>
      </c>
      <c r="F55" s="4105">
        <f>IF(F45&lt;=+'Part VI-Revenues &amp; Expenses'!$N$250,-'Part VI-Revenues &amp; Expenses'!$K$250,0)</f>
        <v>0</v>
      </c>
      <c r="G55" s="4105">
        <f>IF(G45&lt;=+'Part VI-Revenues &amp; Expenses'!$N$250,-'Part VI-Revenues &amp; Expenses'!$K$250,0)</f>
        <v>0</v>
      </c>
      <c r="H55" s="4105">
        <f>IF(H45&lt;=+'Part VI-Revenues &amp; Expenses'!$N$250,-'Part VI-Revenues &amp; Expenses'!$K$250,0)</f>
        <v>0</v>
      </c>
      <c r="I55" s="4105">
        <f>IF(I45&lt;=+'Part VI-Revenues &amp; Expenses'!$N$250,-'Part VI-Revenues &amp; Expenses'!$K$250,0)</f>
        <v>0</v>
      </c>
      <c r="J55" s="4105">
        <f>IF(J45&lt;=+'Part VI-Revenues &amp; Expenses'!$N$250,-'Part VI-Revenues &amp; Expenses'!$K$250,0)</f>
        <v>0</v>
      </c>
      <c r="K55" s="4105">
        <f>IF(K45&lt;=+'Part VI-Revenues &amp; Expenses'!$N$250,-'Part VI-Revenues &amp; Expenses'!$K$250,0)</f>
        <v>0</v>
      </c>
      <c r="N55" s="3993"/>
      <c r="O55" s="3995"/>
    </row>
    <row r="56" spans="1:19" ht="13.35" customHeight="1">
      <c r="A56" s="21" t="s">
        <v>1177</v>
      </c>
      <c r="B56" s="22">
        <f t="shared" ref="B56:K56" si="23">SUM(B51:B55)</f>
        <v>45733.690775458839</v>
      </c>
      <c r="C56" s="22">
        <f t="shared" si="23"/>
        <v>43371.274484221285</v>
      </c>
      <c r="D56" s="22">
        <f t="shared" si="23"/>
        <v>40864.344763956746</v>
      </c>
      <c r="E56" s="22">
        <f t="shared" si="23"/>
        <v>38204.912592988338</v>
      </c>
      <c r="F56" s="22">
        <f t="shared" si="23"/>
        <v>35388.809406613233</v>
      </c>
      <c r="G56" s="22">
        <f t="shared" si="23"/>
        <v>32408.681113363269</v>
      </c>
      <c r="H56" s="22">
        <f t="shared" si="23"/>
        <v>29257.981919807247</v>
      </c>
      <c r="I56" s="22">
        <f t="shared" si="23"/>
        <v>25930.96795790525</v>
      </c>
      <c r="J56" s="22">
        <f t="shared" si="23"/>
        <v>22419.690708756127</v>
      </c>
      <c r="K56" s="1482">
        <f t="shared" si="23"/>
        <v>18716.990216374961</v>
      </c>
      <c r="N56" s="3993"/>
      <c r="O56" s="3995"/>
    </row>
    <row r="57" spans="1:19" ht="13.35" customHeight="1">
      <c r="A57" s="21" t="str">
        <f>$A25</f>
        <v>Mortgage A</v>
      </c>
      <c r="B57" s="4106">
        <f>IF('Part III-Sources of Funds'!$P$38="", 0,-'Part III-Sources of Funds'!$P$38)</f>
        <v>0</v>
      </c>
      <c r="C57" s="4106">
        <f>IF('Part III-Sources of Funds'!$P$38="", 0,-'Part III-Sources of Funds'!$P$38)</f>
        <v>0</v>
      </c>
      <c r="D57" s="4106">
        <f>IF('Part III-Sources of Funds'!$P$38="", 0,-'Part III-Sources of Funds'!$P$38)</f>
        <v>0</v>
      </c>
      <c r="E57" s="4106">
        <f>IF('Part III-Sources of Funds'!$P$38="", 0,-'Part III-Sources of Funds'!$P$38)</f>
        <v>0</v>
      </c>
      <c r="F57" s="4106">
        <f>IF('Part III-Sources of Funds'!$P$38="", 0,-'Part III-Sources of Funds'!$P$38)</f>
        <v>0</v>
      </c>
      <c r="G57" s="4106">
        <f>IF('Part III-Sources of Funds'!$P$38="", 0,-'Part III-Sources of Funds'!$P$38)</f>
        <v>0</v>
      </c>
      <c r="H57" s="4106">
        <f>IF('Part III-Sources of Funds'!$P$38="", 0,-'Part III-Sources of Funds'!$P$38)</f>
        <v>0</v>
      </c>
      <c r="I57" s="4106">
        <f>IF('Part III-Sources of Funds'!$P$38="", 0,-'Part III-Sources of Funds'!$P$38)</f>
        <v>0</v>
      </c>
      <c r="J57" s="4106">
        <f>IF('Part III-Sources of Funds'!$P$38="", 0,-'Part III-Sources of Funds'!$P$38)</f>
        <v>0</v>
      </c>
      <c r="K57" s="4106">
        <f>IF('Part III-Sources of Funds'!$P$38="", 0,-'Part III-Sources of Funds'!$P$38)</f>
        <v>0</v>
      </c>
      <c r="N57" s="3993"/>
      <c r="O57" s="3995"/>
    </row>
    <row r="58" spans="1:19" ht="13.35" customHeight="1">
      <c r="A58" s="21" t="str">
        <f>$A26</f>
        <v>Mortgage B</v>
      </c>
      <c r="B58" s="4107">
        <f>IF('Part III-Sources of Funds'!$P$39="", 0,-'Part III-Sources of Funds'!$P$39)</f>
        <v>0</v>
      </c>
      <c r="C58" s="4107">
        <f>IF('Part III-Sources of Funds'!$P$39="", 0,-'Part III-Sources of Funds'!$P$39)</f>
        <v>0</v>
      </c>
      <c r="D58" s="4107">
        <f>IF('Part III-Sources of Funds'!$P$39="", 0,-'Part III-Sources of Funds'!$P$39)</f>
        <v>0</v>
      </c>
      <c r="E58" s="4107">
        <f>IF('Part III-Sources of Funds'!$P$39="", 0,-'Part III-Sources of Funds'!$P$39)</f>
        <v>0</v>
      </c>
      <c r="F58" s="4107">
        <f>IF('Part III-Sources of Funds'!$P$39="", 0,-'Part III-Sources of Funds'!$P$39)</f>
        <v>0</v>
      </c>
      <c r="G58" s="4107">
        <f>IF('Part III-Sources of Funds'!$P$39="", 0,-'Part III-Sources of Funds'!$P$39)</f>
        <v>0</v>
      </c>
      <c r="H58" s="4107">
        <f>IF('Part III-Sources of Funds'!$P$39="", 0,-'Part III-Sources of Funds'!$P$39)</f>
        <v>0</v>
      </c>
      <c r="I58" s="4107">
        <f>IF('Part III-Sources of Funds'!$P$39="", 0,-'Part III-Sources of Funds'!$P$39)</f>
        <v>0</v>
      </c>
      <c r="J58" s="4107">
        <f>IF('Part III-Sources of Funds'!$P$39="", 0,-'Part III-Sources of Funds'!$P$39)</f>
        <v>0</v>
      </c>
      <c r="K58" s="4107">
        <f>IF('Part III-Sources of Funds'!$P$39="", 0,-'Part III-Sources of Funds'!$P$39)</f>
        <v>0</v>
      </c>
      <c r="N58" s="3993"/>
      <c r="O58" s="3995"/>
    </row>
    <row r="59" spans="1:19" ht="13.35" customHeight="1">
      <c r="A59" s="21" t="str">
        <f>$A27</f>
        <v>Mortgage C</v>
      </c>
      <c r="B59" s="4107">
        <f>IF('Part III-Sources of Funds'!$P$40="", 0,-'Part III-Sources of Funds'!$P$40)</f>
        <v>0</v>
      </c>
      <c r="C59" s="4107">
        <f>IF('Part III-Sources of Funds'!$P$40="", 0,-'Part III-Sources of Funds'!$P$40)</f>
        <v>0</v>
      </c>
      <c r="D59" s="4107">
        <f>IF('Part III-Sources of Funds'!$P$40="", 0,-'Part III-Sources of Funds'!$P$40)</f>
        <v>0</v>
      </c>
      <c r="E59" s="4107">
        <f>IF('Part III-Sources of Funds'!$P$40="", 0,-'Part III-Sources of Funds'!$P$40)</f>
        <v>0</v>
      </c>
      <c r="F59" s="4107">
        <f>IF('Part III-Sources of Funds'!$P$40="", 0,-'Part III-Sources of Funds'!$P$40)</f>
        <v>0</v>
      </c>
      <c r="G59" s="4107">
        <f>IF('Part III-Sources of Funds'!$P$40="", 0,-'Part III-Sources of Funds'!$P$40)</f>
        <v>0</v>
      </c>
      <c r="H59" s="4107">
        <f>IF('Part III-Sources of Funds'!$P$40="", 0,-'Part III-Sources of Funds'!$P$40)</f>
        <v>0</v>
      </c>
      <c r="I59" s="4107">
        <f>IF('Part III-Sources of Funds'!$P$40="", 0,-'Part III-Sources of Funds'!$P$40)</f>
        <v>0</v>
      </c>
      <c r="J59" s="4107">
        <f>IF('Part III-Sources of Funds'!$P$40="", 0,-'Part III-Sources of Funds'!$P$40)</f>
        <v>0</v>
      </c>
      <c r="K59" s="4107">
        <f>IF('Part III-Sources of Funds'!$P$40="", 0,-'Part III-Sources of Funds'!$P$40)</f>
        <v>0</v>
      </c>
      <c r="N59" s="3993"/>
      <c r="O59" s="3995"/>
    </row>
    <row r="60" spans="1:19" ht="13.35" customHeight="1">
      <c r="A60" s="21" t="str">
        <f>$A28</f>
        <v>D/S Other Source,not DDF</v>
      </c>
      <c r="B60" s="4107">
        <f>IF('Part III-Sources of Funds'!$P$41="", 0,-'Part III-Sources of Funds'!$P$41)</f>
        <v>0</v>
      </c>
      <c r="C60" s="4107">
        <f>IF('Part III-Sources of Funds'!$P$41="", 0,-'Part III-Sources of Funds'!$P$41)</f>
        <v>0</v>
      </c>
      <c r="D60" s="4107">
        <f>IF('Part III-Sources of Funds'!$P$41="", 0,-'Part III-Sources of Funds'!$P$41)</f>
        <v>0</v>
      </c>
      <c r="E60" s="4107">
        <f>IF('Part III-Sources of Funds'!$P$41="", 0,-'Part III-Sources of Funds'!$P$41)</f>
        <v>0</v>
      </c>
      <c r="F60" s="4107">
        <f>IF('Part III-Sources of Funds'!$P$41="", 0,-'Part III-Sources of Funds'!$P$41)</f>
        <v>0</v>
      </c>
      <c r="G60" s="4107">
        <f>IF('Part III-Sources of Funds'!$P$41="", 0,-'Part III-Sources of Funds'!$P$41)</f>
        <v>0</v>
      </c>
      <c r="H60" s="4107">
        <f>IF('Part III-Sources of Funds'!$P$41="", 0,-'Part III-Sources of Funds'!$P$41)</f>
        <v>0</v>
      </c>
      <c r="I60" s="4107">
        <f>IF('Part III-Sources of Funds'!$P$41="", 0,-'Part III-Sources of Funds'!$P$41)</f>
        <v>0</v>
      </c>
      <c r="J60" s="4107">
        <f>IF('Part III-Sources of Funds'!$P$41="", 0,-'Part III-Sources of Funds'!$P$41)</f>
        <v>0</v>
      </c>
      <c r="K60" s="4107">
        <f>IF('Part III-Sources of Funds'!$P$41="", 0,-'Part III-Sources of Funds'!$P$41)</f>
        <v>0</v>
      </c>
      <c r="N60" s="3993"/>
      <c r="O60" s="3995"/>
    </row>
    <row r="61" spans="1:19" ht="13.35" customHeight="1">
      <c r="A61" s="21" t="s">
        <v>745</v>
      </c>
      <c r="B61" s="4108"/>
      <c r="C61" s="4108"/>
      <c r="D61" s="4108"/>
      <c r="E61" s="4108"/>
      <c r="F61" s="4108"/>
      <c r="G61" s="4108"/>
      <c r="H61" s="4108"/>
      <c r="I61" s="4108"/>
      <c r="J61" s="4108"/>
      <c r="K61" s="4108"/>
      <c r="N61" s="3993"/>
      <c r="O61" s="3995"/>
      <c r="Q61" s="929"/>
      <c r="R61" s="1043"/>
    </row>
    <row r="62" spans="1:19" ht="13.35" customHeight="1">
      <c r="A62" s="417" t="s">
        <v>1141</v>
      </c>
      <c r="B62" s="4107">
        <f>+K30</f>
        <v>-5000</v>
      </c>
      <c r="C62" s="4107">
        <f t="shared" ref="C62:K62" si="24">+B62</f>
        <v>-5000</v>
      </c>
      <c r="D62" s="4107">
        <f t="shared" si="24"/>
        <v>-5000</v>
      </c>
      <c r="E62" s="4107">
        <f t="shared" si="24"/>
        <v>-5000</v>
      </c>
      <c r="F62" s="4107">
        <f t="shared" si="24"/>
        <v>-5000</v>
      </c>
      <c r="G62" s="4107">
        <f t="shared" si="24"/>
        <v>-5000</v>
      </c>
      <c r="H62" s="4107">
        <f t="shared" si="24"/>
        <v>-5000</v>
      </c>
      <c r="I62" s="4107">
        <f t="shared" si="24"/>
        <v>-5000</v>
      </c>
      <c r="J62" s="4107">
        <f t="shared" si="24"/>
        <v>-5000</v>
      </c>
      <c r="K62" s="4107">
        <f t="shared" si="24"/>
        <v>-5000</v>
      </c>
      <c r="N62" s="3993"/>
      <c r="O62" s="3995"/>
    </row>
    <row r="63" spans="1:19" ht="13.35" customHeight="1">
      <c r="A63" s="417" t="s">
        <v>3768</v>
      </c>
      <c r="B63" s="4110">
        <f>IF('Part III-Sources of Funds'!$P$43="", 0,-'Part III-Sources of Funds'!$P$43)</f>
        <v>0</v>
      </c>
      <c r="C63" s="4110">
        <f>IF('Part III-Sources of Funds'!$P$43="", 0,-'Part III-Sources of Funds'!$P$43)</f>
        <v>0</v>
      </c>
      <c r="D63" s="4110">
        <f>IF('Part III-Sources of Funds'!$P$43="", 0,-'Part III-Sources of Funds'!$P$43)</f>
        <v>0</v>
      </c>
      <c r="E63" s="4110">
        <f>IF('Part III-Sources of Funds'!$P$43="", 0,-'Part III-Sources of Funds'!$P$43)</f>
        <v>0</v>
      </c>
      <c r="F63" s="4110">
        <f>IF('Part III-Sources of Funds'!$P$43="", 0,-'Part III-Sources of Funds'!$P$43)</f>
        <v>0</v>
      </c>
      <c r="G63" s="4110"/>
      <c r="H63" s="4110"/>
      <c r="I63" s="4110"/>
      <c r="J63" s="4110"/>
      <c r="K63" s="4110"/>
      <c r="N63" s="3993"/>
      <c r="O63" s="3995"/>
    </row>
    <row r="64" spans="1:19" ht="13.35" customHeight="1">
      <c r="A64" s="21" t="s">
        <v>1142</v>
      </c>
      <c r="B64" s="22">
        <f t="shared" ref="B64:K64" si="25">SUM(B56:B63)</f>
        <v>40733.690775458839</v>
      </c>
      <c r="C64" s="22">
        <f t="shared" si="25"/>
        <v>38371.274484221285</v>
      </c>
      <c r="D64" s="22">
        <f t="shared" si="25"/>
        <v>35864.344763956746</v>
      </c>
      <c r="E64" s="22">
        <f t="shared" si="25"/>
        <v>33204.912592988338</v>
      </c>
      <c r="F64" s="22">
        <f t="shared" si="25"/>
        <v>30388.809406613233</v>
      </c>
      <c r="G64" s="22">
        <f t="shared" si="25"/>
        <v>27408.681113363269</v>
      </c>
      <c r="H64" s="22">
        <f t="shared" si="25"/>
        <v>24257.981919807247</v>
      </c>
      <c r="I64" s="22">
        <f t="shared" si="25"/>
        <v>20930.96795790525</v>
      </c>
      <c r="J64" s="22">
        <f t="shared" si="25"/>
        <v>17419.690708756127</v>
      </c>
      <c r="K64" s="596">
        <f t="shared" si="25"/>
        <v>13716.990216374961</v>
      </c>
      <c r="N64" s="3993"/>
      <c r="O64" s="3995"/>
    </row>
    <row r="65" spans="1:15" ht="13.35" customHeight="1">
      <c r="A65" s="21" t="str">
        <f>$A33</f>
        <v>DCR Mortgage A</v>
      </c>
      <c r="B65" s="24" t="str">
        <f t="shared" ref="B65:K65" si="26">IF(B57=0,"",-B56/B57)</f>
        <v/>
      </c>
      <c r="C65" s="24" t="str">
        <f t="shared" si="26"/>
        <v/>
      </c>
      <c r="D65" s="24" t="str">
        <f t="shared" si="26"/>
        <v/>
      </c>
      <c r="E65" s="24" t="str">
        <f t="shared" si="26"/>
        <v/>
      </c>
      <c r="F65" s="24" t="str">
        <f t="shared" si="26"/>
        <v/>
      </c>
      <c r="G65" s="24" t="str">
        <f t="shared" si="26"/>
        <v/>
      </c>
      <c r="H65" s="24" t="str">
        <f t="shared" si="26"/>
        <v/>
      </c>
      <c r="I65" s="24" t="str">
        <f t="shared" si="26"/>
        <v/>
      </c>
      <c r="J65" s="24" t="str">
        <f t="shared" si="26"/>
        <v/>
      </c>
      <c r="K65" s="25" t="str">
        <f t="shared" si="26"/>
        <v/>
      </c>
      <c r="N65" s="3993"/>
      <c r="O65" s="3995"/>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93"/>
      <c r="O66" s="3995"/>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93"/>
      <c r="O67" s="3995"/>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93"/>
      <c r="O68" s="3995"/>
    </row>
    <row r="69" spans="1:15" ht="13.35" customHeight="1">
      <c r="A69" s="417" t="s">
        <v>3532</v>
      </c>
      <c r="B69" s="24" t="str">
        <f t="shared" ref="B69:K69" si="30">IF(AND(B57=0,B58=0,B59=0,B60=0),"",-B56/(B57+B58+B59+B60))</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3993"/>
      <c r="O69" s="3995"/>
    </row>
    <row r="70" spans="1:15" ht="13.35" customHeight="1">
      <c r="A70" s="21" t="s">
        <v>752</v>
      </c>
      <c r="B70" s="265">
        <f t="shared" ref="B70:K70" si="31">IF(OR(B53="Choose mgt fee",B53="Choose One!"),"",(B46+B47+B48+B49+B50) / -(B52+B53+B54))</f>
        <v>1.1395719770305415</v>
      </c>
      <c r="C70" s="265">
        <f t="shared" si="31"/>
        <v>1.1285069008174216</v>
      </c>
      <c r="D70" s="265">
        <f t="shared" si="31"/>
        <v>1.1175526449128199</v>
      </c>
      <c r="E70" s="265">
        <f t="shared" si="31"/>
        <v>1.1067011974329337</v>
      </c>
      <c r="F70" s="265">
        <f t="shared" si="31"/>
        <v>1.0959575657121075</v>
      </c>
      <c r="G70" s="265">
        <f t="shared" si="31"/>
        <v>1.0853173724253602</v>
      </c>
      <c r="H70" s="265">
        <f t="shared" si="31"/>
        <v>1.0747795688677817</v>
      </c>
      <c r="I70" s="265">
        <f t="shared" si="31"/>
        <v>1.0643458457992923</v>
      </c>
      <c r="J70" s="265">
        <f t="shared" si="31"/>
        <v>1.0540124925568426</v>
      </c>
      <c r="K70" s="266">
        <f t="shared" si="31"/>
        <v>1.0437787268017074</v>
      </c>
      <c r="N70" s="3993"/>
      <c r="O70" s="3995"/>
    </row>
    <row r="71" spans="1:15" ht="13.35" customHeight="1">
      <c r="A71" s="417" t="s">
        <v>2549</v>
      </c>
      <c r="B71" s="4111" t="str">
        <f>IF('Part III-Sources of Funds'!$I$38="","",-FV('Part III-Sources of Funds'!$K$38/12,12,B57/12,K39))</f>
        <v/>
      </c>
      <c r="C71" s="4111" t="str">
        <f>IF('Part III-Sources of Funds'!$I$38="","",-FV('Part III-Sources of Funds'!$K$38/12,12,C57/12,B71))</f>
        <v/>
      </c>
      <c r="D71" s="4111" t="str">
        <f>IF('Part III-Sources of Funds'!$I$38="","",-FV('Part III-Sources of Funds'!$K$38/12,12,D57/12,C71))</f>
        <v/>
      </c>
      <c r="E71" s="4111" t="str">
        <f>IF('Part III-Sources of Funds'!$I$38="","",-FV('Part III-Sources of Funds'!$K$38/12,12,E57/12,D71))</f>
        <v/>
      </c>
      <c r="F71" s="4111" t="str">
        <f>IF('Part III-Sources of Funds'!$I$38="","",-FV('Part III-Sources of Funds'!$K$38/12,12,F57/12,E71))</f>
        <v/>
      </c>
      <c r="G71" s="4111" t="str">
        <f>IF('Part III-Sources of Funds'!$I$38="","",-FV('Part III-Sources of Funds'!$K$38/12,12,G57/12,F71))</f>
        <v/>
      </c>
      <c r="H71" s="4111" t="str">
        <f>IF('Part III-Sources of Funds'!$I$38="","",-FV('Part III-Sources of Funds'!$K$38/12,12,H57/12,G71))</f>
        <v/>
      </c>
      <c r="I71" s="4111" t="str">
        <f>IF('Part III-Sources of Funds'!$I$38="","",-FV('Part III-Sources of Funds'!$K$38/12,12,I57/12,H71))</f>
        <v/>
      </c>
      <c r="J71" s="4111" t="str">
        <f>IF('Part III-Sources of Funds'!$I$38="","",-FV('Part III-Sources of Funds'!$K$38/12,12,J57/12,I71))</f>
        <v/>
      </c>
      <c r="K71" s="4111" t="str">
        <f>IF('Part III-Sources of Funds'!$I$38="","",-FV('Part III-Sources of Funds'!$K$38/12,12,K57/12,J71))</f>
        <v/>
      </c>
      <c r="N71" s="3993"/>
      <c r="O71" s="3995"/>
    </row>
    <row r="72" spans="1:15" ht="13.35" customHeight="1">
      <c r="A72" s="417" t="s">
        <v>2550</v>
      </c>
      <c r="B72" s="4107" t="str">
        <f>IF('Part III-Sources of Funds'!$I$39="","",-FV('Part III-Sources of Funds'!$K$39/12,12,B58/12,K40))</f>
        <v/>
      </c>
      <c r="C72" s="4107" t="str">
        <f>IF('Part III-Sources of Funds'!$I$39="","",-FV('Part III-Sources of Funds'!$K$39/12,12,C58/12,B72))</f>
        <v/>
      </c>
      <c r="D72" s="4107" t="str">
        <f>IF('Part III-Sources of Funds'!$I$39="","",-FV('Part III-Sources of Funds'!$K$39/12,12,D58/12,C72))</f>
        <v/>
      </c>
      <c r="E72" s="4107" t="str">
        <f>IF('Part III-Sources of Funds'!$I$39="","",-FV('Part III-Sources of Funds'!$K$39/12,12,E58/12,D72))</f>
        <v/>
      </c>
      <c r="F72" s="4107" t="str">
        <f>IF('Part III-Sources of Funds'!$I$39="","",-FV('Part III-Sources of Funds'!$K$39/12,12,F58/12,E72))</f>
        <v/>
      </c>
      <c r="G72" s="4107" t="str">
        <f>IF('Part III-Sources of Funds'!$I$39="","",-FV('Part III-Sources of Funds'!$K$39/12,12,G58/12,F72))</f>
        <v/>
      </c>
      <c r="H72" s="4107" t="str">
        <f>IF('Part III-Sources of Funds'!$I$39="","",-FV('Part III-Sources of Funds'!$K$39/12,12,H58/12,G72))</f>
        <v/>
      </c>
      <c r="I72" s="4107" t="str">
        <f>IF('Part III-Sources of Funds'!$I$39="","",-FV('Part III-Sources of Funds'!$K$39/12,12,I58/12,H72))</f>
        <v/>
      </c>
      <c r="J72" s="4107" t="str">
        <f>IF('Part III-Sources of Funds'!$I$39="","",-FV('Part III-Sources of Funds'!$K$39/12,12,J58/12,I72))</f>
        <v/>
      </c>
      <c r="K72" s="4107" t="str">
        <f>IF('Part III-Sources of Funds'!$I$39="","",-FV('Part III-Sources of Funds'!$K$39/12,12,K58/12,J72))</f>
        <v/>
      </c>
      <c r="N72" s="3993"/>
      <c r="O72" s="3995"/>
    </row>
    <row r="73" spans="1:15" ht="13.35" customHeight="1">
      <c r="A73" s="417" t="s">
        <v>2551</v>
      </c>
      <c r="B73" s="4107" t="str">
        <f>IF('Part III-Sources of Funds'!$I$40="","",-FV('Part III-Sources of Funds'!$K$40/12,12,B59/12,K41))</f>
        <v/>
      </c>
      <c r="C73" s="4107" t="str">
        <f>IF('Part III-Sources of Funds'!$I$40="","",-FV('Part III-Sources of Funds'!$K$40/12,12,C59/12,B73))</f>
        <v/>
      </c>
      <c r="D73" s="4107" t="str">
        <f>IF('Part III-Sources of Funds'!$I$40="","",-FV('Part III-Sources of Funds'!$K$40/12,12,D59/12,C73))</f>
        <v/>
      </c>
      <c r="E73" s="4107" t="str">
        <f>IF('Part III-Sources of Funds'!$I$40="","",-FV('Part III-Sources of Funds'!$K$40/12,12,E59/12,D73))</f>
        <v/>
      </c>
      <c r="F73" s="4107" t="str">
        <f>IF('Part III-Sources of Funds'!$I$40="","",-FV('Part III-Sources of Funds'!$K$40/12,12,F59/12,E73))</f>
        <v/>
      </c>
      <c r="G73" s="4107" t="str">
        <f>IF('Part III-Sources of Funds'!$I$40="","",-FV('Part III-Sources of Funds'!$K$40/12,12,G59/12,F73))</f>
        <v/>
      </c>
      <c r="H73" s="4107" t="str">
        <f>IF('Part III-Sources of Funds'!$I$40="","",-FV('Part III-Sources of Funds'!$K$40/12,12,H59/12,G73))</f>
        <v/>
      </c>
      <c r="I73" s="4107" t="str">
        <f>IF('Part III-Sources of Funds'!$I$40="","",-FV('Part III-Sources of Funds'!$K$40/12,12,I59/12,H73))</f>
        <v/>
      </c>
      <c r="J73" s="4107" t="str">
        <f>IF('Part III-Sources of Funds'!$I$40="","",-FV('Part III-Sources of Funds'!$K$40/12,12,J59/12,I73))</f>
        <v/>
      </c>
      <c r="K73" s="4107" t="str">
        <f>IF('Part III-Sources of Funds'!$I$40="","",-FV('Part III-Sources of Funds'!$K$40/12,12,K59/12,J73))</f>
        <v/>
      </c>
      <c r="N73" s="3993"/>
      <c r="O73" s="3995"/>
    </row>
    <row r="74" spans="1:15" ht="13.35" customHeight="1">
      <c r="A74" s="21" t="s">
        <v>764</v>
      </c>
      <c r="B74" s="4107" t="str">
        <f>IF('Part III-Sources of Funds'!$I$41="","",-FV('Part III-Sources of Funds'!$K$41/12,12,B60/12,K42))</f>
        <v/>
      </c>
      <c r="C74" s="4107" t="str">
        <f>IF('Part III-Sources of Funds'!$I$41="","",-FV('Part III-Sources of Funds'!$K$41/12,12,C60/12,B74))</f>
        <v/>
      </c>
      <c r="D74" s="4107" t="str">
        <f>IF('Part III-Sources of Funds'!$I$41="","",-FV('Part III-Sources of Funds'!$K$41/12,12,D60/12,C74))</f>
        <v/>
      </c>
      <c r="E74" s="4107" t="str">
        <f>IF('Part III-Sources of Funds'!$I$41="","",-FV('Part III-Sources of Funds'!$K$41/12,12,E60/12,D74))</f>
        <v/>
      </c>
      <c r="F74" s="4107" t="str">
        <f>IF('Part III-Sources of Funds'!$I$41="","",-FV('Part III-Sources of Funds'!$K$41/12,12,F60/12,E74))</f>
        <v/>
      </c>
      <c r="G74" s="4107" t="str">
        <f>IF('Part III-Sources of Funds'!$I$41="","",-FV('Part III-Sources of Funds'!$K$41/12,12,G60/12,F74))</f>
        <v/>
      </c>
      <c r="H74" s="4107" t="str">
        <f>IF('Part III-Sources of Funds'!$I$41="","",-FV('Part III-Sources of Funds'!$K$41/12,12,H60/12,G74))</f>
        <v/>
      </c>
      <c r="I74" s="4107" t="str">
        <f>IF('Part III-Sources of Funds'!$I$41="","",-FV('Part III-Sources of Funds'!$K$41/12,12,I60/12,H74))</f>
        <v/>
      </c>
      <c r="J74" s="4107" t="str">
        <f>IF('Part III-Sources of Funds'!$I$41="","",-FV('Part III-Sources of Funds'!$K$41/12,12,J60/12,I74))</f>
        <v/>
      </c>
      <c r="K74" s="4107" t="str">
        <f>IF('Part III-Sources of Funds'!$I$41="","",-FV('Part III-Sources of Funds'!$K$41/12,12,K60/12,J74))</f>
        <v/>
      </c>
      <c r="N74" s="3993"/>
      <c r="O74" s="3995"/>
    </row>
    <row r="75" spans="1:15" ht="13.35" customHeight="1">
      <c r="A75" s="417" t="s">
        <v>3769</v>
      </c>
      <c r="B75" s="4110">
        <f>IF('Part III-Sources of Funds'!$I$43="","",IF(-FV('Part III-Sources of Funds'!$K$43/12,12,B63/12,K43)&gt;0,-FV('Part III-Sources of Funds'!$K$43/12,12,B63/12,K43),0))</f>
        <v>0</v>
      </c>
      <c r="C75" s="4110">
        <f>IF('Part III-Sources of Funds'!$I$43="","",IF(-FV('Part III-Sources of Funds'!$K$43/12,12,C63/12,B75)&gt;0,-FV('Part III-Sources of Funds'!$K$43/12,12,C63/12,B75),0))</f>
        <v>0</v>
      </c>
      <c r="D75" s="4110">
        <f>IF('Part III-Sources of Funds'!$I$43="","",IF(-FV('Part III-Sources of Funds'!$K$43/12,12,D63/12,C75)&gt;0,-FV('Part III-Sources of Funds'!$K$43/12,12,D63/12,C75),0))</f>
        <v>0</v>
      </c>
      <c r="E75" s="4110">
        <f>IF('Part III-Sources of Funds'!$I$43="","",IF(-FV('Part III-Sources of Funds'!$K$43/12,12,E63/12,D75)&gt;0,-FV('Part III-Sources of Funds'!$K$43/12,12,E63/12,D75),0))</f>
        <v>0</v>
      </c>
      <c r="F75" s="4110">
        <f>IF('Part III-Sources of Funds'!$I$43="","",IF(-FV('Part III-Sources of Funds'!$K$43/12,12,F63/12,E75)&gt;0,-FV('Part III-Sources of Funds'!$K$43/12,12,F63/12,E75),0))</f>
        <v>0</v>
      </c>
      <c r="G75" s="4110">
        <f>IF('Part III-Sources of Funds'!$I$43="","",IF(-FV('Part III-Sources of Funds'!$K$43/12,12,G63/12,F75)&gt;0,-FV('Part III-Sources of Funds'!$K$43/12,12,G63/12,F75),0))</f>
        <v>0</v>
      </c>
      <c r="H75" s="4110" t="str">
        <f>IF('Part III-Sources of Funds'!$I$41="","",-FV('Part III-Sources of Funds'!$K$41/12,12,H61/12,G75))</f>
        <v/>
      </c>
      <c r="I75" s="4110" t="str">
        <f>IF('Part III-Sources of Funds'!$I$41="","",-FV('Part III-Sources of Funds'!$K$41/12,12,I61/12,H75))</f>
        <v/>
      </c>
      <c r="J75" s="4110" t="str">
        <f>IF('Part III-Sources of Funds'!$I$41="","",-FV('Part III-Sources of Funds'!$K$41/12,12,J61/12,I75))</f>
        <v/>
      </c>
      <c r="K75" s="4110" t="str">
        <f>IF('Part III-Sources of Funds'!$I$41="","",-FV('Part III-Sources of Funds'!$K$41/12,12,K61/12,J75))</f>
        <v/>
      </c>
      <c r="N75" s="4024"/>
      <c r="O75" s="4026"/>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484" t="s">
        <v>2554</v>
      </c>
      <c r="O77" s="2484"/>
    </row>
    <row r="78" spans="1:15" ht="13.35" customHeight="1">
      <c r="A78" s="18" t="s">
        <v>2341</v>
      </c>
      <c r="B78" s="19">
        <f t="shared" ref="B78:K78" si="33">$B$14*(1+$B$5)^(B77-1)</f>
        <v>479842.13310933014</v>
      </c>
      <c r="C78" s="19">
        <f t="shared" si="33"/>
        <v>489438.97577151674</v>
      </c>
      <c r="D78" s="19">
        <f t="shared" si="33"/>
        <v>499227.75528694707</v>
      </c>
      <c r="E78" s="19">
        <f t="shared" si="33"/>
        <v>509212.31039268593</v>
      </c>
      <c r="F78" s="19">
        <f t="shared" si="33"/>
        <v>519396.55660053965</v>
      </c>
      <c r="G78" s="19">
        <f t="shared" si="33"/>
        <v>529784.48773255048</v>
      </c>
      <c r="H78" s="19">
        <f t="shared" si="33"/>
        <v>540380.17748720152</v>
      </c>
      <c r="I78" s="19">
        <f t="shared" si="33"/>
        <v>551187.78103694541</v>
      </c>
      <c r="J78" s="19">
        <f t="shared" si="33"/>
        <v>562211.53665768448</v>
      </c>
      <c r="K78" s="20">
        <f t="shared" si="33"/>
        <v>573455.76739083813</v>
      </c>
      <c r="N78" s="4031"/>
      <c r="O78" s="4033"/>
    </row>
    <row r="79" spans="1:15" ht="13.35" customHeight="1">
      <c r="A79" s="21" t="s">
        <v>994</v>
      </c>
      <c r="B79" s="22">
        <f t="shared" ref="B79:K79" si="34">$B$15*(1+$B$5)^(B77-1)</f>
        <v>9596.8426621866038</v>
      </c>
      <c r="C79" s="22">
        <f t="shared" si="34"/>
        <v>9788.7795154303349</v>
      </c>
      <c r="D79" s="22">
        <f t="shared" si="34"/>
        <v>9984.5551057389421</v>
      </c>
      <c r="E79" s="22">
        <f t="shared" si="34"/>
        <v>10184.246207853719</v>
      </c>
      <c r="F79" s="22">
        <f t="shared" si="34"/>
        <v>10387.931132010794</v>
      </c>
      <c r="G79" s="22">
        <f t="shared" si="34"/>
        <v>10595.68975465101</v>
      </c>
      <c r="H79" s="22">
        <f t="shared" si="34"/>
        <v>10807.603549744032</v>
      </c>
      <c r="I79" s="22">
        <f t="shared" si="34"/>
        <v>11023.75562073891</v>
      </c>
      <c r="J79" s="22">
        <f t="shared" si="34"/>
        <v>11244.23073315369</v>
      </c>
      <c r="K79" s="23">
        <f t="shared" si="34"/>
        <v>11469.115347816763</v>
      </c>
      <c r="N79" s="3993"/>
      <c r="O79" s="3995"/>
    </row>
    <row r="80" spans="1:15" ht="13.35" customHeight="1">
      <c r="A80" s="21" t="s">
        <v>2342</v>
      </c>
      <c r="B80" s="22">
        <f t="shared" ref="B80:K80" si="35">-(B78+B79)*$B$8</f>
        <v>-34260.728304006174</v>
      </c>
      <c r="C80" s="22">
        <f t="shared" si="35"/>
        <v>-34945.942870086299</v>
      </c>
      <c r="D80" s="22">
        <f t="shared" si="35"/>
        <v>-35644.861727488023</v>
      </c>
      <c r="E80" s="22">
        <f t="shared" si="35"/>
        <v>-36357.758962037777</v>
      </c>
      <c r="F80" s="22">
        <f t="shared" si="35"/>
        <v>-37084.914141278539</v>
      </c>
      <c r="G80" s="22">
        <f t="shared" si="35"/>
        <v>-37826.612424104111</v>
      </c>
      <c r="H80" s="22">
        <f t="shared" si="35"/>
        <v>-38583.14467258619</v>
      </c>
      <c r="I80" s="22">
        <f t="shared" si="35"/>
        <v>-39354.807566037911</v>
      </c>
      <c r="J80" s="22">
        <f t="shared" si="35"/>
        <v>-40141.903717358669</v>
      </c>
      <c r="K80" s="23">
        <f t="shared" si="35"/>
        <v>-40944.741791705841</v>
      </c>
      <c r="N80" s="3993"/>
      <c r="O80" s="3995"/>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3"/>
      <c r="O81" s="3995"/>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3"/>
      <c r="O82" s="3995"/>
    </row>
    <row r="83" spans="1:19" ht="13.35" customHeight="1">
      <c r="A83" s="417" t="s">
        <v>4375</v>
      </c>
      <c r="B83" s="22">
        <f t="shared" ref="B83:K83" si="36">SUM(B78:B82)</f>
        <v>455178.24746751058</v>
      </c>
      <c r="C83" s="22">
        <f t="shared" si="36"/>
        <v>464281.81241686078</v>
      </c>
      <c r="D83" s="22">
        <f t="shared" si="36"/>
        <v>473567.44866519794</v>
      </c>
      <c r="E83" s="22">
        <f t="shared" si="36"/>
        <v>483038.79763850186</v>
      </c>
      <c r="F83" s="22">
        <f t="shared" si="36"/>
        <v>492699.57359127194</v>
      </c>
      <c r="G83" s="22">
        <f t="shared" si="36"/>
        <v>502553.5650630974</v>
      </c>
      <c r="H83" s="22">
        <f t="shared" si="36"/>
        <v>512604.63636435935</v>
      </c>
      <c r="I83" s="22">
        <f t="shared" si="36"/>
        <v>522856.72909164644</v>
      </c>
      <c r="J83" s="22">
        <f t="shared" si="36"/>
        <v>533313.86367347941</v>
      </c>
      <c r="K83" s="23">
        <f t="shared" si="36"/>
        <v>543980.14094694902</v>
      </c>
      <c r="N83" s="3993"/>
      <c r="O83" s="3995"/>
    </row>
    <row r="84" spans="1:19" ht="13.35" customHeight="1">
      <c r="A84" s="21" t="s">
        <v>597</v>
      </c>
      <c r="B84" s="22">
        <f t="shared" ref="B84:K84" si="37">$B$20*(1+$B$6)^(B77-1)</f>
        <v>-374439.36894919339</v>
      </c>
      <c r="C84" s="22">
        <f t="shared" si="37"/>
        <v>-385672.55001766916</v>
      </c>
      <c r="D84" s="22">
        <f t="shared" si="37"/>
        <v>-397242.72651819926</v>
      </c>
      <c r="E84" s="22">
        <f t="shared" si="37"/>
        <v>-409160.00831374526</v>
      </c>
      <c r="F84" s="22">
        <f t="shared" si="37"/>
        <v>-421434.80856315757</v>
      </c>
      <c r="G84" s="22">
        <f t="shared" si="37"/>
        <v>-434077.8528200523</v>
      </c>
      <c r="H84" s="22">
        <f t="shared" si="37"/>
        <v>-447100.18840465392</v>
      </c>
      <c r="I84" s="22">
        <f t="shared" si="37"/>
        <v>-460513.19405679352</v>
      </c>
      <c r="J84" s="22">
        <f t="shared" si="37"/>
        <v>-474328.5898784973</v>
      </c>
      <c r="K84" s="23">
        <f t="shared" si="37"/>
        <v>-488558.44757485215</v>
      </c>
      <c r="N84" s="3993"/>
      <c r="O84" s="3995"/>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-43347</v>
      </c>
      <c r="C85" s="22">
        <f>IF(AND('Part VII-Pro Forma'!$G$8="Yes",'Part VII-Pro Forma'!$G$9="Yes"),"Choose One!",IF('Part VII-Pro Forma'!$G$8="Yes",ROUND((-$K$8*(1+'Part VII-Pro Forma'!$B$6)^('Part VII-Pro Forma'!C77-1)),),IF('Part VII-Pro Forma'!$G$9="Yes",ROUND((-(SUM(C78:C81)*'Part VII-Pro Forma'!$K$9)),),"Choose mgt fee")))</f>
        <v>-44647</v>
      </c>
      <c r="D85" s="22">
        <f>IF(AND('Part VII-Pro Forma'!$G$8="Yes",'Part VII-Pro Forma'!$G$9="Yes"),"Choose One!",IF('Part VII-Pro Forma'!$G$8="Yes",ROUND((-$K$8*(1+'Part VII-Pro Forma'!$B$6)^('Part VII-Pro Forma'!D77-1)),),IF('Part VII-Pro Forma'!$G$9="Yes",ROUND((-(SUM(D78:D81)*'Part VII-Pro Forma'!$K$9)),),"Choose mgt fee")))</f>
        <v>-45986</v>
      </c>
      <c r="E85" s="22">
        <f>IF(AND('Part VII-Pro Forma'!$G$8="Yes",'Part VII-Pro Forma'!$G$9="Yes"),"Choose One!",IF('Part VII-Pro Forma'!$G$8="Yes",ROUND((-$K$8*(1+'Part VII-Pro Forma'!$B$6)^('Part VII-Pro Forma'!E77-1)),),IF('Part VII-Pro Forma'!$G$9="Yes",ROUND((-(SUM(E78:E81)*'Part VII-Pro Forma'!$K$9)),),"Choose mgt fee")))</f>
        <v>-47366</v>
      </c>
      <c r="F85" s="22">
        <f>IF(AND('Part VII-Pro Forma'!$G$8="Yes",'Part VII-Pro Forma'!$G$9="Yes"),"Choose One!",IF('Part VII-Pro Forma'!$G$8="Yes",ROUND((-$K$8*(1+'Part VII-Pro Forma'!$B$6)^('Part VII-Pro Forma'!F77-1)),),IF('Part VII-Pro Forma'!$G$9="Yes",ROUND((-(SUM(F78:F81)*'Part VII-Pro Forma'!$K$9)),),"Choose mgt fee")))</f>
        <v>-48787</v>
      </c>
      <c r="G85" s="22">
        <f>IF(AND('Part VII-Pro Forma'!$G$8="Yes",'Part VII-Pro Forma'!$G$9="Yes"),"Choose One!",IF('Part VII-Pro Forma'!$G$8="Yes",ROUND((-$K$8*(1+'Part VII-Pro Forma'!$B$6)^('Part VII-Pro Forma'!G77-1)),),IF('Part VII-Pro Forma'!$G$9="Yes",ROUND((-(SUM(G78:G81)*'Part VII-Pro Forma'!$K$9)),),"Choose mgt fee")))</f>
        <v>-50251</v>
      </c>
      <c r="H85" s="22">
        <f>IF(AND('Part VII-Pro Forma'!$G$8="Yes",'Part VII-Pro Forma'!$G$9="Yes"),"Choose One!",IF('Part VII-Pro Forma'!$G$8="Yes",ROUND((-$K$8*(1+'Part VII-Pro Forma'!$B$6)^('Part VII-Pro Forma'!H77-1)),),IF('Part VII-Pro Forma'!$G$9="Yes",ROUND((-(SUM(H78:H81)*'Part VII-Pro Forma'!$K$9)),),"Choose mgt fee")))</f>
        <v>-51758</v>
      </c>
      <c r="I85" s="22">
        <f>IF(AND('Part VII-Pro Forma'!$G$8="Yes",'Part VII-Pro Forma'!$G$9="Yes"),"Choose One!",IF('Part VII-Pro Forma'!$G$8="Yes",ROUND((-$K$8*(1+'Part VII-Pro Forma'!$B$6)^('Part VII-Pro Forma'!I77-1)),),IF('Part VII-Pro Forma'!$G$9="Yes",ROUND((-(SUM(I78:I81)*'Part VII-Pro Forma'!$K$9)),),"Choose mgt fee")))</f>
        <v>-53311</v>
      </c>
      <c r="J85" s="22">
        <f>IF(AND('Part VII-Pro Forma'!$G$8="Yes",'Part VII-Pro Forma'!$G$9="Yes"),"Choose One!",IF('Part VII-Pro Forma'!$G$8="Yes",ROUND((-$K$8*(1+'Part VII-Pro Forma'!$B$6)^('Part VII-Pro Forma'!J77-1)),),IF('Part VII-Pro Forma'!$G$9="Yes",ROUND((-(SUM(J78:J81)*'Part VII-Pro Forma'!$K$9)),),"Choose mgt fee")))</f>
        <v>-54910</v>
      </c>
      <c r="K85" s="23">
        <f>IF(AND('Part VII-Pro Forma'!$G$8="Yes",'Part VII-Pro Forma'!$G$9="Yes"),"Choose One!",IF('Part VII-Pro Forma'!$G$8="Yes",ROUND((-$K$8*(1+'Part VII-Pro Forma'!$B$6)^('Part VII-Pro Forma'!K77-1)),),IF('Part VII-Pro Forma'!$G$9="Yes",ROUND((-(SUM(K78:K81)*'Part VII-Pro Forma'!$K$9)),),"Choose mgt fee")))</f>
        <v>-56558</v>
      </c>
      <c r="N85" s="3993"/>
      <c r="O85" s="3995"/>
    </row>
    <row r="86" spans="1:19" ht="13.35" customHeight="1">
      <c r="A86" s="21" t="s">
        <v>1176</v>
      </c>
      <c r="B86" s="22">
        <f t="shared" ref="B86:K86" si="38">$B$22*(1+$B$7)^(B77-1)</f>
        <v>-22576.390433367666</v>
      </c>
      <c r="C86" s="22">
        <f t="shared" si="38"/>
        <v>-23253.682146368694</v>
      </c>
      <c r="D86" s="22">
        <f t="shared" si="38"/>
        <v>-23951.292610759756</v>
      </c>
      <c r="E86" s="22">
        <f t="shared" si="38"/>
        <v>-24669.831389082548</v>
      </c>
      <c r="F86" s="22">
        <f t="shared" si="38"/>
        <v>-25409.926330755021</v>
      </c>
      <c r="G86" s="22">
        <f t="shared" si="38"/>
        <v>-26172.224120677674</v>
      </c>
      <c r="H86" s="22">
        <f t="shared" si="38"/>
        <v>-26957.390844298006</v>
      </c>
      <c r="I86" s="22">
        <f t="shared" si="38"/>
        <v>-27766.112569626945</v>
      </c>
      <c r="J86" s="22">
        <f t="shared" si="38"/>
        <v>-28599.095946715752</v>
      </c>
      <c r="K86" s="23">
        <f t="shared" si="38"/>
        <v>-29457.068825117221</v>
      </c>
      <c r="N86" s="3993"/>
      <c r="O86" s="3995"/>
      <c r="Q86" s="929">
        <v>10</v>
      </c>
      <c r="R86" s="1043">
        <f>-SUM(B92:K92)</f>
        <v>0</v>
      </c>
      <c r="S86" s="1043">
        <f>SUM(B93:K93)+R86</f>
        <v>0</v>
      </c>
    </row>
    <row r="87" spans="1:19" ht="13.35" customHeight="1">
      <c r="A87" s="417" t="s">
        <v>4374</v>
      </c>
      <c r="B87" s="4105">
        <f>IF(B77&lt;=+'Part VI-Revenues &amp; Expenses'!$N$250,-'Part VI-Revenues &amp; Expenses'!$K$250,0)</f>
        <v>0</v>
      </c>
      <c r="C87" s="4105">
        <f>IF(C77&lt;=+'Part VI-Revenues &amp; Expenses'!$N$250,-'Part VI-Revenues &amp; Expenses'!$K$250,0)</f>
        <v>0</v>
      </c>
      <c r="D87" s="4105">
        <f>IF(D77&lt;=+'Part VI-Revenues &amp; Expenses'!$N$250,-'Part VI-Revenues &amp; Expenses'!$K$250,0)</f>
        <v>0</v>
      </c>
      <c r="E87" s="4105">
        <f>IF(E77&lt;=+'Part VI-Revenues &amp; Expenses'!$N$250,-'Part VI-Revenues &amp; Expenses'!$K$250,0)</f>
        <v>0</v>
      </c>
      <c r="F87" s="4105">
        <f>IF(F77&lt;=+'Part VI-Revenues &amp; Expenses'!$N$250,-'Part VI-Revenues &amp; Expenses'!$K$250,0)</f>
        <v>0</v>
      </c>
      <c r="G87" s="4105">
        <f>IF(G77&lt;=+'Part VI-Revenues &amp; Expenses'!$N$250,-'Part VI-Revenues &amp; Expenses'!$K$250,0)</f>
        <v>0</v>
      </c>
      <c r="H87" s="4105">
        <f>IF(H77&lt;=+'Part VI-Revenues &amp; Expenses'!$N$250,-'Part VI-Revenues &amp; Expenses'!$K$250,0)</f>
        <v>0</v>
      </c>
      <c r="I87" s="4105">
        <f>IF(I77&lt;=+'Part VI-Revenues &amp; Expenses'!$N$250,-'Part VI-Revenues &amp; Expenses'!$K$250,0)</f>
        <v>0</v>
      </c>
      <c r="J87" s="4105">
        <f>IF(J77&lt;=+'Part VI-Revenues &amp; Expenses'!$N$250,-'Part VI-Revenues &amp; Expenses'!$K$250,0)</f>
        <v>0</v>
      </c>
      <c r="K87" s="4105">
        <f>IF(K77&lt;=+'Part VI-Revenues &amp; Expenses'!$N$250,-'Part VI-Revenues &amp; Expenses'!$K$250,0)</f>
        <v>0</v>
      </c>
      <c r="N87" s="3993"/>
      <c r="O87" s="3995"/>
    </row>
    <row r="88" spans="1:19" ht="13.35" customHeight="1">
      <c r="A88" s="21" t="s">
        <v>1177</v>
      </c>
      <c r="B88" s="22">
        <f t="shared" ref="B88:K88" si="39">SUM(B83:B87)</f>
        <v>14815.48808494952</v>
      </c>
      <c r="C88" s="22">
        <f t="shared" si="39"/>
        <v>10708.580252822925</v>
      </c>
      <c r="D88" s="22">
        <f t="shared" si="39"/>
        <v>6387.4295362389275</v>
      </c>
      <c r="E88" s="22">
        <f t="shared" si="39"/>
        <v>1842.9579356740469</v>
      </c>
      <c r="F88" s="22">
        <f t="shared" si="39"/>
        <v>-2932.1613026406485</v>
      </c>
      <c r="G88" s="22">
        <f t="shared" si="39"/>
        <v>-7947.5118776325762</v>
      </c>
      <c r="H88" s="22">
        <f t="shared" si="39"/>
        <v>-13210.942884592576</v>
      </c>
      <c r="I88" s="22">
        <f t="shared" si="39"/>
        <v>-18733.577534774027</v>
      </c>
      <c r="J88" s="22">
        <f t="shared" si="39"/>
        <v>-24523.822151733635</v>
      </c>
      <c r="K88" s="1482">
        <f t="shared" si="39"/>
        <v>-30593.375453020355</v>
      </c>
      <c r="N88" s="3993"/>
      <c r="O88" s="3995"/>
    </row>
    <row r="89" spans="1:19" ht="13.35" customHeight="1">
      <c r="A89" s="21" t="str">
        <f>$A57</f>
        <v>Mortgage A</v>
      </c>
      <c r="B89" s="4106">
        <f>IF('Part III-Sources of Funds'!$P$38="", 0,-'Part III-Sources of Funds'!$P$38)</f>
        <v>0</v>
      </c>
      <c r="C89" s="4106">
        <f>IF('Part III-Sources of Funds'!$P$38="", 0,-'Part III-Sources of Funds'!$P$38)</f>
        <v>0</v>
      </c>
      <c r="D89" s="4106">
        <f>IF('Part III-Sources of Funds'!$P$38="", 0,-'Part III-Sources of Funds'!$P$38)</f>
        <v>0</v>
      </c>
      <c r="E89" s="4106">
        <f>IF('Part III-Sources of Funds'!$P$38="", 0,-'Part III-Sources of Funds'!$P$38)</f>
        <v>0</v>
      </c>
      <c r="F89" s="4106">
        <f>IF('Part III-Sources of Funds'!$P$38="", 0,-'Part III-Sources of Funds'!$P$38)</f>
        <v>0</v>
      </c>
      <c r="G89" s="4106">
        <f>IF('Part III-Sources of Funds'!$P$38="", 0,-'Part III-Sources of Funds'!$P$38)</f>
        <v>0</v>
      </c>
      <c r="H89" s="4106">
        <f>IF('Part III-Sources of Funds'!$P$38="", 0,-'Part III-Sources of Funds'!$P$38)</f>
        <v>0</v>
      </c>
      <c r="I89" s="4106">
        <f>IF('Part III-Sources of Funds'!$P$38="", 0,-'Part III-Sources of Funds'!$P$38)</f>
        <v>0</v>
      </c>
      <c r="J89" s="4106">
        <f>IF('Part III-Sources of Funds'!$P$38="", 0,-'Part III-Sources of Funds'!$P$38)</f>
        <v>0</v>
      </c>
      <c r="K89" s="4106">
        <f>IF('Part III-Sources of Funds'!$P$38="", 0,-'Part III-Sources of Funds'!$P$38)</f>
        <v>0</v>
      </c>
      <c r="N89" s="3993"/>
      <c r="O89" s="3995"/>
    </row>
    <row r="90" spans="1:19" ht="13.35" customHeight="1">
      <c r="A90" s="21" t="str">
        <f>$A58</f>
        <v>Mortgage B</v>
      </c>
      <c r="B90" s="4107">
        <f>IF('Part III-Sources of Funds'!$P$39="", 0,-'Part III-Sources of Funds'!$P$39)</f>
        <v>0</v>
      </c>
      <c r="C90" s="4107">
        <f>IF('Part III-Sources of Funds'!$P$39="", 0,-'Part III-Sources of Funds'!$P$39)</f>
        <v>0</v>
      </c>
      <c r="D90" s="4107">
        <f>IF('Part III-Sources of Funds'!$P$39="", 0,-'Part III-Sources of Funds'!$P$39)</f>
        <v>0</v>
      </c>
      <c r="E90" s="4107">
        <f>IF('Part III-Sources of Funds'!$P$39="", 0,-'Part III-Sources of Funds'!$P$39)</f>
        <v>0</v>
      </c>
      <c r="F90" s="4107">
        <f>IF('Part III-Sources of Funds'!$P$39="", 0,-'Part III-Sources of Funds'!$P$39)</f>
        <v>0</v>
      </c>
      <c r="G90" s="4107">
        <f>IF('Part III-Sources of Funds'!$P$39="", 0,-'Part III-Sources of Funds'!$P$39)</f>
        <v>0</v>
      </c>
      <c r="H90" s="4107">
        <f>IF('Part III-Sources of Funds'!$P$39="", 0,-'Part III-Sources of Funds'!$P$39)</f>
        <v>0</v>
      </c>
      <c r="I90" s="4107">
        <f>IF('Part III-Sources of Funds'!$P$39="", 0,-'Part III-Sources of Funds'!$P$39)</f>
        <v>0</v>
      </c>
      <c r="J90" s="4107">
        <f>IF('Part III-Sources of Funds'!$P$39="", 0,-'Part III-Sources of Funds'!$P$39)</f>
        <v>0</v>
      </c>
      <c r="K90" s="4107">
        <f>IF('Part III-Sources of Funds'!$P$39="", 0,-'Part III-Sources of Funds'!$P$39)</f>
        <v>0</v>
      </c>
      <c r="N90" s="3993"/>
      <c r="O90" s="3995"/>
    </row>
    <row r="91" spans="1:19" ht="13.35" customHeight="1">
      <c r="A91" s="21" t="str">
        <f>$A59</f>
        <v>Mortgage C</v>
      </c>
      <c r="B91" s="4107">
        <f>IF('Part III-Sources of Funds'!$P$40="", 0,-'Part III-Sources of Funds'!$P$40)</f>
        <v>0</v>
      </c>
      <c r="C91" s="4107">
        <f>IF('Part III-Sources of Funds'!$P$40="", 0,-'Part III-Sources of Funds'!$P$40)</f>
        <v>0</v>
      </c>
      <c r="D91" s="4107">
        <f>IF('Part III-Sources of Funds'!$P$40="", 0,-'Part III-Sources of Funds'!$P$40)</f>
        <v>0</v>
      </c>
      <c r="E91" s="4107">
        <f>IF('Part III-Sources of Funds'!$P$40="", 0,-'Part III-Sources of Funds'!$P$40)</f>
        <v>0</v>
      </c>
      <c r="F91" s="4107">
        <f>IF('Part III-Sources of Funds'!$P$40="", 0,-'Part III-Sources of Funds'!$P$40)</f>
        <v>0</v>
      </c>
      <c r="G91" s="4107">
        <f>IF('Part III-Sources of Funds'!$P$40="", 0,-'Part III-Sources of Funds'!$P$40)</f>
        <v>0</v>
      </c>
      <c r="H91" s="4107">
        <f>IF('Part III-Sources of Funds'!$P$40="", 0,-'Part III-Sources of Funds'!$P$40)</f>
        <v>0</v>
      </c>
      <c r="I91" s="4107">
        <f>IF('Part III-Sources of Funds'!$P$40="", 0,-'Part III-Sources of Funds'!$P$40)</f>
        <v>0</v>
      </c>
      <c r="J91" s="4107">
        <f>IF('Part III-Sources of Funds'!$P$40="", 0,-'Part III-Sources of Funds'!$P$40)</f>
        <v>0</v>
      </c>
      <c r="K91" s="4107">
        <f>IF('Part III-Sources of Funds'!$P$40="", 0,-'Part III-Sources of Funds'!$P$40)</f>
        <v>0</v>
      </c>
      <c r="N91" s="3993"/>
      <c r="O91" s="3995"/>
    </row>
    <row r="92" spans="1:19" ht="13.35" customHeight="1">
      <c r="A92" s="21" t="str">
        <f>$A60</f>
        <v>D/S Other Source,not DDF</v>
      </c>
      <c r="B92" s="4107">
        <f>IF('Part III-Sources of Funds'!$P$41="", 0,-'Part III-Sources of Funds'!$P$41)</f>
        <v>0</v>
      </c>
      <c r="C92" s="4107">
        <f>IF('Part III-Sources of Funds'!$P$41="", 0,-'Part III-Sources of Funds'!$P$41)</f>
        <v>0</v>
      </c>
      <c r="D92" s="4107">
        <f>IF('Part III-Sources of Funds'!$P$41="", 0,-'Part III-Sources of Funds'!$P$41)</f>
        <v>0</v>
      </c>
      <c r="E92" s="4107">
        <f>IF('Part III-Sources of Funds'!$P$41="", 0,-'Part III-Sources of Funds'!$P$41)</f>
        <v>0</v>
      </c>
      <c r="F92" s="4107">
        <f>IF('Part III-Sources of Funds'!$P$41="", 0,-'Part III-Sources of Funds'!$P$41)</f>
        <v>0</v>
      </c>
      <c r="G92" s="4107">
        <f>IF('Part III-Sources of Funds'!$P$41="", 0,-'Part III-Sources of Funds'!$P$41)</f>
        <v>0</v>
      </c>
      <c r="H92" s="4107">
        <f>IF('Part III-Sources of Funds'!$P$41="", 0,-'Part III-Sources of Funds'!$P$41)</f>
        <v>0</v>
      </c>
      <c r="I92" s="4107">
        <f>IF('Part III-Sources of Funds'!$P$41="", 0,-'Part III-Sources of Funds'!$P$41)</f>
        <v>0</v>
      </c>
      <c r="J92" s="4107">
        <f>IF('Part III-Sources of Funds'!$P$41="", 0,-'Part III-Sources of Funds'!$P$41)</f>
        <v>0</v>
      </c>
      <c r="K92" s="4107">
        <f>IF('Part III-Sources of Funds'!$P$41="", 0,-'Part III-Sources of Funds'!$P$41)</f>
        <v>0</v>
      </c>
      <c r="N92" s="3993"/>
      <c r="O92" s="3995"/>
    </row>
    <row r="93" spans="1:19" ht="13.35" customHeight="1">
      <c r="A93" s="21" t="s">
        <v>745</v>
      </c>
      <c r="B93" s="4108"/>
      <c r="C93" s="4108"/>
      <c r="D93" s="4108"/>
      <c r="E93" s="4108"/>
      <c r="F93" s="4108"/>
      <c r="G93" s="4108"/>
      <c r="H93" s="4108"/>
      <c r="I93" s="4108"/>
      <c r="J93" s="4108"/>
      <c r="K93" s="4108"/>
      <c r="N93" s="3993"/>
      <c r="O93" s="3995"/>
    </row>
    <row r="94" spans="1:19" ht="13.35" customHeight="1">
      <c r="A94" s="417" t="s">
        <v>1141</v>
      </c>
      <c r="B94" s="4110">
        <f>+K62</f>
        <v>-5000</v>
      </c>
      <c r="C94" s="4110">
        <f t="shared" ref="C94:K94" si="40">+B94</f>
        <v>-5000</v>
      </c>
      <c r="D94" s="4110">
        <f t="shared" si="40"/>
        <v>-5000</v>
      </c>
      <c r="E94" s="4110">
        <f t="shared" si="40"/>
        <v>-5000</v>
      </c>
      <c r="F94" s="4110">
        <f t="shared" si="40"/>
        <v>-5000</v>
      </c>
      <c r="G94" s="4110">
        <f t="shared" si="40"/>
        <v>-5000</v>
      </c>
      <c r="H94" s="4110">
        <f t="shared" si="40"/>
        <v>-5000</v>
      </c>
      <c r="I94" s="4110">
        <f t="shared" si="40"/>
        <v>-5000</v>
      </c>
      <c r="J94" s="4110">
        <f t="shared" si="40"/>
        <v>-5000</v>
      </c>
      <c r="K94" s="4110">
        <f t="shared" si="40"/>
        <v>-5000</v>
      </c>
      <c r="N94" s="3993"/>
      <c r="O94" s="3995"/>
    </row>
    <row r="95" spans="1:19" ht="13.35" customHeight="1">
      <c r="A95" s="21" t="s">
        <v>1142</v>
      </c>
      <c r="B95" s="22">
        <f t="shared" ref="B95:K95" si="41">SUM(B88:B94)</f>
        <v>9815.4880849495203</v>
      </c>
      <c r="C95" s="22">
        <f t="shared" si="41"/>
        <v>5708.5802528229251</v>
      </c>
      <c r="D95" s="22">
        <f t="shared" si="41"/>
        <v>1387.4295362389275</v>
      </c>
      <c r="E95" s="22">
        <f t="shared" si="41"/>
        <v>-3157.0420643259531</v>
      </c>
      <c r="F95" s="22">
        <f t="shared" si="41"/>
        <v>-7932.1613026406485</v>
      </c>
      <c r="G95" s="22">
        <f t="shared" si="41"/>
        <v>-12947.511877632576</v>
      </c>
      <c r="H95" s="22">
        <f t="shared" si="41"/>
        <v>-18210.942884592576</v>
      </c>
      <c r="I95" s="22">
        <f t="shared" si="41"/>
        <v>-23733.577534774027</v>
      </c>
      <c r="J95" s="22">
        <f t="shared" si="41"/>
        <v>-29523.822151733635</v>
      </c>
      <c r="K95" s="23">
        <f t="shared" si="41"/>
        <v>-35593.375453020359</v>
      </c>
      <c r="N95" s="3993"/>
      <c r="O95" s="3995"/>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3993"/>
      <c r="O96" s="3995"/>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93"/>
      <c r="O97" s="3995"/>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93"/>
      <c r="O98" s="3995"/>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93"/>
      <c r="O99" s="3995"/>
    </row>
    <row r="100" spans="1:15" ht="13.35" customHeight="1">
      <c r="A100" s="417" t="s">
        <v>3532</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993"/>
      <c r="O100" s="3995"/>
    </row>
    <row r="101" spans="1:15" ht="13.35" customHeight="1">
      <c r="A101" s="21" t="s">
        <v>752</v>
      </c>
      <c r="B101" s="265">
        <f>IF(OR(B85="Choose mgt fee",B85="Choose One!"),"",(B78+B79+B80+B81+B82) / -(B84+B85+B86))</f>
        <v>1.033643826071311</v>
      </c>
      <c r="C101" s="265">
        <f t="shared" ref="C101:K101" si="47">IF(OR(C85="Choose mgt fee",C85="Choose One!"),"",(C78+C79+C80+C81+C82) / -(C84+C85+C86))</f>
        <v>1.0236093743930419</v>
      </c>
      <c r="D101" s="265">
        <f t="shared" si="47"/>
        <v>1.0136723089059931</v>
      </c>
      <c r="E101" s="265">
        <f t="shared" si="47"/>
        <v>1.003829954009603</v>
      </c>
      <c r="F101" s="265">
        <f t="shared" si="47"/>
        <v>0.99408399201219788</v>
      </c>
      <c r="G101" s="265">
        <f t="shared" si="47"/>
        <v>0.9844319390563101</v>
      </c>
      <c r="H101" s="265">
        <f t="shared" si="47"/>
        <v>0.97487533004734761</v>
      </c>
      <c r="I101" s="265">
        <f t="shared" si="47"/>
        <v>0.96541005755537623</v>
      </c>
      <c r="J101" s="265">
        <f t="shared" si="47"/>
        <v>0.95603770993805226</v>
      </c>
      <c r="K101" s="266">
        <f t="shared" si="47"/>
        <v>0.94675463699631468</v>
      </c>
      <c r="N101" s="3993"/>
      <c r="O101" s="3995"/>
    </row>
    <row r="102" spans="1:15" ht="13.35" customHeight="1">
      <c r="A102" s="417" t="s">
        <v>2549</v>
      </c>
      <c r="B102" s="4111" t="str">
        <f>IF('Part III-Sources of Funds'!$I$38="","",-FV('Part III-Sources of Funds'!$K$38/12,12,B89/12,K71))</f>
        <v/>
      </c>
      <c r="C102" s="4111" t="str">
        <f>IF('Part III-Sources of Funds'!$I$38="","",-FV('Part III-Sources of Funds'!$K$38/12,12,C89/12,B102))</f>
        <v/>
      </c>
      <c r="D102" s="4111" t="str">
        <f>IF('Part III-Sources of Funds'!$I$38="","",-FV('Part III-Sources of Funds'!$K$38/12,12,D89/12,C102))</f>
        <v/>
      </c>
      <c r="E102" s="4111" t="str">
        <f>IF('Part III-Sources of Funds'!$I$38="","",-FV('Part III-Sources of Funds'!$K$38/12,12,E89/12,D102))</f>
        <v/>
      </c>
      <c r="F102" s="4111" t="str">
        <f>IF('Part III-Sources of Funds'!$I$38="","",-FV('Part III-Sources of Funds'!$K$38/12,12,F89/12,E102))</f>
        <v/>
      </c>
      <c r="G102" s="4111" t="str">
        <f>IF('Part III-Sources of Funds'!$I$38="","",-FV('Part III-Sources of Funds'!$K$38/12,12,G89/12,F102))</f>
        <v/>
      </c>
      <c r="H102" s="4111" t="str">
        <f>IF('Part III-Sources of Funds'!$I$38="","",-FV('Part III-Sources of Funds'!$K$38/12,12,H89/12,G102))</f>
        <v/>
      </c>
      <c r="I102" s="4111" t="str">
        <f>IF('Part III-Sources of Funds'!$I$38="","",-FV('Part III-Sources of Funds'!$K$38/12,12,I89/12,H102))</f>
        <v/>
      </c>
      <c r="J102" s="4111" t="str">
        <f>IF('Part III-Sources of Funds'!$I$38="","",-FV('Part III-Sources of Funds'!$K$38/12,12,J89/12,I102))</f>
        <v/>
      </c>
      <c r="K102" s="4111" t="str">
        <f>IF('Part III-Sources of Funds'!$I$38="","",-FV('Part III-Sources of Funds'!$K$38/12,12,K89/12,J102))</f>
        <v/>
      </c>
      <c r="N102" s="3993"/>
      <c r="O102" s="3995"/>
    </row>
    <row r="103" spans="1:15" ht="13.35" customHeight="1">
      <c r="A103" s="417" t="s">
        <v>2550</v>
      </c>
      <c r="B103" s="4107" t="str">
        <f>IF('Part III-Sources of Funds'!$I$39="","",-FV('Part III-Sources of Funds'!$K$39/12,12,B90/12,K72))</f>
        <v/>
      </c>
      <c r="C103" s="4107" t="str">
        <f>IF('Part III-Sources of Funds'!$I$39="","",-FV('Part III-Sources of Funds'!$K$39/12,12,C90/12,B103))</f>
        <v/>
      </c>
      <c r="D103" s="4107" t="str">
        <f>IF('Part III-Sources of Funds'!$I$39="","",-FV('Part III-Sources of Funds'!$K$39/12,12,D90/12,C103))</f>
        <v/>
      </c>
      <c r="E103" s="4107" t="str">
        <f>IF('Part III-Sources of Funds'!$I$39="","",-FV('Part III-Sources of Funds'!$K$39/12,12,E90/12,D103))</f>
        <v/>
      </c>
      <c r="F103" s="4107" t="str">
        <f>IF('Part III-Sources of Funds'!$I$39="","",-FV('Part III-Sources of Funds'!$K$39/12,12,F90/12,E103))</f>
        <v/>
      </c>
      <c r="G103" s="4107" t="str">
        <f>IF('Part III-Sources of Funds'!$I$39="","",-FV('Part III-Sources of Funds'!$K$39/12,12,G90/12,F103))</f>
        <v/>
      </c>
      <c r="H103" s="4107" t="str">
        <f>IF('Part III-Sources of Funds'!$I$39="","",-FV('Part III-Sources of Funds'!$K$39/12,12,H90/12,G103))</f>
        <v/>
      </c>
      <c r="I103" s="4107" t="str">
        <f>IF('Part III-Sources of Funds'!$I$39="","",-FV('Part III-Sources of Funds'!$K$39/12,12,I90/12,H103))</f>
        <v/>
      </c>
      <c r="J103" s="4107" t="str">
        <f>IF('Part III-Sources of Funds'!$I$39="","",-FV('Part III-Sources of Funds'!$K$39/12,12,J90/12,I103))</f>
        <v/>
      </c>
      <c r="K103" s="4107" t="str">
        <f>IF('Part III-Sources of Funds'!$I$39="","",-FV('Part III-Sources of Funds'!$K$39/12,12,K90/12,J103))</f>
        <v/>
      </c>
      <c r="N103" s="3993"/>
      <c r="O103" s="3995"/>
    </row>
    <row r="104" spans="1:15" ht="13.35" customHeight="1">
      <c r="A104" s="417" t="s">
        <v>2551</v>
      </c>
      <c r="B104" s="4107" t="str">
        <f>IF('Part III-Sources of Funds'!$I$40="","",-FV('Part III-Sources of Funds'!$K$40/12,12,B91/12,K73))</f>
        <v/>
      </c>
      <c r="C104" s="4107" t="str">
        <f>IF('Part III-Sources of Funds'!$I$40="","",-FV('Part III-Sources of Funds'!$K$40/12,12,C91/12,B104))</f>
        <v/>
      </c>
      <c r="D104" s="4107" t="str">
        <f>IF('Part III-Sources of Funds'!$I$40="","",-FV('Part III-Sources of Funds'!$K$40/12,12,D91/12,C104))</f>
        <v/>
      </c>
      <c r="E104" s="4107" t="str">
        <f>IF('Part III-Sources of Funds'!$I$40="","",-FV('Part III-Sources of Funds'!$K$40/12,12,E91/12,D104))</f>
        <v/>
      </c>
      <c r="F104" s="4107" t="str">
        <f>IF('Part III-Sources of Funds'!$I$40="","",-FV('Part III-Sources of Funds'!$K$40/12,12,F91/12,E104))</f>
        <v/>
      </c>
      <c r="G104" s="4107" t="str">
        <f>IF('Part III-Sources of Funds'!$I$40="","",-FV('Part III-Sources of Funds'!$K$40/12,12,G91/12,F104))</f>
        <v/>
      </c>
      <c r="H104" s="4107" t="str">
        <f>IF('Part III-Sources of Funds'!$I$40="","",-FV('Part III-Sources of Funds'!$K$40/12,12,H91/12,G104))</f>
        <v/>
      </c>
      <c r="I104" s="4107" t="str">
        <f>IF('Part III-Sources of Funds'!$I$40="","",-FV('Part III-Sources of Funds'!$K$40/12,12,I91/12,H104))</f>
        <v/>
      </c>
      <c r="J104" s="4107" t="str">
        <f>IF('Part III-Sources of Funds'!$I$40="","",-FV('Part III-Sources of Funds'!$K$40/12,12,J91/12,I104))</f>
        <v/>
      </c>
      <c r="K104" s="4107" t="str">
        <f>IF('Part III-Sources of Funds'!$I$40="","",-FV('Part III-Sources of Funds'!$K$40/12,12,K91/12,J104))</f>
        <v/>
      </c>
      <c r="N104" s="3993"/>
      <c r="O104" s="3995"/>
    </row>
    <row r="105" spans="1:15" ht="13.35" customHeight="1">
      <c r="A105" s="21" t="s">
        <v>764</v>
      </c>
      <c r="B105" s="4110" t="str">
        <f>IF('Part III-Sources of Funds'!$I$41="","",-FV('Part III-Sources of Funds'!$K$41/12,12,B92/12,K74))</f>
        <v/>
      </c>
      <c r="C105" s="4110" t="str">
        <f>IF('Part III-Sources of Funds'!$I$41="","",-FV('Part III-Sources of Funds'!$K$41/12,12,C92/12,B105))</f>
        <v/>
      </c>
      <c r="D105" s="4110" t="str">
        <f>IF('Part III-Sources of Funds'!$I$41="","",-FV('Part III-Sources of Funds'!$K$41/12,12,D92/12,C105))</f>
        <v/>
      </c>
      <c r="E105" s="4110" t="str">
        <f>IF('Part III-Sources of Funds'!$I$41="","",-FV('Part III-Sources of Funds'!$K$41/12,12,E92/12,D105))</f>
        <v/>
      </c>
      <c r="F105" s="4110" t="str">
        <f>IF('Part III-Sources of Funds'!$I$41="","",-FV('Part III-Sources of Funds'!$K$41/12,12,F92/12,E105))</f>
        <v/>
      </c>
      <c r="G105" s="4110" t="str">
        <f>IF('Part III-Sources of Funds'!$I$41="","",-FV('Part III-Sources of Funds'!$K$41/12,12,G92/12,F105))</f>
        <v/>
      </c>
      <c r="H105" s="4110" t="str">
        <f>IF('Part III-Sources of Funds'!$I$41="","",-FV('Part III-Sources of Funds'!$K$41/12,12,H92/12,G105))</f>
        <v/>
      </c>
      <c r="I105" s="4110" t="str">
        <f>IF('Part III-Sources of Funds'!$I$41="","",-FV('Part III-Sources of Funds'!$K$41/12,12,I92/12,H105))</f>
        <v/>
      </c>
      <c r="J105" s="4110" t="str">
        <f>IF('Part III-Sources of Funds'!$I$41="","",-FV('Part III-Sources of Funds'!$K$41/12,12,J92/12,I105))</f>
        <v/>
      </c>
      <c r="K105" s="4110" t="str">
        <f>IF('Part III-Sources of Funds'!$I$41="","",-FV('Part III-Sources of Funds'!$K$41/12,12,K92/12,J105))</f>
        <v/>
      </c>
      <c r="N105" s="4024"/>
      <c r="O105" s="4026"/>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484" t="s">
        <v>3523</v>
      </c>
      <c r="O107" s="2484"/>
    </row>
    <row r="108" spans="1:15" ht="13.35" customHeight="1">
      <c r="A108" s="18" t="s">
        <v>2341</v>
      </c>
      <c r="B108" s="19">
        <f>$B$14*(1+$B$5)^(B107-1)</f>
        <v>584924.88273865485</v>
      </c>
      <c r="C108" s="19">
        <f>$B$14*(1+$B$5)^(C107-1)</f>
        <v>596623.38039342791</v>
      </c>
      <c r="D108" s="19">
        <f>$B$14*(1+$B$5)^(D107-1)</f>
        <v>608555.84800129652</v>
      </c>
      <c r="E108" s="19">
        <f>$B$14*(1+$B$5)^(E107-1)</f>
        <v>620726.96496132249</v>
      </c>
      <c r="F108" s="596">
        <f>$B$14*(1+$B$5)^(F107-1)</f>
        <v>633141.50426054886</v>
      </c>
      <c r="G108" s="17"/>
      <c r="H108" s="17"/>
      <c r="I108" s="17"/>
      <c r="J108" s="17"/>
      <c r="K108" s="17"/>
      <c r="N108" s="4031"/>
      <c r="O108" s="4033"/>
    </row>
    <row r="109" spans="1:15" ht="13.35" customHeight="1">
      <c r="A109" s="21" t="s">
        <v>994</v>
      </c>
      <c r="B109" s="22">
        <f>$B$15*(1+$B$5)^(B107-1)</f>
        <v>11698.497654773098</v>
      </c>
      <c r="C109" s="22">
        <f>$B$15*(1+$B$5)^(C107-1)</f>
        <v>11932.467607868559</v>
      </c>
      <c r="D109" s="22">
        <f>$B$15*(1+$B$5)^(D107-1)</f>
        <v>12171.116960025933</v>
      </c>
      <c r="E109" s="22">
        <f>$B$15*(1+$B$5)^(E107-1)</f>
        <v>12414.539299226451</v>
      </c>
      <c r="F109" s="23">
        <f>$B$15*(1+$B$5)^(F107-1)</f>
        <v>12662.830085210979</v>
      </c>
      <c r="G109" s="17"/>
      <c r="H109" s="17"/>
      <c r="I109" s="17"/>
      <c r="J109" s="17"/>
      <c r="K109" s="17"/>
      <c r="N109" s="3993"/>
      <c r="O109" s="3995"/>
    </row>
    <row r="110" spans="1:15" ht="13.35" customHeight="1">
      <c r="A110" s="21" t="s">
        <v>2342</v>
      </c>
      <c r="B110" s="22">
        <f>-(B108+B109)*$B$8</f>
        <v>-41763.636627539956</v>
      </c>
      <c r="C110" s="22">
        <f>-(C108+C109)*$B$8</f>
        <v>-42598.909360090758</v>
      </c>
      <c r="D110" s="22">
        <f>-(D108+D109)*$B$8</f>
        <v>-43450.887547292579</v>
      </c>
      <c r="E110" s="22">
        <f>-(E108+E109)*$B$8</f>
        <v>-44319.905298238431</v>
      </c>
      <c r="F110" s="23">
        <f>-(F108+F109)*$B$8</f>
        <v>-45206.303404203194</v>
      </c>
      <c r="G110" s="17"/>
      <c r="H110" s="17"/>
      <c r="I110" s="17"/>
      <c r="J110" s="17"/>
      <c r="K110" s="17"/>
      <c r="N110" s="3993"/>
      <c r="O110" s="3995"/>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3"/>
      <c r="O111" s="3995"/>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3"/>
      <c r="O112" s="3995"/>
    </row>
    <row r="113" spans="1:19" ht="13.35" customHeight="1">
      <c r="A113" s="417" t="s">
        <v>4375</v>
      </c>
      <c r="B113" s="22">
        <f>SUM(B108:B112)</f>
        <v>554859.74376588792</v>
      </c>
      <c r="C113" s="22">
        <f>SUM(C108:C112)</f>
        <v>565956.93864120578</v>
      </c>
      <c r="D113" s="22">
        <f>SUM(D108:D112)</f>
        <v>577276.07741402986</v>
      </c>
      <c r="E113" s="22">
        <f>SUM(E108:E112)</f>
        <v>588821.59896231059</v>
      </c>
      <c r="F113" s="23">
        <f>SUM(F108:F112)</f>
        <v>600598.03094155667</v>
      </c>
      <c r="G113" s="17"/>
      <c r="H113" s="17"/>
      <c r="I113" s="17"/>
      <c r="J113" s="17"/>
      <c r="K113" s="17"/>
      <c r="N113" s="3993"/>
      <c r="O113" s="3995"/>
    </row>
    <row r="114" spans="1:19" ht="13.35" customHeight="1">
      <c r="A114" s="21" t="s">
        <v>597</v>
      </c>
      <c r="B114" s="22">
        <f>$B$20*(1+$B$6)^(B107-1)</f>
        <v>-503215.20100209775</v>
      </c>
      <c r="C114" s="22">
        <f>$B$20*(1+$B$6)^(C107-1)</f>
        <v>-518311.65703216079</v>
      </c>
      <c r="D114" s="22">
        <f>$B$20*(1+$B$6)^(D107-1)</f>
        <v>-533861.0067431255</v>
      </c>
      <c r="E114" s="22">
        <f>$B$20*(1+$B$6)^(E107-1)</f>
        <v>-549876.83694541932</v>
      </c>
      <c r="F114" s="23">
        <f>$B$20*(1+$B$6)^(F107-1)</f>
        <v>-566373.14205378178</v>
      </c>
      <c r="G114" s="17"/>
      <c r="H114" s="17"/>
      <c r="I114" s="17"/>
      <c r="J114" s="17"/>
      <c r="K114" s="17"/>
      <c r="N114" s="3993"/>
      <c r="O114" s="3995"/>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-58254</v>
      </c>
      <c r="C115" s="22">
        <f>IF(AND('Part VII-Pro Forma'!$G$8="Yes",'Part VII-Pro Forma'!$G$9="Yes"),"Choose One!",IF('Part VII-Pro Forma'!$G$8="Yes",ROUND((-$K$8*(1+'Part VII-Pro Forma'!$B$6)^('Part VII-Pro Forma'!C107-1)),),IF('Part VII-Pro Forma'!$G$9="Yes",ROUND((-(SUM(C108:C111)*'Part VII-Pro Forma'!$K$9)),),"Choose mgt fee")))</f>
        <v>-60002</v>
      </c>
      <c r="D115" s="22">
        <f>IF(AND('Part VII-Pro Forma'!$G$8="Yes",'Part VII-Pro Forma'!$G$9="Yes"),"Choose One!",IF('Part VII-Pro Forma'!$G$8="Yes",ROUND((-$K$8*(1+'Part VII-Pro Forma'!$B$6)^('Part VII-Pro Forma'!D107-1)),),IF('Part VII-Pro Forma'!$G$9="Yes",ROUND((-(SUM(D108:D111)*'Part VII-Pro Forma'!$K$9)),),"Choose mgt fee")))</f>
        <v>-61802</v>
      </c>
      <c r="E115" s="22">
        <f>IF(AND('Part VII-Pro Forma'!$G$8="Yes",'Part VII-Pro Forma'!$G$9="Yes"),"Choose One!",IF('Part VII-Pro Forma'!$G$8="Yes",ROUND((-$K$8*(1+'Part VII-Pro Forma'!$B$6)^('Part VII-Pro Forma'!E107-1)),),IF('Part VII-Pro Forma'!$G$9="Yes",ROUND((-(SUM(E108:E111)*'Part VII-Pro Forma'!$K$9)),),"Choose mgt fee")))</f>
        <v>-63656</v>
      </c>
      <c r="F115" s="23">
        <f>IF(AND('Part VII-Pro Forma'!$G$8="Yes",'Part VII-Pro Forma'!$G$9="Yes"),"Choose One!",IF('Part VII-Pro Forma'!$G$8="Yes",ROUND((-$K$8*(1+'Part VII-Pro Forma'!$B$6)^('Part VII-Pro Forma'!F107-1)),),IF('Part VII-Pro Forma'!$G$9="Yes",ROUND((-(SUM(F108:F111)*'Part VII-Pro Forma'!$K$9)),),"Choose mgt fee")))</f>
        <v>-65566</v>
      </c>
      <c r="G115" s="17"/>
      <c r="H115" s="17"/>
      <c r="I115" s="17"/>
      <c r="J115" s="17"/>
      <c r="K115" s="17"/>
      <c r="N115" s="3993"/>
      <c r="O115" s="3995"/>
    </row>
    <row r="116" spans="1:19" ht="13.35" customHeight="1">
      <c r="A116" s="21" t="s">
        <v>1176</v>
      </c>
      <c r="B116" s="22">
        <f>$B$22*(1+$B$7)^(B107-1)</f>
        <v>-30340.780889870737</v>
      </c>
      <c r="C116" s="22">
        <f>$B$22*(1+$B$7)^(C107-1)</f>
        <v>-31251.004316566865</v>
      </c>
      <c r="D116" s="22">
        <f>$B$22*(1+$B$7)^(D107-1)</f>
        <v>-32188.534446063866</v>
      </c>
      <c r="E116" s="22">
        <f>$B$22*(1+$B$7)^(E107-1)</f>
        <v>-33154.190479445781</v>
      </c>
      <c r="F116" s="23">
        <f>$B$22*(1+$B$7)^(F107-1)</f>
        <v>-34148.816193829152</v>
      </c>
      <c r="G116" s="17"/>
      <c r="H116" s="17"/>
      <c r="I116" s="17"/>
      <c r="J116" s="17"/>
      <c r="K116" s="17"/>
      <c r="N116" s="3993"/>
      <c r="O116" s="3995"/>
      <c r="Q116" s="929">
        <v>10</v>
      </c>
      <c r="R116" s="1043">
        <f>-SUM(B122:K122)</f>
        <v>0</v>
      </c>
      <c r="S116" s="1043">
        <f>SUM(B123:K123)+R116</f>
        <v>0</v>
      </c>
    </row>
    <row r="117" spans="1:19" ht="13.35" customHeight="1">
      <c r="A117" s="417" t="s">
        <v>4374</v>
      </c>
      <c r="B117" s="4105">
        <f>IF(B107&lt;=+'Part VI-Revenues &amp; Expenses'!$N$250,-'Part VI-Revenues &amp; Expenses'!$K$250,0)</f>
        <v>0</v>
      </c>
      <c r="C117" s="4105">
        <f>IF(C107&lt;=+'Part VI-Revenues &amp; Expenses'!$N$250,-'Part VI-Revenues &amp; Expenses'!$K$250,0)</f>
        <v>0</v>
      </c>
      <c r="D117" s="4105">
        <f>IF(D107&lt;=+'Part VI-Revenues &amp; Expenses'!$N$250,-'Part VI-Revenues &amp; Expenses'!$K$250,0)</f>
        <v>0</v>
      </c>
      <c r="E117" s="4105">
        <f>IF(E107&lt;=+'Part VI-Revenues &amp; Expenses'!$N$250,-'Part VI-Revenues &amp; Expenses'!$K$250,0)</f>
        <v>0</v>
      </c>
      <c r="F117" s="4105">
        <f>IF(F107&lt;=+'Part VI-Revenues &amp; Expenses'!$N$250,-'Part VI-Revenues &amp; Expenses'!$K$250,0)</f>
        <v>0</v>
      </c>
      <c r="G117" s="17"/>
      <c r="H117" s="17"/>
      <c r="I117" s="17"/>
      <c r="J117" s="17"/>
      <c r="K117" s="17"/>
      <c r="N117" s="3993"/>
      <c r="O117" s="3995"/>
    </row>
    <row r="118" spans="1:19" ht="13.35" customHeight="1">
      <c r="A118" s="21" t="s">
        <v>1177</v>
      </c>
      <c r="B118" s="22">
        <f>SUM(B113:B117)</f>
        <v>-36950.238126080563</v>
      </c>
      <c r="C118" s="22">
        <f>SUM(C113:C117)</f>
        <v>-43607.722707521869</v>
      </c>
      <c r="D118" s="22">
        <f>SUM(D113:D117)</f>
        <v>-50575.463775159507</v>
      </c>
      <c r="E118" s="22">
        <f>SUM(E113:E117)</f>
        <v>-57865.428462554511</v>
      </c>
      <c r="F118" s="1482">
        <f>SUM(F113:F117)</f>
        <v>-65489.927306054255</v>
      </c>
      <c r="G118" s="17"/>
      <c r="H118" s="17"/>
      <c r="I118" s="17"/>
      <c r="J118" s="17"/>
      <c r="K118" s="17"/>
      <c r="N118" s="3993"/>
      <c r="O118" s="3995"/>
    </row>
    <row r="119" spans="1:19" ht="13.35" customHeight="1">
      <c r="A119" s="21" t="str">
        <f>$A89</f>
        <v>Mortgage A</v>
      </c>
      <c r="B119" s="4106">
        <f>IF('Part III-Sources of Funds'!$P$38="", 0,-'Part III-Sources of Funds'!$P$38)</f>
        <v>0</v>
      </c>
      <c r="C119" s="4106">
        <f>IF('Part III-Sources of Funds'!$P$38="", 0,-'Part III-Sources of Funds'!$P$38)</f>
        <v>0</v>
      </c>
      <c r="D119" s="4106">
        <f>IF('Part III-Sources of Funds'!$P$38="", 0,-'Part III-Sources of Funds'!$P$38)</f>
        <v>0</v>
      </c>
      <c r="E119" s="4106">
        <f>IF('Part III-Sources of Funds'!$P$38="", 0,-'Part III-Sources of Funds'!$P$38)</f>
        <v>0</v>
      </c>
      <c r="F119" s="4106">
        <f>IF('Part III-Sources of Funds'!$P$38="", 0,-'Part III-Sources of Funds'!$P$38)</f>
        <v>0</v>
      </c>
      <c r="G119" s="17"/>
      <c r="H119" s="17"/>
      <c r="I119" s="17"/>
      <c r="J119" s="17"/>
      <c r="K119" s="17"/>
      <c r="N119" s="3993"/>
      <c r="O119" s="3995"/>
    </row>
    <row r="120" spans="1:19" ht="13.35" customHeight="1">
      <c r="A120" s="21" t="str">
        <f>$A90</f>
        <v>Mortgage B</v>
      </c>
      <c r="B120" s="4107">
        <f>IF('Part III-Sources of Funds'!$P$39="", 0,-'Part III-Sources of Funds'!$P$39)</f>
        <v>0</v>
      </c>
      <c r="C120" s="4107">
        <f>IF('Part III-Sources of Funds'!$P$39="", 0,-'Part III-Sources of Funds'!$P$39)</f>
        <v>0</v>
      </c>
      <c r="D120" s="4107">
        <f>IF('Part III-Sources of Funds'!$P$39="", 0,-'Part III-Sources of Funds'!$P$39)</f>
        <v>0</v>
      </c>
      <c r="E120" s="4107">
        <f>IF('Part III-Sources of Funds'!$P$39="", 0,-'Part III-Sources of Funds'!$P$39)</f>
        <v>0</v>
      </c>
      <c r="F120" s="4107">
        <f>IF('Part III-Sources of Funds'!$P$39="", 0,-'Part III-Sources of Funds'!$P$39)</f>
        <v>0</v>
      </c>
      <c r="G120" s="17"/>
      <c r="H120" s="17"/>
      <c r="I120" s="17"/>
      <c r="J120" s="17"/>
      <c r="K120" s="17"/>
      <c r="N120" s="3993"/>
      <c r="O120" s="3995"/>
    </row>
    <row r="121" spans="1:19" ht="13.35" customHeight="1">
      <c r="A121" s="21" t="str">
        <f>$A91</f>
        <v>Mortgage C</v>
      </c>
      <c r="B121" s="4107">
        <f>IF('Part III-Sources of Funds'!$P$40="", 0,-'Part III-Sources of Funds'!$P$40)</f>
        <v>0</v>
      </c>
      <c r="C121" s="4107">
        <f>IF('Part III-Sources of Funds'!$P$40="", 0,-'Part III-Sources of Funds'!$P$40)</f>
        <v>0</v>
      </c>
      <c r="D121" s="4107">
        <f>IF('Part III-Sources of Funds'!$P$40="", 0,-'Part III-Sources of Funds'!$P$40)</f>
        <v>0</v>
      </c>
      <c r="E121" s="4107">
        <f>IF('Part III-Sources of Funds'!$P$40="", 0,-'Part III-Sources of Funds'!$P$40)</f>
        <v>0</v>
      </c>
      <c r="F121" s="4107">
        <f>IF('Part III-Sources of Funds'!$P$40="", 0,-'Part III-Sources of Funds'!$P$40)</f>
        <v>0</v>
      </c>
      <c r="G121" s="17"/>
      <c r="H121" s="17"/>
      <c r="I121" s="17"/>
      <c r="J121" s="17"/>
      <c r="K121" s="17"/>
      <c r="N121" s="3993"/>
      <c r="O121" s="3995"/>
    </row>
    <row r="122" spans="1:19" ht="13.35" customHeight="1">
      <c r="A122" s="21" t="str">
        <f>$A92</f>
        <v>D/S Other Source,not DDF</v>
      </c>
      <c r="B122" s="4107">
        <f>IF('Part III-Sources of Funds'!$P$41="", 0,-'Part III-Sources of Funds'!$P$41)</f>
        <v>0</v>
      </c>
      <c r="C122" s="4107">
        <f>IF('Part III-Sources of Funds'!$P$41="", 0,-'Part III-Sources of Funds'!$P$41)</f>
        <v>0</v>
      </c>
      <c r="D122" s="4107">
        <f>IF('Part III-Sources of Funds'!$P$41="", 0,-'Part III-Sources of Funds'!$P$41)</f>
        <v>0</v>
      </c>
      <c r="E122" s="4107">
        <f>IF('Part III-Sources of Funds'!$P$41="", 0,-'Part III-Sources of Funds'!$P$41)</f>
        <v>0</v>
      </c>
      <c r="F122" s="4107">
        <f>IF('Part III-Sources of Funds'!$P$41="", 0,-'Part III-Sources of Funds'!$P$41)</f>
        <v>0</v>
      </c>
      <c r="G122" s="17"/>
      <c r="H122" s="17"/>
      <c r="I122" s="17"/>
      <c r="J122" s="17"/>
      <c r="K122" s="17"/>
      <c r="N122" s="3993"/>
      <c r="O122" s="3995"/>
    </row>
    <row r="123" spans="1:19" ht="13.35" customHeight="1">
      <c r="A123" s="21" t="s">
        <v>745</v>
      </c>
      <c r="B123" s="4108"/>
      <c r="C123" s="4108"/>
      <c r="D123" s="4108"/>
      <c r="E123" s="4108"/>
      <c r="F123" s="4108"/>
      <c r="G123" s="17"/>
      <c r="H123" s="17"/>
      <c r="I123" s="17"/>
      <c r="J123" s="17"/>
      <c r="K123" s="17"/>
      <c r="N123" s="3993"/>
      <c r="O123" s="3995"/>
    </row>
    <row r="124" spans="1:19" ht="13.35" customHeight="1">
      <c r="A124" s="21" t="s">
        <v>1141</v>
      </c>
      <c r="B124" s="4110">
        <f>+K94</f>
        <v>-5000</v>
      </c>
      <c r="C124" s="4110">
        <f>+B124</f>
        <v>-5000</v>
      </c>
      <c r="D124" s="4110">
        <f>+C124</f>
        <v>-5000</v>
      </c>
      <c r="E124" s="4110">
        <f>+D124</f>
        <v>-5000</v>
      </c>
      <c r="F124" s="4110">
        <f>+E124</f>
        <v>-5000</v>
      </c>
      <c r="G124" s="17"/>
      <c r="H124" s="17"/>
      <c r="I124" s="17"/>
      <c r="J124" s="17"/>
      <c r="K124" s="17"/>
      <c r="N124" s="3993"/>
      <c r="O124" s="3995"/>
    </row>
    <row r="125" spans="1:19" ht="13.35" customHeight="1">
      <c r="A125" s="21" t="s">
        <v>1142</v>
      </c>
      <c r="B125" s="22">
        <f>SUM(B118:B124)</f>
        <v>-41950.238126080563</v>
      </c>
      <c r="C125" s="22">
        <f>SUM(C118:C124)</f>
        <v>-48607.722707521869</v>
      </c>
      <c r="D125" s="22">
        <f>SUM(D118:D124)</f>
        <v>-55575.463775159507</v>
      </c>
      <c r="E125" s="22">
        <f>SUM(E118:E124)</f>
        <v>-62865.428462554511</v>
      </c>
      <c r="F125" s="23">
        <f>SUM(F118:F124)</f>
        <v>-70489.927306054247</v>
      </c>
      <c r="G125" s="17"/>
      <c r="H125" s="17"/>
      <c r="I125" s="17"/>
      <c r="J125" s="17"/>
      <c r="K125" s="17"/>
      <c r="N125" s="3993"/>
      <c r="O125" s="3995"/>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993"/>
      <c r="O126" s="3995"/>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3"/>
      <c r="O127" s="399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3"/>
      <c r="O128" s="3995"/>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3"/>
      <c r="O129" s="3995"/>
    </row>
    <row r="130" spans="1:19" ht="13.35" customHeight="1">
      <c r="A130" s="417" t="s">
        <v>3532</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993"/>
      <c r="O130" s="3995"/>
    </row>
    <row r="131" spans="1:19" ht="13.35" customHeight="1">
      <c r="A131" s="21" t="s">
        <v>752</v>
      </c>
      <c r="B131" s="265">
        <f>IF(OR(B115="Choose mgt fee",B115="Choose One!"),"",(B108+B109+B110+B111+B112) / -(B114+B115+B116))</f>
        <v>0.93756401673396317</v>
      </c>
      <c r="C131" s="265">
        <f>IF(OR(C115="Choose mgt fee",C115="Choose One!"),"",(C108+C109+C110+C111+C112) / -(C114+C115+C116))</f>
        <v>0.92846087466580651</v>
      </c>
      <c r="D131" s="265">
        <f>IF(OR(D115="Choose mgt fee",D115="Choose One!"),"",(D108+D109+D110+D111+D112) / -(D114+D115+D116))</f>
        <v>0.91944677928262064</v>
      </c>
      <c r="E131" s="265">
        <f>IF(OR(E115="Choose mgt fee",E115="Choose One!"),"",(E108+E109+E110+E111+E112) / -(E114+E115+E116))</f>
        <v>0.91052019600118306</v>
      </c>
      <c r="F131" s="597">
        <f>IF(OR(F115="Choose mgt fee",F115="Choose One!"),"",(F108+F109+F110+F111+F112) / -(F114+F115+F116))</f>
        <v>0.90167976091573609</v>
      </c>
      <c r="G131" s="17"/>
      <c r="H131" s="17"/>
      <c r="I131" s="17"/>
      <c r="J131" s="17"/>
      <c r="K131" s="17"/>
      <c r="N131" s="3993"/>
      <c r="O131" s="3995"/>
    </row>
    <row r="132" spans="1:19" ht="13.35" customHeight="1">
      <c r="A132" s="417" t="s">
        <v>2549</v>
      </c>
      <c r="B132" s="4111" t="str">
        <f>IF('Part III-Sources of Funds'!$I$38="","",-FV('Part III-Sources of Funds'!$K$38/12,12,B119/12,K102))</f>
        <v/>
      </c>
      <c r="C132" s="4111" t="str">
        <f>IF('Part III-Sources of Funds'!$I$38="","",-FV('Part III-Sources of Funds'!$K$38/12,12,C119/12,B132))</f>
        <v/>
      </c>
      <c r="D132" s="4111" t="str">
        <f>IF('Part III-Sources of Funds'!$I$38="","",-FV('Part III-Sources of Funds'!$K$38/12,12,D119/12,C132))</f>
        <v/>
      </c>
      <c r="E132" s="4111" t="str">
        <f>IF('Part III-Sources of Funds'!$I$38="","",-FV('Part III-Sources of Funds'!$K$38/12,12,E119/12,D132))</f>
        <v/>
      </c>
      <c r="F132" s="4111" t="str">
        <f>IF('Part III-Sources of Funds'!$I$38="","",-FV('Part III-Sources of Funds'!$K$38/12,12,F119/12,E132))</f>
        <v/>
      </c>
      <c r="G132" s="17"/>
      <c r="H132" s="17"/>
      <c r="I132" s="17"/>
      <c r="J132" s="17"/>
      <c r="K132" s="17"/>
      <c r="N132" s="3993"/>
      <c r="O132" s="3995"/>
    </row>
    <row r="133" spans="1:19" ht="13.35" customHeight="1">
      <c r="A133" s="417" t="s">
        <v>2550</v>
      </c>
      <c r="B133" s="4107" t="str">
        <f>IF('Part III-Sources of Funds'!$I$39="","",-FV('Part III-Sources of Funds'!$K$39/12,12,B120/12,K103))</f>
        <v/>
      </c>
      <c r="C133" s="4107" t="str">
        <f>IF('Part III-Sources of Funds'!$I$39="","",-FV('Part III-Sources of Funds'!$K$39/12,12,C120/12,B133))</f>
        <v/>
      </c>
      <c r="D133" s="4107" t="str">
        <f>IF('Part III-Sources of Funds'!$I$39="","",-FV('Part III-Sources of Funds'!$K$39/12,12,D120/12,C133))</f>
        <v/>
      </c>
      <c r="E133" s="4107" t="str">
        <f>IF('Part III-Sources of Funds'!$I$39="","",-FV('Part III-Sources of Funds'!$K$39/12,12,E120/12,D133))</f>
        <v/>
      </c>
      <c r="F133" s="4107" t="str">
        <f>IF('Part III-Sources of Funds'!$I$39="","",-FV('Part III-Sources of Funds'!$K$39/12,12,F120/12,E133))</f>
        <v/>
      </c>
      <c r="G133" s="17"/>
      <c r="H133" s="17"/>
      <c r="I133" s="17"/>
      <c r="J133" s="17"/>
      <c r="K133" s="17"/>
      <c r="N133" s="3993"/>
      <c r="O133" s="3995"/>
    </row>
    <row r="134" spans="1:19" ht="13.35" customHeight="1">
      <c r="A134" s="417" t="s">
        <v>2551</v>
      </c>
      <c r="B134" s="4107" t="str">
        <f>IF('Part III-Sources of Funds'!$I$40="","",-FV('Part III-Sources of Funds'!$K$40/12,12,B121/12,K104))</f>
        <v/>
      </c>
      <c r="C134" s="4107" t="str">
        <f>IF('Part III-Sources of Funds'!$I$40="","",-FV('Part III-Sources of Funds'!$K$40/12,12,C121/12,B134))</f>
        <v/>
      </c>
      <c r="D134" s="4107" t="str">
        <f>IF('Part III-Sources of Funds'!$I$40="","",-FV('Part III-Sources of Funds'!$K$40/12,12,D121/12,C134))</f>
        <v/>
      </c>
      <c r="E134" s="4107" t="str">
        <f>IF('Part III-Sources of Funds'!$I$40="","",-FV('Part III-Sources of Funds'!$K$40/12,12,E121/12,D134))</f>
        <v/>
      </c>
      <c r="F134" s="4107" t="str">
        <f>IF('Part III-Sources of Funds'!$I$40="","",-FV('Part III-Sources of Funds'!$K$40/12,12,F121/12,E134))</f>
        <v/>
      </c>
      <c r="G134" s="17"/>
      <c r="H134" s="17"/>
      <c r="I134" s="17"/>
      <c r="J134" s="17"/>
      <c r="K134" s="17"/>
      <c r="N134" s="3993"/>
      <c r="O134" s="3995"/>
    </row>
    <row r="135" spans="1:19" ht="13.35" customHeight="1">
      <c r="A135" s="26" t="s">
        <v>764</v>
      </c>
      <c r="B135" s="4110" t="str">
        <f>IF('Part III-Sources of Funds'!$I$41="","",-FV('Part III-Sources of Funds'!$K$41/12,12,B122/12,K105))</f>
        <v/>
      </c>
      <c r="C135" s="4110" t="str">
        <f>IF('Part III-Sources of Funds'!$I$41="","",-FV('Part III-Sources of Funds'!$K$41/12,12,C122/12,B135))</f>
        <v/>
      </c>
      <c r="D135" s="4110" t="str">
        <f>IF('Part III-Sources of Funds'!$I$41="","",-FV('Part III-Sources of Funds'!$K$41/12,12,D122/12,C135))</f>
        <v/>
      </c>
      <c r="E135" s="4110" t="str">
        <f>IF('Part III-Sources of Funds'!$I$41="","",-FV('Part III-Sources of Funds'!$K$41/12,12,E122/12,D135))</f>
        <v/>
      </c>
      <c r="F135" s="4110" t="str">
        <f>IF('Part III-Sources of Funds'!$I$41="","",-FV('Part III-Sources of Funds'!$K$41/12,12,F122/12,E135))</f>
        <v/>
      </c>
      <c r="G135" s="17"/>
      <c r="H135" s="17"/>
      <c r="I135" s="17"/>
      <c r="J135" s="17"/>
      <c r="K135" s="17"/>
      <c r="N135" s="4024"/>
      <c r="O135" s="4026"/>
    </row>
    <row r="136" spans="1:19" ht="4.3499999999999996" customHeight="1"/>
    <row r="137" spans="1:19" ht="12" customHeight="1">
      <c r="A137" s="13" t="s">
        <v>554</v>
      </c>
      <c r="B137" s="13"/>
      <c r="G137" s="13" t="s">
        <v>1009</v>
      </c>
    </row>
    <row r="138" spans="1:19" ht="12" customHeight="1">
      <c r="B138" s="31"/>
    </row>
    <row r="139" spans="1:19" ht="409.5" customHeight="1">
      <c r="A139" s="3716" t="s">
        <v>3361</v>
      </c>
      <c r="B139" s="4112"/>
      <c r="C139" s="4112"/>
      <c r="D139" s="4112"/>
      <c r="E139" s="4112"/>
      <c r="F139" s="4113"/>
      <c r="G139" s="4114"/>
      <c r="H139" s="4115"/>
      <c r="I139" s="4115"/>
      <c r="J139" s="4115"/>
      <c r="K139" s="4116"/>
      <c r="N139" s="2514" t="s">
        <v>2613</v>
      </c>
      <c r="O139" s="251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WZfJ3jIULRZ8HpRduqYcPrCCk537JuTyYhuiFf4FuJs+4mmKyEootLvronFCr6qoAAthJflPin63k4esFJYu3Q==" saltValue="SUVwC6hoy2sQu48BEElZT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Normal="10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34" t="str">
        <f>CONCATENATE("PART EIGHT - THRESHOLD CRITERIA","  -  ",'Part I-Project Information'!$O$6," ",'Part I-Project Information'!$F$34,", ",'Part I-Project Information'!F38,", ",'Part I-Project Information'!J39," County")</f>
        <v>PART EIGHT - THRESHOLD CRITERIA  -  2020-079 Spring Creek Crossing, Montezuma, Macon County</v>
      </c>
      <c r="B1" s="2535"/>
      <c r="C1" s="2535"/>
      <c r="D1" s="2535"/>
      <c r="E1" s="2535"/>
      <c r="F1" s="2535"/>
      <c r="G1" s="2535"/>
      <c r="H1" s="2535"/>
      <c r="I1" s="2535"/>
      <c r="J1" s="2535"/>
      <c r="K1" s="2535"/>
      <c r="L1" s="2535"/>
      <c r="M1" s="2535"/>
      <c r="N1" s="2535"/>
      <c r="O1" s="2535"/>
      <c r="P1" s="2535"/>
      <c r="Q1" s="2535"/>
      <c r="R1" s="2822" t="str">
        <f>'Part I-Project Information'!$B$6</f>
        <v>May 26, 2020 Version</v>
      </c>
      <c r="S1" s="2822"/>
    </row>
    <row r="2" spans="1:32" s="27" customFormat="1" ht="3" customHeight="1">
      <c r="R2" s="2822"/>
      <c r="S2" s="2822"/>
      <c r="AE2" s="116"/>
      <c r="AF2" s="116"/>
    </row>
    <row r="3" spans="1:32" ht="13.5" customHeight="1">
      <c r="A3" s="285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51"/>
      <c r="C3" s="2851"/>
      <c r="D3" s="2851"/>
      <c r="E3" s="2851"/>
      <c r="F3" s="2851"/>
      <c r="G3" s="2851"/>
      <c r="H3" s="285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51"/>
      <c r="J3" s="2851"/>
      <c r="K3" s="2851"/>
      <c r="L3" s="2851"/>
      <c r="M3" s="2851"/>
      <c r="N3" s="2852"/>
      <c r="O3" s="2853" t="s">
        <v>913</v>
      </c>
      <c r="P3" s="2854"/>
      <c r="Q3" s="1508" t="s">
        <v>1796</v>
      </c>
      <c r="R3" s="2822"/>
      <c r="S3" s="2822"/>
    </row>
    <row r="4" spans="1:32" ht="3" customHeight="1">
      <c r="A4" s="2376"/>
      <c r="B4" s="2855"/>
      <c r="C4" s="2855"/>
      <c r="D4" s="2855"/>
      <c r="E4" s="2376"/>
      <c r="F4" s="2376"/>
      <c r="G4" s="2376"/>
      <c r="H4" s="2376"/>
      <c r="I4" s="2376"/>
      <c r="J4" s="2376"/>
      <c r="K4" s="2376"/>
      <c r="L4" s="2376"/>
      <c r="M4" s="2376"/>
      <c r="N4" s="2376"/>
      <c r="P4" s="2376"/>
      <c r="Q4" s="2376"/>
      <c r="R4" s="2822"/>
      <c r="S4" s="2822"/>
    </row>
    <row r="5" spans="1:32" ht="11.1" hidden="1" customHeight="1">
      <c r="A5" s="2376"/>
      <c r="B5" s="2376"/>
      <c r="C5" s="2376"/>
      <c r="D5" s="2376"/>
      <c r="E5" s="2376"/>
      <c r="F5" s="2376"/>
      <c r="G5" s="2376"/>
      <c r="H5" s="2376"/>
      <c r="I5" s="2376"/>
      <c r="J5" s="2376"/>
      <c r="K5" s="2376"/>
      <c r="L5" s="2376"/>
      <c r="M5" s="2376"/>
      <c r="N5" s="2376"/>
      <c r="P5" s="2376"/>
      <c r="Q5" s="2376"/>
      <c r="R5" s="2822"/>
      <c r="S5" s="2822"/>
    </row>
    <row r="6" spans="1:32" ht="17.25" customHeight="1">
      <c r="A6" s="125" t="s">
        <v>550</v>
      </c>
      <c r="J6" s="2858" t="s">
        <v>3629</v>
      </c>
      <c r="K6" s="2858"/>
      <c r="L6" s="2858"/>
      <c r="M6" s="2858"/>
      <c r="N6" s="2858"/>
      <c r="O6" s="2859"/>
      <c r="P6" s="2856"/>
      <c r="Q6" s="2857"/>
      <c r="R6" s="2822"/>
      <c r="S6" s="2822"/>
    </row>
    <row r="7" spans="1:32" ht="12.6" customHeight="1">
      <c r="A7" s="126" t="s">
        <v>3335</v>
      </c>
      <c r="C7" s="127"/>
      <c r="D7" s="127"/>
      <c r="H7" s="1210"/>
      <c r="I7" s="1210"/>
      <c r="J7" s="1210"/>
      <c r="K7" s="1210"/>
      <c r="L7" s="1210"/>
      <c r="M7" s="2376"/>
      <c r="N7" s="2376"/>
    </row>
    <row r="8" spans="1:32" ht="24.6" customHeight="1">
      <c r="A8" s="2860" t="s">
        <v>1381</v>
      </c>
      <c r="B8" s="2861"/>
      <c r="C8" s="2861"/>
      <c r="D8" s="2861"/>
      <c r="E8" s="2861"/>
      <c r="F8" s="2861"/>
      <c r="G8" s="2861"/>
      <c r="H8" s="2861"/>
      <c r="I8" s="2861"/>
      <c r="J8" s="2861"/>
      <c r="K8" s="2861"/>
      <c r="L8" s="2861"/>
      <c r="M8" s="2861"/>
      <c r="N8" s="2861"/>
      <c r="O8" s="2861"/>
      <c r="P8" s="2861"/>
      <c r="Q8" s="2862"/>
      <c r="R8" s="2686" t="s">
        <v>1983</v>
      </c>
      <c r="S8" s="2401"/>
    </row>
    <row r="9" spans="1:32" ht="24.6" customHeight="1">
      <c r="A9" s="2824" t="s">
        <v>221</v>
      </c>
      <c r="B9" s="2825"/>
      <c r="C9" s="2825"/>
      <c r="D9" s="2825"/>
      <c r="E9" s="2825"/>
      <c r="F9" s="2825"/>
      <c r="G9" s="2825"/>
      <c r="H9" s="2825"/>
      <c r="I9" s="2825"/>
      <c r="J9" s="2825"/>
      <c r="K9" s="2825"/>
      <c r="L9" s="2825"/>
      <c r="M9" s="2825"/>
      <c r="N9" s="2825"/>
      <c r="O9" s="2825"/>
      <c r="P9" s="2825"/>
      <c r="Q9" s="2826"/>
      <c r="R9" s="2686"/>
      <c r="S9" s="2401"/>
    </row>
    <row r="10" spans="1:32" ht="24.6" customHeight="1">
      <c r="A10" s="2824" t="s">
        <v>1377</v>
      </c>
      <c r="B10" s="2825"/>
      <c r="C10" s="2825"/>
      <c r="D10" s="2825"/>
      <c r="E10" s="2825"/>
      <c r="F10" s="2825"/>
      <c r="G10" s="2825"/>
      <c r="H10" s="2825"/>
      <c r="I10" s="2825"/>
      <c r="J10" s="2825"/>
      <c r="K10" s="2825"/>
      <c r="L10" s="2825"/>
      <c r="M10" s="2825"/>
      <c r="N10" s="2825"/>
      <c r="O10" s="2825"/>
      <c r="P10" s="2825"/>
      <c r="Q10" s="2826"/>
      <c r="R10" s="2686"/>
      <c r="S10" s="2401"/>
    </row>
    <row r="11" spans="1:32" ht="24.6" customHeight="1">
      <c r="A11" s="2824" t="s">
        <v>1378</v>
      </c>
      <c r="B11" s="2825"/>
      <c r="C11" s="2825"/>
      <c r="D11" s="2825"/>
      <c r="E11" s="2825"/>
      <c r="F11" s="2825"/>
      <c r="G11" s="2825"/>
      <c r="H11" s="2825"/>
      <c r="I11" s="2825"/>
      <c r="J11" s="2825"/>
      <c r="K11" s="2825"/>
      <c r="L11" s="2825"/>
      <c r="M11" s="2825"/>
      <c r="N11" s="2825"/>
      <c r="O11" s="2825"/>
      <c r="P11" s="2825"/>
      <c r="Q11" s="2826"/>
      <c r="R11" s="2686"/>
      <c r="S11" s="2401"/>
    </row>
    <row r="12" spans="1:32" ht="24" customHeight="1">
      <c r="A12" s="2824" t="s">
        <v>1379</v>
      </c>
      <c r="B12" s="2825"/>
      <c r="C12" s="2825"/>
      <c r="D12" s="2825"/>
      <c r="E12" s="2825"/>
      <c r="F12" s="2825"/>
      <c r="G12" s="2825"/>
      <c r="H12" s="2825"/>
      <c r="I12" s="2825"/>
      <c r="J12" s="2825"/>
      <c r="K12" s="2825"/>
      <c r="L12" s="2825"/>
      <c r="M12" s="2825"/>
      <c r="N12" s="2825"/>
      <c r="O12" s="2825"/>
      <c r="P12" s="2825"/>
      <c r="Q12" s="2826"/>
      <c r="R12" s="2344"/>
      <c r="S12" s="2344"/>
    </row>
    <row r="13" spans="1:32" ht="11.25" customHeight="1">
      <c r="A13" s="2824" t="s">
        <v>1380</v>
      </c>
      <c r="B13" s="2825"/>
      <c r="C13" s="2825"/>
      <c r="D13" s="2825"/>
      <c r="E13" s="2825"/>
      <c r="F13" s="2825"/>
      <c r="G13" s="2825"/>
      <c r="H13" s="2825"/>
      <c r="I13" s="2825"/>
      <c r="J13" s="2825"/>
      <c r="K13" s="2825"/>
      <c r="L13" s="2825"/>
      <c r="M13" s="2825"/>
      <c r="N13" s="2825"/>
      <c r="O13" s="2825"/>
      <c r="P13" s="2825"/>
      <c r="Q13" s="2826"/>
      <c r="R13" s="2344"/>
      <c r="S13" s="2344"/>
    </row>
    <row r="14" spans="1:32" ht="11.25" customHeight="1">
      <c r="A14" s="2824" t="s">
        <v>1382</v>
      </c>
      <c r="B14" s="2825"/>
      <c r="C14" s="2825"/>
      <c r="D14" s="2825"/>
      <c r="E14" s="2825"/>
      <c r="F14" s="2825"/>
      <c r="G14" s="2825"/>
      <c r="H14" s="2825"/>
      <c r="I14" s="2825"/>
      <c r="J14" s="2825"/>
      <c r="K14" s="2825"/>
      <c r="L14" s="2825"/>
      <c r="M14" s="2825"/>
      <c r="N14" s="2825"/>
      <c r="O14" s="2825"/>
      <c r="P14" s="2825"/>
      <c r="Q14" s="2826"/>
    </row>
    <row r="15" spans="1:32" ht="11.25" customHeight="1">
      <c r="A15" s="2824" t="s">
        <v>1970</v>
      </c>
      <c r="B15" s="2825"/>
      <c r="C15" s="2825"/>
      <c r="D15" s="2825"/>
      <c r="E15" s="2825"/>
      <c r="F15" s="2825"/>
      <c r="G15" s="2825"/>
      <c r="H15" s="2825"/>
      <c r="I15" s="2825"/>
      <c r="J15" s="2825"/>
      <c r="K15" s="2825"/>
      <c r="L15" s="2825"/>
      <c r="M15" s="2825"/>
      <c r="N15" s="2825"/>
      <c r="O15" s="2825"/>
      <c r="P15" s="2825"/>
      <c r="Q15" s="2826"/>
      <c r="R15" s="2686" t="s">
        <v>1983</v>
      </c>
      <c r="S15" s="2433"/>
    </row>
    <row r="16" spans="1:32" ht="11.25" customHeight="1">
      <c r="A16" s="2824" t="s">
        <v>1971</v>
      </c>
      <c r="B16" s="2825"/>
      <c r="C16" s="2825"/>
      <c r="D16" s="2825"/>
      <c r="E16" s="2825"/>
      <c r="F16" s="2825"/>
      <c r="G16" s="2825"/>
      <c r="H16" s="2825"/>
      <c r="I16" s="2825"/>
      <c r="J16" s="2825"/>
      <c r="K16" s="2825"/>
      <c r="L16" s="2825"/>
      <c r="M16" s="2825"/>
      <c r="N16" s="2825"/>
      <c r="O16" s="2825"/>
      <c r="P16" s="2825"/>
      <c r="Q16" s="2826"/>
      <c r="R16" s="2686"/>
      <c r="S16" s="2433"/>
    </row>
    <row r="17" spans="1:31" ht="11.25" customHeight="1">
      <c r="A17" s="2824" t="s">
        <v>1972</v>
      </c>
      <c r="B17" s="2825"/>
      <c r="C17" s="2825"/>
      <c r="D17" s="2825"/>
      <c r="E17" s="2825"/>
      <c r="F17" s="2825"/>
      <c r="G17" s="2825"/>
      <c r="H17" s="2825"/>
      <c r="I17" s="2825"/>
      <c r="J17" s="2825"/>
      <c r="K17" s="2825"/>
      <c r="L17" s="2825"/>
      <c r="M17" s="2825"/>
      <c r="N17" s="2825"/>
      <c r="O17" s="2825"/>
      <c r="P17" s="2825"/>
      <c r="Q17" s="2826"/>
      <c r="R17" s="2686"/>
      <c r="S17" s="2433"/>
    </row>
    <row r="18" spans="1:31" ht="11.25" customHeight="1">
      <c r="A18" s="2824" t="s">
        <v>1973</v>
      </c>
      <c r="B18" s="2825"/>
      <c r="C18" s="2825"/>
      <c r="D18" s="2825"/>
      <c r="E18" s="2825"/>
      <c r="F18" s="2825"/>
      <c r="G18" s="2825"/>
      <c r="H18" s="2825"/>
      <c r="I18" s="2825"/>
      <c r="J18" s="2825"/>
      <c r="K18" s="2825"/>
      <c r="L18" s="2825"/>
      <c r="M18" s="2825"/>
      <c r="N18" s="2825"/>
      <c r="O18" s="2825"/>
      <c r="P18" s="2825"/>
      <c r="Q18" s="2826"/>
      <c r="R18" s="2686"/>
      <c r="S18" s="2433"/>
    </row>
    <row r="19" spans="1:31" ht="11.25" customHeight="1">
      <c r="A19" s="2824" t="s">
        <v>1974</v>
      </c>
      <c r="B19" s="2825"/>
      <c r="C19" s="2825"/>
      <c r="D19" s="2825"/>
      <c r="E19" s="2825"/>
      <c r="F19" s="2825"/>
      <c r="G19" s="2825"/>
      <c r="H19" s="2825"/>
      <c r="I19" s="2825"/>
      <c r="J19" s="2825"/>
      <c r="K19" s="2825"/>
      <c r="L19" s="2825"/>
      <c r="M19" s="2825"/>
      <c r="N19" s="2825"/>
      <c r="O19" s="2825"/>
      <c r="P19" s="2825"/>
      <c r="Q19" s="2826"/>
      <c r="R19" s="2686"/>
      <c r="S19" s="2433"/>
    </row>
    <row r="20" spans="1:31" ht="11.25" customHeight="1">
      <c r="A20" s="2824" t="s">
        <v>1975</v>
      </c>
      <c r="B20" s="2825"/>
      <c r="C20" s="2825"/>
      <c r="D20" s="2825"/>
      <c r="E20" s="2825"/>
      <c r="F20" s="2825"/>
      <c r="G20" s="2825"/>
      <c r="H20" s="2825"/>
      <c r="I20" s="2825"/>
      <c r="J20" s="2825"/>
      <c r="K20" s="2825"/>
      <c r="L20" s="2825"/>
      <c r="M20" s="2825"/>
      <c r="N20" s="2825"/>
      <c r="O20" s="2825"/>
      <c r="P20" s="2825"/>
      <c r="Q20" s="2826"/>
      <c r="R20" s="2686"/>
      <c r="S20" s="2433"/>
    </row>
    <row r="21" spans="1:31" ht="11.25" customHeight="1">
      <c r="A21" s="2824" t="s">
        <v>1976</v>
      </c>
      <c r="B21" s="2825"/>
      <c r="C21" s="2825"/>
      <c r="D21" s="2825"/>
      <c r="E21" s="2825"/>
      <c r="F21" s="2825"/>
      <c r="G21" s="2825"/>
      <c r="H21" s="2825"/>
      <c r="I21" s="2825"/>
      <c r="J21" s="2825"/>
      <c r="K21" s="2825"/>
      <c r="L21" s="2825"/>
      <c r="M21" s="2825"/>
      <c r="N21" s="2825"/>
      <c r="O21" s="2825"/>
      <c r="P21" s="2825"/>
      <c r="Q21" s="2826"/>
    </row>
    <row r="22" spans="1:31" ht="11.25" customHeight="1">
      <c r="A22" s="2824" t="s">
        <v>1977</v>
      </c>
      <c r="B22" s="2825"/>
      <c r="C22" s="2825"/>
      <c r="D22" s="2825"/>
      <c r="E22" s="2825"/>
      <c r="F22" s="2825"/>
      <c r="G22" s="2825"/>
      <c r="H22" s="2825"/>
      <c r="I22" s="2825"/>
      <c r="J22" s="2825"/>
      <c r="K22" s="2825"/>
      <c r="L22" s="2825"/>
      <c r="M22" s="2825"/>
      <c r="N22" s="2825"/>
      <c r="O22" s="2825"/>
      <c r="P22" s="2825"/>
      <c r="Q22" s="2826"/>
      <c r="R22" s="2686" t="s">
        <v>1983</v>
      </c>
      <c r="S22" s="2433"/>
    </row>
    <row r="23" spans="1:31" ht="11.25" customHeight="1">
      <c r="A23" s="2824" t="s">
        <v>1978</v>
      </c>
      <c r="B23" s="2825"/>
      <c r="C23" s="2825"/>
      <c r="D23" s="2825"/>
      <c r="E23" s="2825"/>
      <c r="F23" s="2825"/>
      <c r="G23" s="2825"/>
      <c r="H23" s="2825"/>
      <c r="I23" s="2825"/>
      <c r="J23" s="2825"/>
      <c r="K23" s="2825"/>
      <c r="L23" s="2825"/>
      <c r="M23" s="2825"/>
      <c r="N23" s="2825"/>
      <c r="O23" s="2825"/>
      <c r="P23" s="2825"/>
      <c r="Q23" s="2826"/>
      <c r="R23" s="2686"/>
      <c r="S23" s="2433"/>
    </row>
    <row r="24" spans="1:31" ht="11.25" customHeight="1">
      <c r="A24" s="2824" t="s">
        <v>1979</v>
      </c>
      <c r="B24" s="2825"/>
      <c r="C24" s="2825"/>
      <c r="D24" s="2825"/>
      <c r="E24" s="2825"/>
      <c r="F24" s="2825"/>
      <c r="G24" s="2825"/>
      <c r="H24" s="2825"/>
      <c r="I24" s="2825"/>
      <c r="J24" s="2825"/>
      <c r="K24" s="2825"/>
      <c r="L24" s="2825"/>
      <c r="M24" s="2825"/>
      <c r="N24" s="2825"/>
      <c r="O24" s="2825"/>
      <c r="P24" s="2825"/>
      <c r="Q24" s="2826"/>
      <c r="R24" s="2686"/>
      <c r="S24" s="2433"/>
    </row>
    <row r="25" spans="1:31" ht="11.25" customHeight="1">
      <c r="A25" s="2824" t="s">
        <v>1980</v>
      </c>
      <c r="B25" s="2825"/>
      <c r="C25" s="2825"/>
      <c r="D25" s="2825"/>
      <c r="E25" s="2825"/>
      <c r="F25" s="2825"/>
      <c r="G25" s="2825"/>
      <c r="H25" s="2825"/>
      <c r="I25" s="2825"/>
      <c r="J25" s="2825"/>
      <c r="K25" s="2825"/>
      <c r="L25" s="2825"/>
      <c r="M25" s="2825"/>
      <c r="N25" s="2825"/>
      <c r="O25" s="2825"/>
      <c r="P25" s="2825"/>
      <c r="Q25" s="2826"/>
      <c r="R25" s="2686"/>
      <c r="S25" s="2433"/>
    </row>
    <row r="26" spans="1:31" ht="11.25" customHeight="1">
      <c r="A26" s="2824" t="s">
        <v>1981</v>
      </c>
      <c r="B26" s="2825"/>
      <c r="C26" s="2825"/>
      <c r="D26" s="2825"/>
      <c r="E26" s="2825"/>
      <c r="F26" s="2825"/>
      <c r="G26" s="2825"/>
      <c r="H26" s="2825"/>
      <c r="I26" s="2825"/>
      <c r="J26" s="2825"/>
      <c r="K26" s="2825"/>
      <c r="L26" s="2825"/>
      <c r="M26" s="2825"/>
      <c r="N26" s="2825"/>
      <c r="O26" s="2825"/>
      <c r="P26" s="2825"/>
      <c r="Q26" s="2826"/>
      <c r="R26" s="2686"/>
      <c r="S26" s="2433"/>
    </row>
    <row r="27" spans="1:31" ht="11.25" customHeight="1">
      <c r="A27" s="2827" t="s">
        <v>1982</v>
      </c>
      <c r="B27" s="2828"/>
      <c r="C27" s="2828"/>
      <c r="D27" s="2828"/>
      <c r="E27" s="2828"/>
      <c r="F27" s="2828"/>
      <c r="G27" s="2828"/>
      <c r="H27" s="2828"/>
      <c r="I27" s="2828"/>
      <c r="J27" s="2828"/>
      <c r="K27" s="2828"/>
      <c r="L27" s="2828"/>
      <c r="M27" s="2828"/>
      <c r="N27" s="2828"/>
      <c r="O27" s="2828"/>
      <c r="P27" s="2828"/>
      <c r="Q27" s="2829"/>
      <c r="R27" s="2686"/>
      <c r="S27" s="2433"/>
    </row>
    <row r="28" spans="1:31" ht="6" customHeight="1"/>
    <row r="29" spans="1:31" ht="14.1" customHeight="1">
      <c r="A29" s="128" t="s">
        <v>598</v>
      </c>
      <c r="B29" s="129" t="s">
        <v>2578</v>
      </c>
      <c r="C29" s="130"/>
      <c r="D29" s="86"/>
      <c r="E29" s="86"/>
      <c r="F29" s="86"/>
      <c r="G29" s="86"/>
      <c r="I29" s="2398"/>
      <c r="J29" s="2398"/>
      <c r="K29" s="2398"/>
      <c r="L29" s="2376"/>
      <c r="M29" s="2376"/>
      <c r="O29" s="131" t="s">
        <v>1820</v>
      </c>
      <c r="P29" s="2718"/>
      <c r="Q29" s="2719"/>
    </row>
    <row r="30" spans="1:31" ht="3" customHeight="1"/>
    <row r="31" spans="1:31" ht="11.25" customHeight="1">
      <c r="B31" s="66" t="s">
        <v>3565</v>
      </c>
      <c r="C31" s="66"/>
      <c r="D31" s="66"/>
      <c r="E31" s="66"/>
      <c r="F31" s="66"/>
      <c r="G31" s="2398"/>
      <c r="H31" s="2398"/>
      <c r="I31" s="2398"/>
      <c r="J31" s="2398"/>
      <c r="K31" s="2376"/>
      <c r="L31" s="2376"/>
      <c r="M31" s="2376"/>
      <c r="N31" s="2376"/>
      <c r="O31" s="2376"/>
      <c r="P31" s="855"/>
      <c r="S31" s="157"/>
      <c r="T31" s="157"/>
    </row>
    <row r="32" spans="1:31" ht="108.75" customHeight="1">
      <c r="A32" s="2707" t="s">
        <v>7114</v>
      </c>
      <c r="B32" s="2708"/>
      <c r="C32" s="2708"/>
      <c r="D32" s="2708"/>
      <c r="E32" s="2708"/>
      <c r="F32" s="2708"/>
      <c r="G32" s="2708"/>
      <c r="H32" s="2708"/>
      <c r="I32" s="2708"/>
      <c r="J32" s="2708"/>
      <c r="K32" s="2708"/>
      <c r="L32" s="2708"/>
      <c r="M32" s="2708"/>
      <c r="N32" s="2708"/>
      <c r="O32" s="2708"/>
      <c r="P32" s="2708"/>
      <c r="Q32" s="2709"/>
      <c r="R32" s="440" t="s">
        <v>1228</v>
      </c>
      <c r="S32" s="441"/>
      <c r="T32" s="157"/>
      <c r="U32" s="135"/>
      <c r="V32" s="135"/>
      <c r="W32" s="135"/>
      <c r="X32" s="135"/>
      <c r="Y32" s="135"/>
      <c r="Z32" s="135"/>
      <c r="AA32" s="135"/>
      <c r="AB32" s="135"/>
      <c r="AC32" s="135"/>
      <c r="AD32" s="135"/>
      <c r="AE32" s="457"/>
    </row>
    <row r="33" spans="1:295" ht="11.25" customHeight="1">
      <c r="B33" s="136" t="s">
        <v>1819</v>
      </c>
      <c r="C33" s="137"/>
      <c r="D33" s="2378"/>
      <c r="E33" s="2378"/>
      <c r="F33" s="2378"/>
      <c r="G33" s="2378"/>
      <c r="H33" s="2378"/>
      <c r="I33" s="2378"/>
      <c r="J33" s="2378"/>
      <c r="K33" s="2378"/>
      <c r="L33" s="2378"/>
      <c r="M33" s="2378"/>
      <c r="N33" s="2378"/>
      <c r="O33" s="2378"/>
      <c r="P33" s="2378"/>
    </row>
    <row r="34" spans="1:295" ht="36" customHeight="1">
      <c r="A34" s="2830"/>
      <c r="B34" s="2830"/>
      <c r="C34" s="2830"/>
      <c r="D34" s="2830"/>
      <c r="E34" s="2830"/>
      <c r="F34" s="2830"/>
      <c r="G34" s="2830"/>
      <c r="H34" s="2830"/>
      <c r="I34" s="2830"/>
      <c r="J34" s="2830"/>
      <c r="K34" s="2830"/>
      <c r="L34" s="2830"/>
      <c r="M34" s="2830"/>
      <c r="N34" s="2830"/>
      <c r="O34" s="2830"/>
      <c r="P34" s="2830"/>
      <c r="Q34" s="2830"/>
      <c r="R34" s="440" t="s">
        <v>1228</v>
      </c>
      <c r="S34" s="441"/>
    </row>
    <row r="35" spans="1:295" ht="3" customHeight="1">
      <c r="B35" s="2398"/>
      <c r="C35" s="2378"/>
      <c r="D35" s="2378"/>
      <c r="E35" s="2378"/>
      <c r="F35" s="2378"/>
      <c r="G35" s="2378"/>
      <c r="H35" s="2378"/>
      <c r="I35" s="2378"/>
      <c r="J35" s="2378"/>
      <c r="K35" s="2378"/>
      <c r="L35" s="2378"/>
      <c r="M35" s="2378"/>
      <c r="N35" s="2378"/>
      <c r="O35" s="2378"/>
      <c r="P35" s="2378"/>
      <c r="Q35" s="2376"/>
    </row>
    <row r="36" spans="1:295" ht="12.75" customHeight="1">
      <c r="A36" s="2371" t="s">
        <v>722</v>
      </c>
      <c r="B36" s="4" t="s">
        <v>2630</v>
      </c>
      <c r="C36" s="4"/>
      <c r="D36" s="4"/>
      <c r="E36" s="2378"/>
      <c r="G36" s="585"/>
      <c r="H36" s="585"/>
      <c r="I36" s="585"/>
      <c r="J36" s="42"/>
      <c r="L36" s="586"/>
      <c r="M36" s="586"/>
      <c r="N36" s="586"/>
      <c r="O36" s="131" t="s">
        <v>1820</v>
      </c>
      <c r="P36" s="2718"/>
      <c r="Q36" s="2719"/>
    </row>
    <row r="37" spans="1:295" ht="11.25" customHeight="1">
      <c r="A37" s="2904"/>
      <c r="B37" s="2904"/>
      <c r="C37" s="2904"/>
      <c r="D37" s="2904"/>
      <c r="E37" s="2904"/>
      <c r="F37" s="1511"/>
      <c r="G37" s="2831" t="s">
        <v>2634</v>
      </c>
      <c r="H37" s="2832"/>
      <c r="I37" s="589"/>
      <c r="J37" s="42"/>
      <c r="K37" s="2833" t="s">
        <v>3467</v>
      </c>
      <c r="L37" s="2834"/>
      <c r="M37" s="2834"/>
      <c r="N37" s="2835"/>
    </row>
    <row r="38" spans="1:295" ht="11.25" customHeight="1">
      <c r="A38" s="2904"/>
      <c r="B38" s="2904"/>
      <c r="C38" s="2904"/>
      <c r="D38" s="2904"/>
      <c r="E38" s="2904"/>
      <c r="F38" s="1511"/>
      <c r="G38" s="2836" t="s">
        <v>341</v>
      </c>
      <c r="H38" s="2837"/>
      <c r="I38" s="589"/>
      <c r="J38" s="42"/>
      <c r="K38" s="2838" t="s">
        <v>3468</v>
      </c>
      <c r="L38" s="2839"/>
      <c r="M38" s="2839"/>
      <c r="N38" s="2840"/>
      <c r="P38" s="509" t="s">
        <v>2649</v>
      </c>
      <c r="Q38" s="2254" t="s">
        <v>2884</v>
      </c>
    </row>
    <row r="39" spans="1:295" ht="4.5" customHeight="1">
      <c r="A39" s="1511"/>
      <c r="B39" s="1511"/>
      <c r="C39" s="1511"/>
      <c r="D39" s="1511"/>
      <c r="E39" s="1511"/>
      <c r="F39" s="1511"/>
      <c r="G39" s="213"/>
      <c r="H39" s="213"/>
      <c r="I39" s="213"/>
      <c r="J39" s="42"/>
      <c r="K39" s="2841"/>
      <c r="L39" s="2841"/>
      <c r="M39" s="2841"/>
      <c r="N39" s="2841"/>
      <c r="P39" s="2782" t="s">
        <v>4528</v>
      </c>
      <c r="Q39" s="2782"/>
    </row>
    <row r="40" spans="1:295" s="82" customFormat="1" ht="10.5" customHeight="1">
      <c r="D40" s="590" t="s">
        <v>2633</v>
      </c>
      <c r="E40" s="35"/>
      <c r="F40" s="591" t="s">
        <v>3336</v>
      </c>
      <c r="G40" s="2842" t="s">
        <v>4452</v>
      </c>
      <c r="H40" s="2842"/>
      <c r="I40" s="2842"/>
      <c r="J40" s="35"/>
      <c r="K40" s="591" t="s">
        <v>3336</v>
      </c>
      <c r="L40" s="2842" t="s">
        <v>4451</v>
      </c>
      <c r="M40" s="2842"/>
      <c r="N40" s="2842"/>
      <c r="O40" s="35"/>
      <c r="P40" s="2782"/>
      <c r="Q40" s="2782"/>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23" t="s">
        <v>3250</v>
      </c>
      <c r="B41" s="2823"/>
      <c r="C41" s="2823"/>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172377.60000000001</v>
      </c>
      <c r="H41" s="40" t="str">
        <f>CONCATENATE("x ", F41," units = ")</f>
        <v xml:space="preserve">x  units = </v>
      </c>
      <c r="I41" s="1510" t="str">
        <f>IF(F41="","",F41*G41)</f>
        <v/>
      </c>
      <c r="J41" s="42"/>
      <c r="K41" s="1509" t="str">
        <f>IF('Part VI-Revenues &amp; Expenses'!$K$150 =0,"",'Part VI-Revenues &amp; Expenses'!$K$150)</f>
        <v/>
      </c>
      <c r="L41" s="824">
        <f>G41*(1+'DCA Underwriting Assumptions'!$Q$12)</f>
        <v>189615.36000000002</v>
      </c>
      <c r="M41" s="40" t="str">
        <f>CONCATENATE("x ", K41," units = ")</f>
        <v xml:space="preserve">x  units = </v>
      </c>
      <c r="N41" s="1510" t="str">
        <f>IF(K41="","",K41*L41)</f>
        <v/>
      </c>
      <c r="O41" s="2378"/>
      <c r="P41" s="2783"/>
      <c r="Q41" s="2783"/>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23"/>
      <c r="B42" s="2823"/>
      <c r="C42" s="2823"/>
      <c r="D42" s="822" t="s">
        <v>2376</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213757.4</v>
      </c>
      <c r="H42" s="40" t="str">
        <f>CONCATENATE("x ", F42," units = ")</f>
        <v xml:space="preserve">x  units = </v>
      </c>
      <c r="I42" s="1510" t="str">
        <f>IF(F42="","",F42*G42)</f>
        <v/>
      </c>
      <c r="J42" s="42"/>
      <c r="K42" s="1509" t="str">
        <f>IF('Part VI-Revenues &amp; Expenses'!$L$150 =0,"",'Part VI-Revenues &amp; Expenses'!$L$150)</f>
        <v/>
      </c>
      <c r="L42" s="824">
        <f>G42*(1+'DCA Underwriting Assumptions'!$Q$12)</f>
        <v>235133.14</v>
      </c>
      <c r="M42" s="40" t="str">
        <f>CONCATENATE("x ", K42," units = ")</f>
        <v xml:space="preserve">x  units = </v>
      </c>
      <c r="N42" s="1510" t="str">
        <f>IF(K42="","",K42*L42)</f>
        <v/>
      </c>
      <c r="O42" s="2378"/>
      <c r="P42" s="2843" t="str">
        <f>IF('Part I-Project Information'!$F$38="","",VLOOKUP('Part I-Project Information'!$J$39,'DCA Underwriting Assumptions'!$G$173:$N$332,8,FALSE))</f>
        <v>Macon</v>
      </c>
      <c r="Q42" s="2844"/>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23"/>
      <c r="B43" s="2823"/>
      <c r="C43" s="2823"/>
      <c r="D43" s="822" t="s">
        <v>2377</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255794.49999999997</v>
      </c>
      <c r="H43" s="40" t="str">
        <f>CONCATENATE("x ", F43," units = ")</f>
        <v xml:space="preserve">x  units = </v>
      </c>
      <c r="I43" s="1510" t="str">
        <f>IF(F43="","",F43*G43)</f>
        <v/>
      </c>
      <c r="J43" s="42"/>
      <c r="K43" s="1509" t="str">
        <f>IF('Part VI-Revenues &amp; Expenses'!$M$150 =0,"",'Part VI-Revenues &amp; Expenses'!$M$150)</f>
        <v/>
      </c>
      <c r="L43" s="824">
        <f>G43*(1+'DCA Underwriting Assumptions'!$Q$12)</f>
        <v>281373.95</v>
      </c>
      <c r="M43" s="40" t="str">
        <f>CONCATENATE("x ", K43," units = ")</f>
        <v xml:space="preserve">x  units = </v>
      </c>
      <c r="N43" s="1510" t="str">
        <f>IF(K43="","",K43*L43)</f>
        <v/>
      </c>
      <c r="O43" s="2378"/>
      <c r="P43" s="2845"/>
      <c r="Q43" s="2846"/>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23"/>
      <c r="B44" s="2823"/>
      <c r="C44" s="2823"/>
      <c r="D44" s="822" t="s">
        <v>2378</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291740.90000000002</v>
      </c>
      <c r="H44" s="40" t="str">
        <f>CONCATENATE("x ", F44," units = ")</f>
        <v xml:space="preserve">x  units = </v>
      </c>
      <c r="I44" s="1510" t="str">
        <f>IF(F44="","",F44*G44)</f>
        <v/>
      </c>
      <c r="J44" s="42"/>
      <c r="K44" s="1509" t="str">
        <f>IF('Part VI-Revenues &amp; Expenses'!$N$150 =0,"",'Part VI-Revenues &amp; Expenses'!$N$150)</f>
        <v/>
      </c>
      <c r="L44" s="824">
        <f>G44*(1+'DCA Underwriting Assumptions'!$Q$12)</f>
        <v>320914.99000000005</v>
      </c>
      <c r="M44" s="40" t="str">
        <f>CONCATENATE("x ", K44," units = ")</f>
        <v xml:space="preserve">x  units = </v>
      </c>
      <c r="N44" s="1510" t="str">
        <f>IF(K44="","",K44*L44)</f>
        <v/>
      </c>
      <c r="O44" s="2378"/>
      <c r="P44" s="2697" t="s">
        <v>4529</v>
      </c>
      <c r="Q44" s="2697"/>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343805</v>
      </c>
      <c r="H45" s="40" t="str">
        <f>CONCATENATE("x ", F45," units = ")</f>
        <v xml:space="preserve">x  units = </v>
      </c>
      <c r="I45" s="1510" t="str">
        <f>IF(F45="","",F45*G45)</f>
        <v/>
      </c>
      <c r="J45" s="42"/>
      <c r="K45" s="1509" t="str">
        <f>IF('Part VI-Revenues &amp; Expenses'!$O$150 =0,"",'Part VI-Revenues &amp; Expenses'!$O$150)</f>
        <v/>
      </c>
      <c r="L45" s="824">
        <f>G45*(1+'DCA Underwriting Assumptions'!$Q$12)</f>
        <v>378185.50000000006</v>
      </c>
      <c r="M45" s="40" t="str">
        <f>CONCATENATE("x ", K45," units = ")</f>
        <v xml:space="preserve">x  units = </v>
      </c>
      <c r="N45" s="1510" t="str">
        <f>IF(K45="","",K45*L45)</f>
        <v/>
      </c>
      <c r="O45" s="2378"/>
      <c r="P45" s="2780">
        <f>'Part IV-A-Uses of Funds'!$G$132</f>
        <v>10856073</v>
      </c>
      <c r="Q45" s="2781"/>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3260</v>
      </c>
      <c r="E46" s="132"/>
      <c r="F46" s="1044">
        <f>SUM(F41:F45)</f>
        <v>0</v>
      </c>
      <c r="G46" s="592"/>
      <c r="H46" s="1045"/>
      <c r="I46" s="1046">
        <f>SUM(I41:I45)</f>
        <v>0</v>
      </c>
      <c r="J46" s="1047"/>
      <c r="K46" s="1044">
        <f>SUM(K41:K45)</f>
        <v>0</v>
      </c>
      <c r="L46" s="1047"/>
      <c r="M46" s="1045"/>
      <c r="N46" s="1046">
        <f>SUM(N41:N45)</f>
        <v>0</v>
      </c>
      <c r="O46" s="2378"/>
      <c r="P46" s="2697" t="s">
        <v>4514</v>
      </c>
      <c r="Q46" s="2697"/>
      <c r="R46" s="2696" t="s">
        <v>4530</v>
      </c>
      <c r="S46" s="2696"/>
      <c r="T46" s="2696"/>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9"/>
      <c r="J47" s="127"/>
      <c r="K47" s="593"/>
      <c r="L47" s="127"/>
      <c r="M47" s="2378"/>
      <c r="N47" s="2379"/>
      <c r="O47" s="2378"/>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23" t="s">
        <v>3245</v>
      </c>
      <c r="B48" s="2823"/>
      <c r="C48" s="2823"/>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148159.19999999998</v>
      </c>
      <c r="H48" s="40" t="str">
        <f>CONCATENATE("x ", F48," units = ")</f>
        <v xml:space="preserve">x  units = </v>
      </c>
      <c r="I48" s="1510" t="str">
        <f>IF(F48="","",F48*G48)</f>
        <v/>
      </c>
      <c r="J48" s="42"/>
      <c r="K48" s="1509" t="str">
        <f>IF('Part VI-Revenues &amp; Expenses'!$K$152 =0,"",'Part VI-Revenues &amp; Expenses'!$K$152)</f>
        <v/>
      </c>
      <c r="L48" s="824">
        <f>G48*(1+'DCA Underwriting Assumptions'!$Q$12)</f>
        <v>162975.12</v>
      </c>
      <c r="M48" s="40" t="str">
        <f>CONCATENATE("x ", K48," units = ")</f>
        <v xml:space="preserve">x  units = </v>
      </c>
      <c r="N48" s="1510" t="str">
        <f>IF(K48="","",K48*L48)</f>
        <v/>
      </c>
      <c r="P48" s="2780">
        <f>'Part IV-A-Uses of Funds'!$G$132-'Part IV-A-Uses of Funds'!$G$83-'Part IV-A-Uses of Funds'!$G$105-'Part IV-A-Uses of Funds'!$G$121-'Part IV-A-Uses of Funds'!$G$122-'Part IV-A-Uses of Funds'!$G$123</f>
        <v>10492302</v>
      </c>
      <c r="Q48" s="2781"/>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23"/>
      <c r="B49" s="2823"/>
      <c r="C49" s="2823"/>
      <c r="D49" s="822" t="s">
        <v>2376</v>
      </c>
      <c r="E49" s="823">
        <v>1</v>
      </c>
      <c r="F49" s="1509">
        <f>IF('Part VI-Revenues &amp; Expenses'!$L$151 =0,"",'Part VI-Revenues &amp; Expenses'!$L$151)</f>
        <v>10</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185459.34999999998</v>
      </c>
      <c r="H49" s="40" t="str">
        <f>CONCATENATE("x ", F49," units = ")</f>
        <v xml:space="preserve">x 10 units = </v>
      </c>
      <c r="I49" s="1510">
        <f>IF(F49="","",F49*G49)</f>
        <v>1854593.4999999998</v>
      </c>
      <c r="J49" s="42"/>
      <c r="K49" s="1509" t="str">
        <f>IF('Part VI-Revenues &amp; Expenses'!$L$152 =0,"",'Part VI-Revenues &amp; Expenses'!$L$152)</f>
        <v/>
      </c>
      <c r="L49" s="824">
        <f>G49*(1+'DCA Underwriting Assumptions'!$Q$12)</f>
        <v>204005.285</v>
      </c>
      <c r="M49" s="40" t="str">
        <f>CONCATENATE("x ", K49," units = ")</f>
        <v xml:space="preserve">x  units = </v>
      </c>
      <c r="N49" s="1510" t="str">
        <f>IF(K49="","",K49*L49)</f>
        <v/>
      </c>
      <c r="P49" s="2621" t="s">
        <v>3772</v>
      </c>
      <c r="Q49" s="2621"/>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23"/>
      <c r="B50" s="2823"/>
      <c r="C50" s="2823"/>
      <c r="D50" s="822" t="s">
        <v>2377</v>
      </c>
      <c r="E50" s="823">
        <v>2</v>
      </c>
      <c r="F50" s="1509">
        <f>IF('Part VI-Revenues &amp; Expenses'!$M$151 =0,"",'Part VI-Revenues &amp; Expenses'!$M$151)</f>
        <v>20</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224804.3</v>
      </c>
      <c r="H50" s="40" t="str">
        <f>CONCATENATE("x ", F50," units = ")</f>
        <v xml:space="preserve">x 20 units = </v>
      </c>
      <c r="I50" s="1510">
        <f>IF(F50="","",F50*G50)</f>
        <v>4496086</v>
      </c>
      <c r="J50" s="42"/>
      <c r="K50" s="1509" t="str">
        <f>IF('Part VI-Revenues &amp; Expenses'!$M$152 =0,"",'Part VI-Revenues &amp; Expenses'!$M$152)</f>
        <v/>
      </c>
      <c r="L50" s="824">
        <f>G50*(1+'DCA Underwriting Assumptions'!$Q$12)</f>
        <v>247284.73</v>
      </c>
      <c r="M50" s="40" t="str">
        <f>CONCATENATE("x ", K50," units = ")</f>
        <v xml:space="preserve">x  units = </v>
      </c>
      <c r="N50" s="1510" t="str">
        <f>IF(K50="","",K50*L50)</f>
        <v/>
      </c>
      <c r="O50" s="540"/>
      <c r="P50" s="2847"/>
      <c r="Q50" s="2848"/>
      <c r="R50" s="404"/>
      <c r="S50" s="2794" t="s">
        <v>4517</v>
      </c>
      <c r="T50" s="2795"/>
      <c r="U50" s="2795"/>
      <c r="V50" s="2796"/>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f>IF('Part VI-Revenues &amp; Expenses'!$N$151 =0,"",'Part VI-Revenues &amp; Expenses'!$N$151)</f>
        <v>20</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262540.30000000005</v>
      </c>
      <c r="H51" s="40" t="str">
        <f>CONCATENATE("x ", F51," units = ")</f>
        <v xml:space="preserve">x 20 units = </v>
      </c>
      <c r="I51" s="1510">
        <f>IF(F51="","",F51*G51)</f>
        <v>5250806.0000000009</v>
      </c>
      <c r="J51" s="42"/>
      <c r="K51" s="1509" t="str">
        <f>IF('Part VI-Revenues &amp; Expenses'!$N$152 =0,"",'Part VI-Revenues &amp; Expenses'!$N$152)</f>
        <v/>
      </c>
      <c r="L51" s="824">
        <f>G51*(1+'DCA Underwriting Assumptions'!$Q$12)</f>
        <v>288794.33000000007</v>
      </c>
      <c r="M51" s="40" t="str">
        <f>CONCATENATE("x ", K51," units = ")</f>
        <v xml:space="preserve">x  units = </v>
      </c>
      <c r="N51" s="1510" t="str">
        <f>IF(K51="","",K51*L51)</f>
        <v/>
      </c>
      <c r="O51" s="540"/>
      <c r="P51" s="2849"/>
      <c r="Q51" s="2850"/>
      <c r="S51" s="2797"/>
      <c r="T51" s="2798"/>
      <c r="U51" s="2798"/>
      <c r="V51" s="2799"/>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311483.7</v>
      </c>
      <c r="H52" s="40" t="str">
        <f>CONCATENATE("x ", F52," units = ")</f>
        <v xml:space="preserve">x  units = </v>
      </c>
      <c r="I52" s="1510" t="str">
        <f>IF(F52="","",F52*G52)</f>
        <v/>
      </c>
      <c r="J52" s="42"/>
      <c r="K52" s="1509" t="str">
        <f>IF('Part VI-Revenues &amp; Expenses'!$O$152 =0,"",'Part VI-Revenues &amp; Expenses'!$O$152)</f>
        <v/>
      </c>
      <c r="L52" s="824">
        <f>G52*(1+'DCA Underwriting Assumptions'!$Q$12)</f>
        <v>342632.07000000007</v>
      </c>
      <c r="M52" s="40" t="str">
        <f>CONCATENATE("x ", K52," units = ")</f>
        <v xml:space="preserve">x  units = </v>
      </c>
      <c r="N52" s="1510" t="str">
        <f>IF(K52="","",K52*L52)</f>
        <v/>
      </c>
      <c r="O52" s="540"/>
      <c r="P52" s="2811" t="s">
        <v>3463</v>
      </c>
      <c r="Q52" s="2811"/>
      <c r="S52" s="2797"/>
      <c r="T52" s="2798"/>
      <c r="U52" s="2798"/>
      <c r="V52" s="2799"/>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3260</v>
      </c>
      <c r="E53" s="132"/>
      <c r="F53" s="1044">
        <f>SUM(F48:F52)</f>
        <v>50</v>
      </c>
      <c r="G53" s="592"/>
      <c r="H53" s="1045"/>
      <c r="I53" s="1046">
        <f>SUM(I48:I52)</f>
        <v>11601485.5</v>
      </c>
      <c r="J53" s="1047"/>
      <c r="K53" s="1044">
        <f>SUM(K48:K52)</f>
        <v>0</v>
      </c>
      <c r="L53" s="1047"/>
      <c r="M53" s="1045"/>
      <c r="N53" s="1046">
        <f>SUM(N48:N52)</f>
        <v>0</v>
      </c>
      <c r="O53" s="540"/>
      <c r="P53" s="1052" t="s">
        <v>3139</v>
      </c>
      <c r="Q53" s="1052" t="s">
        <v>251</v>
      </c>
      <c r="R53" s="404"/>
      <c r="S53" s="2797"/>
      <c r="T53" s="2798"/>
      <c r="U53" s="2798"/>
      <c r="V53" s="2799"/>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9"/>
      <c r="J54" s="35"/>
      <c r="K54" s="593"/>
      <c r="L54" s="35"/>
      <c r="M54" s="2378"/>
      <c r="N54" s="2379"/>
      <c r="O54" s="540"/>
      <c r="R54" s="404"/>
      <c r="S54" s="2797"/>
      <c r="T54" s="2798"/>
      <c r="U54" s="2798"/>
      <c r="V54" s="2799"/>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3246</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130016.4</v>
      </c>
      <c r="H55" s="40" t="str">
        <f>CONCATENATE("x ", F55," units = ")</f>
        <v xml:space="preserve">x  units = </v>
      </c>
      <c r="I55" s="1510" t="str">
        <f>IF(F55="","",F55*G55)</f>
        <v/>
      </c>
      <c r="J55" s="42"/>
      <c r="K55" s="1509" t="str">
        <f>IF('Part VI-Revenues &amp; Expenses'!$K$154 =0,"",'Part VI-Revenues &amp; Expenses'!$K$154)</f>
        <v/>
      </c>
      <c r="L55" s="824">
        <f>G55*(1+'DCA Underwriting Assumptions'!$Q$12)</f>
        <v>143018.04</v>
      </c>
      <c r="M55" s="40" t="str">
        <f>CONCATENATE("x ", K55," units = ")</f>
        <v xml:space="preserve">x  units = </v>
      </c>
      <c r="N55" s="1510" t="str">
        <f>IF(K55="","",K55*L55)</f>
        <v/>
      </c>
      <c r="O55" s="540"/>
      <c r="P55" s="1051">
        <f>'Part IX Scoring Criteria'!O415</f>
        <v>0</v>
      </c>
      <c r="Q55" s="1051">
        <f>'Part IX Scoring Criteria'!P415</f>
        <v>0</v>
      </c>
      <c r="R55" s="404"/>
      <c r="S55" s="2797"/>
      <c r="T55" s="2798"/>
      <c r="U55" s="2798"/>
      <c r="V55" s="2799"/>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170090.75</v>
      </c>
      <c r="H56" s="40" t="str">
        <f>CONCATENATE("x ", F56," units = ")</f>
        <v xml:space="preserve">x  units = </v>
      </c>
      <c r="I56" s="1510" t="str">
        <f>IF(F56="","",F56*G56)</f>
        <v/>
      </c>
      <c r="J56" s="42"/>
      <c r="K56" s="1509" t="str">
        <f>IF('Part VI-Revenues &amp; Expenses'!$L$154 =0,"",'Part VI-Revenues &amp; Expenses'!$L$154)</f>
        <v/>
      </c>
      <c r="L56" s="824">
        <f>G56*(1+'DCA Underwriting Assumptions'!$Q$12)</f>
        <v>187099.82500000001</v>
      </c>
      <c r="M56" s="40" t="str">
        <f>CONCATENATE("x ", K56," units = ")</f>
        <v xml:space="preserve">x  units = </v>
      </c>
      <c r="N56" s="1510" t="str">
        <f>IF(K56="","",K56*L56)</f>
        <v/>
      </c>
      <c r="P56" s="2811" t="s">
        <v>3464</v>
      </c>
      <c r="Q56" s="2811"/>
      <c r="S56" s="2797"/>
      <c r="T56" s="2798"/>
      <c r="U56" s="2798"/>
      <c r="V56" s="2799"/>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215255.84999999998</v>
      </c>
      <c r="H57" s="40" t="str">
        <f>CONCATENATE("x ", F57," units = ")</f>
        <v xml:space="preserve">x  units = </v>
      </c>
      <c r="I57" s="1510" t="str">
        <f>IF(F57="","",F57*G57)</f>
        <v/>
      </c>
      <c r="J57" s="42"/>
      <c r="K57" s="1509" t="str">
        <f>IF('Part VI-Revenues &amp; Expenses'!$M$154 =0,"",'Part VI-Revenues &amp; Expenses'!$M$154)</f>
        <v/>
      </c>
      <c r="L57" s="824">
        <f>G57*(1+'DCA Underwriting Assumptions'!$Q$12)</f>
        <v>236781.435</v>
      </c>
      <c r="M57" s="40" t="str">
        <f>CONCATENATE("x ", K57," units = ")</f>
        <v xml:space="preserve">x  units = </v>
      </c>
      <c r="N57" s="1510" t="str">
        <f>IF(K57="","",K57*L57)</f>
        <v/>
      </c>
      <c r="P57" s="1052" t="s">
        <v>3139</v>
      </c>
      <c r="Q57" s="1052" t="s">
        <v>251</v>
      </c>
      <c r="S57" s="2797"/>
      <c r="T57" s="2798"/>
      <c r="U57" s="2798"/>
      <c r="V57" s="2799"/>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271257.80000000005</v>
      </c>
      <c r="H58" s="40" t="str">
        <f>CONCATENATE("x ", F58," units = ")</f>
        <v xml:space="preserve">x  units = </v>
      </c>
      <c r="I58" s="1510" t="str">
        <f>IF(F58="","",F58*G58)</f>
        <v/>
      </c>
      <c r="J58" s="42"/>
      <c r="K58" s="1509" t="str">
        <f>IF('Part VI-Revenues &amp; Expenses'!$N$154 =0,"",'Part VI-Revenues &amp; Expenses'!$N$154)</f>
        <v/>
      </c>
      <c r="L58" s="824">
        <f>G58*(1+'DCA Underwriting Assumptions'!$Q$12)</f>
        <v>298383.58000000007</v>
      </c>
      <c r="M58" s="40" t="str">
        <f>CONCATENATE("x ", K58," units = ")</f>
        <v xml:space="preserve">x  units = </v>
      </c>
      <c r="N58" s="1510" t="str">
        <f>IF(K58="","",K58*L58)</f>
        <v/>
      </c>
      <c r="O58" s="540"/>
      <c r="P58" s="1051">
        <f>'Part IX Scoring Criteria'!O74</f>
        <v>1</v>
      </c>
      <c r="Q58" s="1051">
        <f>'Part IX Scoring Criteria'!P74</f>
        <v>0</v>
      </c>
      <c r="S58" s="2797"/>
      <c r="T58" s="2798"/>
      <c r="U58" s="2798"/>
      <c r="V58" s="2799"/>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336185.30000000005</v>
      </c>
      <c r="H59" s="40" t="str">
        <f>CONCATENATE("x ", F59," units = ")</f>
        <v xml:space="preserve">x  units = </v>
      </c>
      <c r="I59" s="1510" t="str">
        <f>IF(F59="","",F59*G59)</f>
        <v/>
      </c>
      <c r="J59" s="42"/>
      <c r="K59" s="1509" t="str">
        <f>IF('Part VI-Revenues &amp; Expenses'!$O$154 =0,"",'Part VI-Revenues &amp; Expenses'!$O$154)</f>
        <v/>
      </c>
      <c r="L59" s="824">
        <f>G59*(1+'DCA Underwriting Assumptions'!$Q$12)</f>
        <v>369803.83000000007</v>
      </c>
      <c r="M59" s="40" t="str">
        <f>CONCATENATE("x ", K59," units = ")</f>
        <v xml:space="preserve">x  units = </v>
      </c>
      <c r="N59" s="1510" t="str">
        <f>IF(K59="","",K59*L59)</f>
        <v/>
      </c>
      <c r="O59" s="540"/>
      <c r="P59" s="2816" t="s">
        <v>2678</v>
      </c>
      <c r="Q59" s="2816"/>
      <c r="S59" s="2797"/>
      <c r="T59" s="2798"/>
      <c r="U59" s="2798"/>
      <c r="V59" s="2799"/>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3260</v>
      </c>
      <c r="E60" s="132"/>
      <c r="F60" s="1044">
        <f>SUM(F55:F59)</f>
        <v>0</v>
      </c>
      <c r="G60" s="592"/>
      <c r="H60" s="1045"/>
      <c r="I60" s="1046">
        <f>SUM(I55:I59)</f>
        <v>0</v>
      </c>
      <c r="J60" s="1047"/>
      <c r="K60" s="1044">
        <f>SUM(K55:K59)</f>
        <v>0</v>
      </c>
      <c r="L60" s="1047"/>
      <c r="M60" s="1045"/>
      <c r="N60" s="1046">
        <f>SUM(N55:N59)</f>
        <v>0</v>
      </c>
      <c r="O60" s="540"/>
      <c r="P60" s="2816"/>
      <c r="Q60" s="2816"/>
      <c r="S60" s="2797"/>
      <c r="T60" s="2798"/>
      <c r="U60" s="2798"/>
      <c r="V60" s="2799"/>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9"/>
      <c r="J61" s="35"/>
      <c r="K61" s="593"/>
      <c r="L61" s="35"/>
      <c r="M61" s="2378"/>
      <c r="N61" s="2379"/>
      <c r="O61" s="540"/>
      <c r="P61" s="2816"/>
      <c r="Q61" s="2816"/>
      <c r="R61" s="404"/>
      <c r="S61" s="2797"/>
      <c r="T61" s="2798"/>
      <c r="U61" s="2798"/>
      <c r="V61" s="2799"/>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3247</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134386.79999999999</v>
      </c>
      <c r="H62" s="40" t="str">
        <f>CONCATENATE("x ", F62," units = ")</f>
        <v xml:space="preserve">x  units = </v>
      </c>
      <c r="I62" s="1510" t="str">
        <f>IF(F62="","",F62*G62)</f>
        <v/>
      </c>
      <c r="J62" s="42"/>
      <c r="K62" s="1509" t="str">
        <f>IF('Part VI-Revenues &amp; Expenses'!$K$156 =0,"",'Part VI-Revenues &amp; Expenses'!$K$156)</f>
        <v/>
      </c>
      <c r="L62" s="824">
        <f>G62*(1+'DCA Underwriting Assumptions'!$Q$12)</f>
        <v>147825.48000000001</v>
      </c>
      <c r="M62" s="40" t="str">
        <f>CONCATENATE("x ", K62," units = ")</f>
        <v xml:space="preserve">x  units = </v>
      </c>
      <c r="N62" s="1510" t="str">
        <f>IF(K62="","",K62*L62)</f>
        <v/>
      </c>
      <c r="O62" s="540"/>
      <c r="P62" s="2817"/>
      <c r="Q62" s="2817"/>
      <c r="R62" s="404"/>
      <c r="S62" s="2800"/>
      <c r="T62" s="2801"/>
      <c r="U62" s="2801"/>
      <c r="V62" s="2802"/>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180301.59999999998</v>
      </c>
      <c r="H63" s="40" t="str">
        <f>CONCATENATE("x ", F63," units = ")</f>
        <v xml:space="preserve">x  units = </v>
      </c>
      <c r="I63" s="1510" t="str">
        <f>IF(F63="","",F63*G63)</f>
        <v/>
      </c>
      <c r="J63" s="42"/>
      <c r="K63" s="1509" t="str">
        <f>IF('Part VI-Revenues &amp; Expenses'!$L$156 =0,"",'Part VI-Revenues &amp; Expenses'!$L$156)</f>
        <v/>
      </c>
      <c r="L63" s="824">
        <f>G63*(1+'DCA Underwriting Assumptions'!$Q$12)</f>
        <v>198331.75999999998</v>
      </c>
      <c r="M63" s="40" t="str">
        <f>CONCATENATE("x ", K63," units = ")</f>
        <v xml:space="preserve">x  units = </v>
      </c>
      <c r="N63" s="1510" t="str">
        <f>IF(K63="","",K63*L63)</f>
        <v/>
      </c>
      <c r="O63" s="540"/>
      <c r="P63" s="2818">
        <f>IF(P50&gt;1,P50, IF(OR('Part IX Scoring Criteria'!$O$74='Part IX Scoring Criteria'!$M$74,AND('Part IV-A-Uses of Funds'!$T$172="Yes",'Part IX Scoring Criteria'!$O$415&gt;0)),H69+M69,H69))</f>
        <v>11601485.5</v>
      </c>
      <c r="Q63" s="2819"/>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231815.84999999998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254997.435</v>
      </c>
      <c r="M64" s="40" t="str">
        <f>CONCATENATE("x ", K64," units = ")</f>
        <v xml:space="preserve">x  units = </v>
      </c>
      <c r="N64" s="1510" t="str">
        <f>IF(K64="","",K64*L64)</f>
        <v/>
      </c>
      <c r="P64" s="2820"/>
      <c r="Q64" s="2821"/>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295650.30000000005</v>
      </c>
      <c r="H65" s="40" t="str">
        <f>CONCATENATE("x ", F65," units = ")</f>
        <v xml:space="preserve">x  units = </v>
      </c>
      <c r="I65" s="1510" t="str">
        <f>IF(F65="","",F65*G65)</f>
        <v/>
      </c>
      <c r="J65" s="42"/>
      <c r="K65" s="1509" t="str">
        <f>IF('Part VI-Revenues &amp; Expenses'!$N$156 =0,"",'Part VI-Revenues &amp; Expenses'!$N$156)</f>
        <v/>
      </c>
      <c r="L65" s="824">
        <f>G65*(1+'DCA Underwriting Assumptions'!$Q$12)</f>
        <v>325215.33000000007</v>
      </c>
      <c r="M65" s="40" t="str">
        <f>CONCATENATE("x ", K65," units = ")</f>
        <v xml:space="preserve">x  units = </v>
      </c>
      <c r="N65" s="1510" t="str">
        <f>IF(K65="","",K65*L65)</f>
        <v/>
      </c>
      <c r="P65" s="2807" t="s">
        <v>3877</v>
      </c>
      <c r="Q65" s="2807"/>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369562.60000000003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406518.86000000004</v>
      </c>
      <c r="M66" s="40" t="str">
        <f>CONCATENATE("x ", K66," units = ")</f>
        <v xml:space="preserve">x  units = </v>
      </c>
      <c r="N66" s="1510" t="str">
        <f>IF(K66="","",K66*L66)</f>
        <v/>
      </c>
      <c r="O66" s="540"/>
      <c r="P66" s="2808"/>
      <c r="Q66" s="2808"/>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3260</v>
      </c>
      <c r="E67" s="132"/>
      <c r="F67" s="1044">
        <f>SUM(F62:F66)</f>
        <v>0</v>
      </c>
      <c r="G67" s="592"/>
      <c r="H67" s="1045"/>
      <c r="I67" s="1048">
        <f>SUM(I62:I66)</f>
        <v>0</v>
      </c>
      <c r="J67" s="1047"/>
      <c r="K67" s="1044">
        <f>SUM(K62:K66)</f>
        <v>0</v>
      </c>
      <c r="L67" s="1047"/>
      <c r="M67" s="1045"/>
      <c r="N67" s="1048">
        <f>SUM(N62:N66)</f>
        <v>0</v>
      </c>
      <c r="O67" s="540"/>
      <c r="P67" s="2808"/>
      <c r="Q67" s="2808"/>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6"/>
      <c r="O68" s="540"/>
      <c r="P68" s="2808"/>
      <c r="Q68" s="2808"/>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83">
        <f>F46+F53+F60+F67</f>
        <v>50</v>
      </c>
      <c r="G69" s="329"/>
      <c r="H69" s="2810">
        <f>I46+I53+I60+I67</f>
        <v>11601485.5</v>
      </c>
      <c r="I69" s="2810"/>
      <c r="J69" s="2810"/>
      <c r="K69" s="583">
        <f>K46+K53+K60+K67</f>
        <v>0</v>
      </c>
      <c r="L69" s="584"/>
      <c r="M69" s="2810">
        <f>N46+N53+N60+N67</f>
        <v>0</v>
      </c>
      <c r="N69" s="2810"/>
      <c r="O69" s="2810"/>
      <c r="P69" s="2808"/>
      <c r="Q69" s="2808"/>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398"/>
      <c r="J70" s="2398"/>
      <c r="K70" s="136" t="s">
        <v>1819</v>
      </c>
      <c r="L70" s="2376"/>
      <c r="M70" s="2376"/>
      <c r="N70" s="2376"/>
      <c r="O70" s="2376"/>
      <c r="P70" s="2809"/>
      <c r="Q70" s="2809"/>
    </row>
    <row r="71" spans="1:295" ht="10.5" customHeight="1">
      <c r="A71" s="2707" t="s">
        <v>7033</v>
      </c>
      <c r="B71" s="2708"/>
      <c r="C71" s="2708"/>
      <c r="D71" s="2708"/>
      <c r="E71" s="2708"/>
      <c r="F71" s="2708"/>
      <c r="G71" s="2708"/>
      <c r="H71" s="2708"/>
      <c r="I71" s="2708"/>
      <c r="J71" s="2709"/>
      <c r="K71" s="2701"/>
      <c r="L71" s="2702"/>
      <c r="M71" s="2702"/>
      <c r="N71" s="2702"/>
      <c r="O71" s="2702"/>
      <c r="P71" s="2702"/>
      <c r="Q71" s="2703"/>
      <c r="R71" s="440" t="s">
        <v>1228</v>
      </c>
      <c r="U71" s="135"/>
      <c r="V71" s="135"/>
      <c r="W71" s="135"/>
      <c r="X71" s="135"/>
      <c r="Y71" s="135"/>
      <c r="Z71" s="135"/>
      <c r="AA71" s="135"/>
      <c r="AB71" s="135"/>
      <c r="AC71" s="135"/>
      <c r="AD71" s="135"/>
      <c r="AE71" s="457"/>
    </row>
    <row r="72" spans="1:295" ht="3" customHeight="1">
      <c r="B72" s="2398"/>
      <c r="C72" s="2378"/>
      <c r="D72" s="2378"/>
      <c r="E72" s="2378"/>
      <c r="F72" s="2378"/>
      <c r="G72" s="2378"/>
      <c r="H72" s="2378"/>
      <c r="I72" s="2378"/>
      <c r="J72" s="2378"/>
      <c r="K72" s="2378"/>
      <c r="L72" s="2378"/>
      <c r="M72" s="2378"/>
      <c r="N72" s="2378"/>
      <c r="O72" s="2378"/>
      <c r="P72" s="2378"/>
      <c r="Q72" s="2376"/>
    </row>
    <row r="73" spans="1:295" ht="12.75" customHeight="1">
      <c r="A73" s="2371" t="s">
        <v>724</v>
      </c>
      <c r="B73" s="4" t="s">
        <v>1166</v>
      </c>
      <c r="C73" s="4"/>
      <c r="D73" s="4"/>
      <c r="E73" s="2378"/>
      <c r="F73" s="2378"/>
      <c r="G73" s="139" t="s">
        <v>4553</v>
      </c>
      <c r="H73" s="2378"/>
      <c r="J73" s="2812" t="str">
        <f>'Part I-Project Information'!$H$82</f>
        <v>Family</v>
      </c>
      <c r="K73" s="2812"/>
      <c r="L73" s="2812"/>
      <c r="O73" s="131" t="s">
        <v>1820</v>
      </c>
      <c r="P73" s="2718"/>
      <c r="Q73" s="2719"/>
    </row>
    <row r="74" spans="1:295" ht="10.5" customHeight="1">
      <c r="B74" s="95" t="s">
        <v>3565</v>
      </c>
      <c r="D74" s="95"/>
      <c r="E74" s="95"/>
      <c r="F74" s="95"/>
      <c r="G74" s="95"/>
      <c r="H74" s="40"/>
      <c r="I74" s="2398"/>
      <c r="J74" s="2398"/>
      <c r="K74" s="136" t="s">
        <v>1819</v>
      </c>
      <c r="L74" s="2376"/>
      <c r="M74" s="2376"/>
      <c r="N74" s="2376"/>
      <c r="O74" s="2376"/>
      <c r="P74" s="2376"/>
      <c r="Q74" s="855"/>
    </row>
    <row r="75" spans="1:295" ht="10.5" customHeight="1">
      <c r="A75" s="2707" t="s">
        <v>7034</v>
      </c>
      <c r="B75" s="2708"/>
      <c r="C75" s="2708"/>
      <c r="D75" s="2708"/>
      <c r="E75" s="2708"/>
      <c r="F75" s="2708"/>
      <c r="G75" s="2708"/>
      <c r="H75" s="2708"/>
      <c r="I75" s="2708"/>
      <c r="J75" s="2709"/>
      <c r="K75" s="2701"/>
      <c r="L75" s="2702"/>
      <c r="M75" s="2702"/>
      <c r="N75" s="2702"/>
      <c r="O75" s="2702"/>
      <c r="P75" s="2702"/>
      <c r="Q75" s="2703"/>
      <c r="R75" s="440" t="s">
        <v>1228</v>
      </c>
      <c r="U75" s="135"/>
      <c r="V75" s="135"/>
      <c r="W75" s="135"/>
      <c r="X75" s="135"/>
      <c r="Y75" s="135"/>
      <c r="Z75" s="135"/>
      <c r="AA75" s="135"/>
      <c r="AB75" s="135"/>
      <c r="AC75" s="135"/>
      <c r="AD75" s="135"/>
      <c r="AE75" s="457"/>
    </row>
    <row r="76" spans="1:295" ht="3" customHeight="1">
      <c r="A76" s="2376"/>
      <c r="B76" s="2398"/>
      <c r="C76" s="2378"/>
      <c r="D76" s="2378"/>
      <c r="E76" s="2378"/>
      <c r="F76" s="2378"/>
      <c r="G76" s="2378"/>
      <c r="H76" s="2378"/>
      <c r="I76" s="2378"/>
      <c r="J76" s="2378"/>
      <c r="K76" s="2378"/>
      <c r="L76" s="2378"/>
      <c r="M76" s="2378"/>
      <c r="N76" s="2378"/>
      <c r="O76" s="2378"/>
      <c r="P76" s="2378"/>
      <c r="Q76" s="2376"/>
    </row>
    <row r="77" spans="1:295" ht="12.75" customHeight="1">
      <c r="A77" s="2371" t="s">
        <v>1748</v>
      </c>
      <c r="B77" s="2371" t="s">
        <v>2579</v>
      </c>
      <c r="C77" s="113"/>
      <c r="D77" s="2378"/>
      <c r="E77" s="2378"/>
      <c r="F77" s="2378"/>
      <c r="G77" s="2378"/>
      <c r="H77" s="2378"/>
      <c r="I77" s="2378"/>
      <c r="J77" s="2378"/>
      <c r="L77" s="1594" t="s">
        <v>4249</v>
      </c>
      <c r="M77" s="1595" t="s">
        <v>4250</v>
      </c>
      <c r="O77" s="131" t="s">
        <v>1820</v>
      </c>
      <c r="P77" s="2718"/>
      <c r="Q77" s="2719"/>
    </row>
    <row r="78" spans="1:295" ht="1.5" customHeight="1"/>
    <row r="79" spans="1:295" ht="12" customHeight="1">
      <c r="A79" s="141" t="s">
        <v>1935</v>
      </c>
      <c r="B79" s="2720" t="s">
        <v>4242</v>
      </c>
      <c r="C79" s="2720"/>
      <c r="D79" s="2720"/>
      <c r="E79" s="2720"/>
      <c r="F79" s="2720"/>
      <c r="G79" s="2720"/>
      <c r="H79" s="2720"/>
      <c r="I79" s="2720"/>
      <c r="J79" s="2720"/>
      <c r="K79" s="147"/>
      <c r="L79" s="429" t="s">
        <v>2806</v>
      </c>
      <c r="M79" s="1463">
        <v>2</v>
      </c>
      <c r="N79" s="389" t="s">
        <v>4698</v>
      </c>
      <c r="P79" s="2813" t="s">
        <v>7035</v>
      </c>
      <c r="Q79" s="2705"/>
    </row>
    <row r="80" spans="1:295" ht="12" customHeight="1">
      <c r="A80" s="141"/>
      <c r="B80" s="2720"/>
      <c r="C80" s="2720"/>
      <c r="D80" s="2720"/>
      <c r="E80" s="2720"/>
      <c r="F80" s="2720"/>
      <c r="G80" s="2720"/>
      <c r="H80" s="2720"/>
      <c r="I80" s="2720"/>
      <c r="J80" s="2720"/>
      <c r="K80" s="147"/>
      <c r="L80" s="429" t="s">
        <v>4248</v>
      </c>
      <c r="M80" s="1464">
        <v>4</v>
      </c>
      <c r="O80" s="142"/>
      <c r="P80" s="2814"/>
      <c r="Q80" s="2706"/>
    </row>
    <row r="81" spans="1:31" ht="12" customHeight="1">
      <c r="A81" s="47" t="s">
        <v>1937</v>
      </c>
      <c r="B81" s="389" t="s">
        <v>4251</v>
      </c>
      <c r="C81" s="389"/>
      <c r="D81" s="389"/>
      <c r="E81" s="389"/>
      <c r="F81" s="389"/>
      <c r="G81" s="389"/>
      <c r="H81" s="389"/>
      <c r="I81" s="389"/>
      <c r="J81" s="389"/>
      <c r="K81" s="563"/>
      <c r="L81" s="389"/>
      <c r="M81" s="147"/>
      <c r="N81" s="897"/>
      <c r="O81" s="897"/>
      <c r="P81" s="897"/>
    </row>
    <row r="82" spans="1:31" ht="12" customHeight="1">
      <c r="A82" s="1412"/>
      <c r="B82" s="1488" t="s">
        <v>1694</v>
      </c>
      <c r="C82" s="389" t="s">
        <v>4255</v>
      </c>
      <c r="D82" s="1414"/>
      <c r="E82" s="1414"/>
      <c r="F82" s="1414"/>
      <c r="G82" s="1414"/>
      <c r="H82" s="1414"/>
      <c r="I82" s="1414"/>
      <c r="J82" s="1414"/>
      <c r="K82" s="1413"/>
      <c r="L82" s="896"/>
      <c r="N82" s="389" t="s">
        <v>4699</v>
      </c>
      <c r="O82" s="897"/>
      <c r="P82" s="2256"/>
      <c r="Q82" s="518"/>
    </row>
    <row r="83" spans="1:31" ht="12" customHeight="1">
      <c r="A83" s="1412"/>
      <c r="B83" s="1488" t="s">
        <v>1695</v>
      </c>
      <c r="C83" s="389" t="s">
        <v>4252</v>
      </c>
      <c r="D83" s="1414"/>
      <c r="E83" s="1414"/>
      <c r="F83" s="1414"/>
      <c r="G83" s="1414"/>
      <c r="H83" s="1414"/>
      <c r="I83" s="1414"/>
      <c r="J83" s="1414"/>
      <c r="K83" s="1413"/>
      <c r="L83" s="896"/>
      <c r="N83" s="389" t="s">
        <v>4700</v>
      </c>
      <c r="O83" s="897"/>
      <c r="P83" s="2257" t="s">
        <v>7035</v>
      </c>
      <c r="Q83" s="519"/>
    </row>
    <row r="84" spans="1:31" ht="12" customHeight="1">
      <c r="A84" s="1411"/>
      <c r="B84" s="468" t="s">
        <v>1696</v>
      </c>
      <c r="C84" s="389" t="s">
        <v>4253</v>
      </c>
      <c r="E84" s="1414"/>
      <c r="F84" s="1414"/>
      <c r="G84" s="1414"/>
      <c r="H84" s="1414"/>
      <c r="I84" s="1414"/>
      <c r="J84" s="1414"/>
      <c r="K84" s="1413"/>
      <c r="L84" s="896"/>
      <c r="M84" s="897"/>
      <c r="N84" s="389" t="s">
        <v>4701</v>
      </c>
      <c r="O84" s="897"/>
      <c r="P84" s="2257" t="s">
        <v>7035</v>
      </c>
      <c r="Q84" s="519"/>
    </row>
    <row r="85" spans="1:31" ht="11.1" customHeight="1">
      <c r="A85" s="143"/>
      <c r="B85" s="468" t="s">
        <v>2304</v>
      </c>
      <c r="C85" s="468" t="s">
        <v>4256</v>
      </c>
      <c r="D85" s="133"/>
      <c r="E85" s="133"/>
      <c r="F85" s="133"/>
      <c r="G85" s="133"/>
      <c r="H85" s="133"/>
      <c r="I85" s="42"/>
      <c r="J85" s="42"/>
      <c r="N85" s="389" t="s">
        <v>4702</v>
      </c>
      <c r="O85" s="897"/>
      <c r="P85" s="2258"/>
      <c r="Q85" s="520"/>
    </row>
    <row r="86" spans="1:31" ht="11.1" customHeight="1">
      <c r="A86" s="143"/>
      <c r="B86" s="468"/>
      <c r="C86" s="389" t="s">
        <v>4257</v>
      </c>
      <c r="D86" s="133"/>
      <c r="E86" s="133"/>
      <c r="F86" s="133"/>
      <c r="G86" s="133"/>
      <c r="H86" s="133"/>
      <c r="I86" s="42"/>
      <c r="J86" s="42"/>
      <c r="L86" s="2698"/>
      <c r="M86" s="2699"/>
      <c r="N86" s="2699"/>
      <c r="O86" s="2699"/>
      <c r="P86" s="2699"/>
      <c r="Q86" s="2700"/>
    </row>
    <row r="87" spans="1:31" ht="11.25" customHeight="1">
      <c r="A87" s="143"/>
      <c r="B87" s="468" t="s">
        <v>1516</v>
      </c>
      <c r="C87" s="2720" t="s">
        <v>4254</v>
      </c>
      <c r="D87" s="2720"/>
      <c r="E87" s="2720"/>
      <c r="F87" s="2720"/>
      <c r="G87" s="2720"/>
      <c r="H87" s="2720"/>
      <c r="I87" s="2720"/>
      <c r="J87" s="2720"/>
      <c r="K87" s="2720"/>
      <c r="L87" s="2720"/>
      <c r="M87" s="515"/>
      <c r="N87" s="389" t="s">
        <v>4703</v>
      </c>
      <c r="O87" s="897"/>
      <c r="P87" s="2259" t="s">
        <v>7035</v>
      </c>
      <c r="Q87" s="517"/>
    </row>
    <row r="88" spans="1:31" ht="11.25" customHeight="1">
      <c r="A88" s="47"/>
      <c r="C88" s="2720"/>
      <c r="D88" s="2720"/>
      <c r="E88" s="2720"/>
      <c r="F88" s="2720"/>
      <c r="G88" s="2720"/>
      <c r="H88" s="2720"/>
      <c r="I88" s="2720"/>
      <c r="J88" s="2720"/>
      <c r="K88" s="2720"/>
      <c r="L88" s="2720"/>
      <c r="M88" s="515"/>
    </row>
    <row r="89" spans="1:31" ht="10.5" customHeight="1">
      <c r="B89" s="95" t="s">
        <v>3565</v>
      </c>
      <c r="D89" s="95"/>
      <c r="E89" s="95"/>
      <c r="F89" s="95"/>
      <c r="G89" s="95"/>
      <c r="H89" s="40"/>
      <c r="I89" s="2398"/>
      <c r="J89" s="2398"/>
      <c r="K89" s="136" t="s">
        <v>1819</v>
      </c>
      <c r="L89" s="2376"/>
      <c r="M89" s="2376"/>
      <c r="N89" s="2376"/>
      <c r="O89" s="2376"/>
      <c r="P89" s="2376"/>
      <c r="Q89" s="855"/>
    </row>
    <row r="90" spans="1:31" ht="23.25" customHeight="1">
      <c r="A90" s="2707" t="s">
        <v>7065</v>
      </c>
      <c r="B90" s="2708"/>
      <c r="C90" s="2708"/>
      <c r="D90" s="2708"/>
      <c r="E90" s="2708"/>
      <c r="F90" s="2708"/>
      <c r="G90" s="2708"/>
      <c r="H90" s="2708"/>
      <c r="I90" s="2708"/>
      <c r="J90" s="2709"/>
      <c r="K90" s="2701"/>
      <c r="L90" s="2702"/>
      <c r="M90" s="2702"/>
      <c r="N90" s="2702"/>
      <c r="O90" s="2702"/>
      <c r="P90" s="2702"/>
      <c r="Q90" s="2703"/>
      <c r="R90" s="440" t="s">
        <v>1228</v>
      </c>
      <c r="U90" s="135"/>
      <c r="V90" s="135"/>
      <c r="W90" s="135"/>
      <c r="X90" s="135"/>
      <c r="Y90" s="135"/>
      <c r="Z90" s="135"/>
      <c r="AA90" s="135"/>
      <c r="AB90" s="135"/>
      <c r="AC90" s="135"/>
      <c r="AD90" s="135"/>
      <c r="AE90" s="457"/>
    </row>
    <row r="91" spans="1:31" ht="3" customHeight="1">
      <c r="A91" s="2376"/>
      <c r="B91" s="2398"/>
      <c r="C91" s="2378"/>
      <c r="D91" s="2378"/>
      <c r="E91" s="2378"/>
      <c r="F91" s="2378"/>
      <c r="G91" s="2378"/>
      <c r="H91" s="2378"/>
      <c r="I91" s="2378"/>
      <c r="J91" s="2378"/>
      <c r="K91" s="2378"/>
      <c r="L91" s="2378"/>
      <c r="M91" s="2378"/>
      <c r="N91" s="2378"/>
      <c r="O91" s="2378"/>
      <c r="P91" s="2378"/>
      <c r="Q91" s="2376"/>
    </row>
    <row r="92" spans="1:31" ht="14.1" customHeight="1">
      <c r="A92" s="2371" t="s">
        <v>1750</v>
      </c>
      <c r="B92" s="2371" t="s">
        <v>4692</v>
      </c>
      <c r="C92" s="2371"/>
      <c r="D92" s="2378"/>
      <c r="E92" s="2378"/>
      <c r="F92" s="2378"/>
      <c r="G92" s="2378"/>
      <c r="H92" s="1627" t="str">
        <f>'Part I-Project Information'!$K$40</f>
        <v>Rural</v>
      </c>
      <c r="J92" s="47" t="s">
        <v>4697</v>
      </c>
      <c r="K92" s="587" t="str">
        <f>'Part I-Project Information'!$H$105</f>
        <v>Rural</v>
      </c>
      <c r="L92" s="63" t="s">
        <v>4308</v>
      </c>
      <c r="M92" s="1466" t="str">
        <f>'Part I-Project Information'!$H$82</f>
        <v>Family</v>
      </c>
      <c r="O92" s="131" t="s">
        <v>1820</v>
      </c>
      <c r="P92" s="2718"/>
      <c r="Q92" s="2719"/>
    </row>
    <row r="93" spans="1:31" ht="3" customHeight="1"/>
    <row r="94" spans="1:31" ht="10.5" customHeight="1">
      <c r="A94" s="47" t="s">
        <v>1935</v>
      </c>
      <c r="B94" s="39" t="s">
        <v>2395</v>
      </c>
      <c r="D94" s="133"/>
      <c r="E94" s="133"/>
      <c r="F94" s="133"/>
      <c r="G94" s="133"/>
      <c r="H94" s="133"/>
      <c r="I94" s="42"/>
      <c r="J94" s="42"/>
      <c r="K94" s="42"/>
      <c r="L94" s="455" t="s">
        <v>1935</v>
      </c>
      <c r="M94" s="2727" t="s">
        <v>7036</v>
      </c>
      <c r="N94" s="2788"/>
      <c r="O94" s="2788"/>
      <c r="P94" s="2789"/>
      <c r="Q94" s="518"/>
    </row>
    <row r="95" spans="1:31" ht="10.5" customHeight="1">
      <c r="A95" s="47" t="s">
        <v>1937</v>
      </c>
      <c r="B95" s="52" t="s">
        <v>4554</v>
      </c>
      <c r="D95" s="133"/>
      <c r="E95" s="133"/>
      <c r="F95" s="133"/>
      <c r="L95" s="455" t="s">
        <v>1937</v>
      </c>
      <c r="M95" s="2790" t="s">
        <v>7090</v>
      </c>
      <c r="N95" s="2791"/>
      <c r="O95" s="2791"/>
      <c r="P95" s="2792"/>
      <c r="Q95" s="519"/>
    </row>
    <row r="96" spans="1:31" ht="10.5" customHeight="1">
      <c r="A96" s="47" t="s">
        <v>731</v>
      </c>
      <c r="B96" s="52" t="s">
        <v>2777</v>
      </c>
      <c r="D96" s="133"/>
      <c r="E96" s="133"/>
      <c r="F96" s="133"/>
      <c r="L96" s="455" t="s">
        <v>731</v>
      </c>
      <c r="M96" s="2803">
        <v>0.98699999999999999</v>
      </c>
      <c r="N96" s="2804"/>
      <c r="O96" s="2804"/>
      <c r="P96" s="2805"/>
      <c r="Q96" s="519"/>
    </row>
    <row r="97" spans="1:32" ht="10.5" customHeight="1">
      <c r="A97" s="47" t="s">
        <v>2064</v>
      </c>
      <c r="B97" s="52" t="s">
        <v>3664</v>
      </c>
      <c r="D97" s="133"/>
      <c r="E97" s="133"/>
      <c r="F97" s="133"/>
      <c r="L97" s="455" t="s">
        <v>3665</v>
      </c>
      <c r="M97" s="2260">
        <v>0.126</v>
      </c>
      <c r="N97" s="1053"/>
      <c r="O97" s="1054" t="s">
        <v>3804</v>
      </c>
      <c r="P97" s="2261" t="s">
        <v>948</v>
      </c>
      <c r="Q97" s="520"/>
    </row>
    <row r="98" spans="1:32" ht="10.5" customHeight="1">
      <c r="A98" s="47" t="s">
        <v>1692</v>
      </c>
      <c r="B98" s="52" t="s">
        <v>4555</v>
      </c>
      <c r="D98" s="139"/>
      <c r="E98" s="139"/>
      <c r="F98" s="139"/>
      <c r="G98" s="139"/>
      <c r="H98" s="139"/>
      <c r="I98" s="139"/>
      <c r="J98" s="139"/>
      <c r="K98" s="139"/>
      <c r="L98" s="139"/>
      <c r="M98" s="139"/>
      <c r="N98" s="139"/>
      <c r="O98" s="139"/>
      <c r="P98" s="139"/>
      <c r="Q98" s="139"/>
    </row>
    <row r="99" spans="1:32" ht="10.5" customHeight="1">
      <c r="B99" s="47"/>
      <c r="C99" s="52"/>
      <c r="D99" s="2390" t="s">
        <v>2316</v>
      </c>
      <c r="E99" s="856" t="s">
        <v>599</v>
      </c>
      <c r="F99" s="856"/>
      <c r="H99" s="52"/>
      <c r="I99" s="2390" t="s">
        <v>2316</v>
      </c>
      <c r="J99" s="856" t="s">
        <v>599</v>
      </c>
      <c r="K99" s="856"/>
      <c r="M99" s="52"/>
      <c r="N99" s="2390" t="s">
        <v>2316</v>
      </c>
      <c r="O99" s="856" t="s">
        <v>599</v>
      </c>
      <c r="P99" s="856"/>
      <c r="Q99" s="455"/>
    </row>
    <row r="100" spans="1:32" ht="10.5" customHeight="1">
      <c r="C100" s="455" t="s">
        <v>1694</v>
      </c>
      <c r="D100" s="2262" t="s">
        <v>7091</v>
      </c>
      <c r="E100" s="2793" t="s">
        <v>7092</v>
      </c>
      <c r="F100" s="2793"/>
      <c r="G100" s="2793"/>
      <c r="H100" s="65" t="s">
        <v>1696</v>
      </c>
      <c r="I100" s="2262" t="s">
        <v>7095</v>
      </c>
      <c r="J100" s="2793" t="s">
        <v>7096</v>
      </c>
      <c r="K100" s="2793"/>
      <c r="L100" s="2793"/>
      <c r="M100" s="64" t="s">
        <v>1516</v>
      </c>
      <c r="N100" s="2262"/>
      <c r="O100" s="2793"/>
      <c r="P100" s="2793"/>
      <c r="Q100" s="2793"/>
    </row>
    <row r="101" spans="1:32" ht="10.5" customHeight="1">
      <c r="C101" s="65" t="s">
        <v>1695</v>
      </c>
      <c r="D101" s="2263" t="s">
        <v>7093</v>
      </c>
      <c r="E101" s="2815" t="s">
        <v>7094</v>
      </c>
      <c r="F101" s="2815"/>
      <c r="G101" s="2815"/>
      <c r="H101" s="455" t="s">
        <v>2304</v>
      </c>
      <c r="I101" s="2263"/>
      <c r="J101" s="2815"/>
      <c r="K101" s="2815"/>
      <c r="L101" s="2815"/>
      <c r="M101" s="64" t="s">
        <v>1517</v>
      </c>
      <c r="N101" s="2263"/>
      <c r="O101" s="2815"/>
      <c r="P101" s="2815"/>
      <c r="Q101" s="2815"/>
    </row>
    <row r="102" spans="1:32" ht="10.5" customHeight="1">
      <c r="A102" s="47" t="s">
        <v>1693</v>
      </c>
      <c r="B102" s="52" t="s">
        <v>0</v>
      </c>
      <c r="D102" s="133"/>
      <c r="E102" s="133"/>
      <c r="F102" s="133"/>
      <c r="G102" s="133"/>
      <c r="H102" s="133"/>
      <c r="I102" s="42"/>
      <c r="J102" s="42"/>
      <c r="K102" s="133"/>
      <c r="L102" s="2382"/>
      <c r="M102" s="2382"/>
      <c r="O102" s="455" t="s">
        <v>1693</v>
      </c>
      <c r="P102" s="2264" t="s">
        <v>2884</v>
      </c>
      <c r="Q102" s="1553"/>
    </row>
    <row r="103" spans="1:32" s="132" customFormat="1" ht="43.2" customHeight="1">
      <c r="A103" s="141" t="s">
        <v>1899</v>
      </c>
      <c r="B103" s="2710" t="s">
        <v>4789</v>
      </c>
      <c r="C103" s="2710"/>
      <c r="D103" s="2710"/>
      <c r="E103" s="2710"/>
      <c r="F103" s="2710"/>
      <c r="G103" s="2710"/>
      <c r="H103" s="2710"/>
      <c r="I103" s="2710"/>
      <c r="J103" s="2710"/>
      <c r="K103" s="2710"/>
      <c r="L103" s="2710"/>
      <c r="M103" s="2710"/>
      <c r="N103" s="2710"/>
      <c r="O103" s="1725" t="s">
        <v>4787</v>
      </c>
      <c r="P103" s="2381" t="s">
        <v>2884</v>
      </c>
      <c r="Q103" s="2380"/>
      <c r="AE103" s="458"/>
      <c r="AF103" s="458"/>
    </row>
    <row r="104" spans="1:32" s="42" customFormat="1" ht="10.5" customHeight="1">
      <c r="A104" s="47"/>
      <c r="B104" s="1488" t="s">
        <v>1695</v>
      </c>
      <c r="C104" s="52" t="s">
        <v>4788</v>
      </c>
      <c r="D104" s="133"/>
      <c r="E104" s="133"/>
      <c r="F104" s="133"/>
      <c r="G104" s="133"/>
      <c r="H104" s="133"/>
      <c r="K104" s="133"/>
      <c r="L104" s="2382"/>
      <c r="M104" s="2382"/>
      <c r="O104" s="455" t="s">
        <v>1695</v>
      </c>
      <c r="P104" s="2258"/>
      <c r="Q104" s="520"/>
      <c r="AE104" s="50"/>
      <c r="AF104" s="50"/>
    </row>
    <row r="105" spans="1:32" ht="9.75" customHeight="1">
      <c r="B105" s="140" t="s">
        <v>3565</v>
      </c>
      <c r="D105" s="140"/>
      <c r="E105" s="140"/>
      <c r="F105" s="140"/>
      <c r="G105" s="140"/>
      <c r="H105" s="40"/>
      <c r="I105" s="2398"/>
      <c r="J105" s="2398"/>
      <c r="K105" s="2398"/>
      <c r="L105" s="2376"/>
      <c r="M105" s="2376"/>
      <c r="N105" s="2376"/>
      <c r="O105" s="2376"/>
      <c r="P105" s="2376"/>
      <c r="Q105" s="855"/>
    </row>
    <row r="106" spans="1:32" ht="33" customHeight="1">
      <c r="A106" s="2707" t="s">
        <v>7097</v>
      </c>
      <c r="B106" s="2708"/>
      <c r="C106" s="2708"/>
      <c r="D106" s="2708"/>
      <c r="E106" s="2708"/>
      <c r="F106" s="2708"/>
      <c r="G106" s="2708"/>
      <c r="H106" s="2708"/>
      <c r="I106" s="2708"/>
      <c r="J106" s="2708"/>
      <c r="K106" s="2708"/>
      <c r="L106" s="2708"/>
      <c r="M106" s="2708"/>
      <c r="N106" s="2708"/>
      <c r="O106" s="2708"/>
      <c r="P106" s="2708"/>
      <c r="Q106" s="2709"/>
      <c r="U106" s="135"/>
      <c r="V106" s="135"/>
      <c r="W106" s="135"/>
      <c r="X106" s="135"/>
      <c r="Y106" s="135"/>
      <c r="Z106" s="135"/>
      <c r="AA106" s="135"/>
      <c r="AB106" s="135"/>
      <c r="AC106" s="135"/>
      <c r="AD106" s="135"/>
      <c r="AE106" s="457"/>
    </row>
    <row r="107" spans="1:32" ht="9.75" customHeight="1">
      <c r="B107" s="136" t="s">
        <v>1819</v>
      </c>
      <c r="C107" s="137"/>
      <c r="D107" s="2378"/>
      <c r="E107" s="2378"/>
      <c r="F107" s="2378"/>
      <c r="G107" s="2378"/>
      <c r="H107" s="2378"/>
      <c r="I107" s="2378"/>
      <c r="J107" s="2378"/>
      <c r="K107" s="2378"/>
      <c r="L107" s="2378"/>
      <c r="M107" s="2378"/>
      <c r="N107" s="2378"/>
      <c r="O107" s="2378"/>
      <c r="P107" s="2378"/>
      <c r="Q107" s="2378"/>
    </row>
    <row r="108" spans="1:32" ht="33" customHeight="1">
      <c r="A108" s="2701"/>
      <c r="B108" s="2702"/>
      <c r="C108" s="2702"/>
      <c r="D108" s="2702"/>
      <c r="E108" s="2702"/>
      <c r="F108" s="2702"/>
      <c r="G108" s="2702"/>
      <c r="H108" s="2702"/>
      <c r="I108" s="2702"/>
      <c r="J108" s="2702"/>
      <c r="K108" s="2702"/>
      <c r="L108" s="2702"/>
      <c r="M108" s="2702"/>
      <c r="N108" s="2702"/>
      <c r="O108" s="2702"/>
      <c r="P108" s="2702"/>
      <c r="Q108" s="2703"/>
    </row>
    <row r="109" spans="1:32" ht="14.1" customHeight="1">
      <c r="A109" s="2371" t="s">
        <v>516</v>
      </c>
      <c r="B109" s="2371" t="s">
        <v>2580</v>
      </c>
      <c r="C109" s="2371"/>
      <c r="D109" s="2378"/>
      <c r="E109" s="2378"/>
      <c r="F109" s="2378"/>
      <c r="G109" s="2378"/>
      <c r="H109" s="2378"/>
      <c r="I109" s="2378"/>
      <c r="J109" s="2378"/>
      <c r="K109" s="2378"/>
      <c r="L109" s="2378"/>
      <c r="M109" s="2378"/>
      <c r="O109" s="131" t="s">
        <v>1820</v>
      </c>
      <c r="P109" s="2718"/>
      <c r="Q109" s="2719"/>
    </row>
    <row r="110" spans="1:32" ht="3" customHeight="1"/>
    <row r="111" spans="1:32" ht="10.5" customHeight="1">
      <c r="A111" s="47" t="s">
        <v>1935</v>
      </c>
      <c r="B111" s="52" t="s">
        <v>4704</v>
      </c>
      <c r="C111" s="52"/>
      <c r="E111" s="52"/>
      <c r="F111" s="52"/>
      <c r="G111" s="52"/>
      <c r="H111" s="52"/>
      <c r="I111" s="52"/>
      <c r="J111" s="52"/>
      <c r="K111" s="52"/>
      <c r="L111" s="856"/>
      <c r="M111" s="856"/>
      <c r="O111" s="455" t="s">
        <v>1935</v>
      </c>
      <c r="P111" s="2259" t="s">
        <v>2887</v>
      </c>
      <c r="Q111" s="1553"/>
    </row>
    <row r="112" spans="1:32" ht="10.5" customHeight="1">
      <c r="B112" s="1488" t="s">
        <v>1694</v>
      </c>
      <c r="C112" s="39" t="s">
        <v>538</v>
      </c>
      <c r="E112" s="42"/>
      <c r="F112" s="42"/>
      <c r="G112" s="42"/>
      <c r="H112" s="42"/>
      <c r="I112" s="42"/>
      <c r="L112" s="65" t="s">
        <v>539</v>
      </c>
      <c r="M112" s="2698"/>
      <c r="N112" s="2699"/>
      <c r="O112" s="2699"/>
      <c r="P112" s="2767"/>
      <c r="Q112" s="519"/>
    </row>
    <row r="113" spans="1:32" s="42" customFormat="1" ht="9.75" customHeight="1">
      <c r="B113" s="145" t="s">
        <v>1695</v>
      </c>
      <c r="C113" s="36" t="s">
        <v>4373</v>
      </c>
      <c r="O113" s="65" t="s">
        <v>1695</v>
      </c>
      <c r="P113" s="2264"/>
      <c r="Q113" s="1553"/>
      <c r="AE113" s="50"/>
      <c r="AF113" s="50"/>
    </row>
    <row r="114" spans="1:32" s="42" customFormat="1" ht="9.75" customHeight="1">
      <c r="B114" s="1488" t="s">
        <v>1696</v>
      </c>
      <c r="C114" s="36" t="s">
        <v>4740</v>
      </c>
      <c r="O114" s="148" t="s">
        <v>1696</v>
      </c>
      <c r="P114" s="2265"/>
      <c r="Q114" s="1724"/>
      <c r="AE114" s="50"/>
      <c r="AF114" s="50"/>
    </row>
    <row r="115" spans="1:32" ht="10.5" customHeight="1">
      <c r="A115" s="2398"/>
      <c r="B115" s="468" t="s">
        <v>2304</v>
      </c>
      <c r="C115" s="856" t="s">
        <v>4258</v>
      </c>
      <c r="D115" s="984"/>
      <c r="E115" s="984"/>
      <c r="F115" s="984"/>
      <c r="G115" s="984"/>
      <c r="H115" s="984"/>
      <c r="I115" s="984"/>
      <c r="J115" s="984"/>
      <c r="K115" s="984"/>
      <c r="L115" s="984"/>
      <c r="M115" s="984"/>
      <c r="O115" s="160" t="s">
        <v>2304</v>
      </c>
      <c r="P115" s="2266"/>
      <c r="Q115" s="519"/>
    </row>
    <row r="116" spans="1:32" ht="10.5" customHeight="1">
      <c r="A116" s="2398"/>
      <c r="B116" s="468" t="s">
        <v>1516</v>
      </c>
      <c r="C116" s="856" t="s">
        <v>3351</v>
      </c>
      <c r="D116" s="984"/>
      <c r="E116" s="984"/>
      <c r="F116" s="984"/>
      <c r="G116" s="984"/>
      <c r="H116" s="984"/>
      <c r="I116" s="984"/>
      <c r="J116" s="984"/>
      <c r="K116" s="984"/>
      <c r="L116" s="984"/>
      <c r="M116" s="984"/>
      <c r="O116" s="160" t="s">
        <v>1516</v>
      </c>
      <c r="P116" s="2257"/>
      <c r="Q116" s="519"/>
    </row>
    <row r="117" spans="1:32" ht="10.5" customHeight="1">
      <c r="A117" s="2398"/>
      <c r="B117" s="468" t="s">
        <v>1517</v>
      </c>
      <c r="C117" s="856" t="s">
        <v>3352</v>
      </c>
      <c r="D117" s="984"/>
      <c r="E117" s="984"/>
      <c r="F117" s="984"/>
      <c r="G117" s="984"/>
      <c r="H117" s="984"/>
      <c r="I117" s="984"/>
      <c r="J117" s="984"/>
      <c r="K117" s="984"/>
      <c r="L117" s="984"/>
      <c r="M117" s="984"/>
      <c r="O117" s="160" t="s">
        <v>1517</v>
      </c>
      <c r="P117" s="2257"/>
      <c r="Q117" s="519"/>
    </row>
    <row r="118" spans="1:32" ht="10.5" customHeight="1">
      <c r="A118" s="2398"/>
      <c r="B118" s="468" t="s">
        <v>96</v>
      </c>
      <c r="C118" s="856" t="s">
        <v>2778</v>
      </c>
      <c r="D118" s="856"/>
      <c r="E118" s="856"/>
      <c r="F118" s="856"/>
      <c r="G118" s="856"/>
      <c r="H118" s="856"/>
      <c r="I118" s="856"/>
      <c r="J118" s="856"/>
      <c r="K118" s="856"/>
      <c r="L118" s="856"/>
      <c r="M118" s="1106"/>
      <c r="O118" s="160" t="s">
        <v>96</v>
      </c>
      <c r="P118" s="2257"/>
      <c r="Q118" s="519"/>
    </row>
    <row r="119" spans="1:32" s="132" customFormat="1" ht="20.399999999999999" customHeight="1">
      <c r="A119" s="429"/>
      <c r="B119" s="468" t="s">
        <v>500</v>
      </c>
      <c r="C119" s="2710" t="s">
        <v>4557</v>
      </c>
      <c r="D119" s="2710"/>
      <c r="E119" s="2710"/>
      <c r="F119" s="2710"/>
      <c r="G119" s="2710"/>
      <c r="H119" s="2710"/>
      <c r="I119" s="2710"/>
      <c r="J119" s="2710"/>
      <c r="K119" s="2710"/>
      <c r="L119" s="2710"/>
      <c r="M119" s="2710"/>
      <c r="N119" s="2710"/>
      <c r="O119" s="160" t="s">
        <v>500</v>
      </c>
      <c r="P119" s="2389"/>
      <c r="Q119" s="2253"/>
      <c r="AE119" s="458"/>
      <c r="AF119" s="458"/>
    </row>
    <row r="120" spans="1:32" ht="10.5" customHeight="1">
      <c r="A120" s="47" t="s">
        <v>1937</v>
      </c>
      <c r="B120" s="52" t="s">
        <v>4556</v>
      </c>
      <c r="C120" s="52"/>
      <c r="E120" s="52"/>
      <c r="F120" s="52"/>
      <c r="G120" s="52"/>
      <c r="H120" s="52"/>
      <c r="I120" s="52"/>
      <c r="J120" s="52"/>
      <c r="K120" s="52"/>
      <c r="L120" s="52"/>
      <c r="M120" s="52"/>
      <c r="O120" s="455" t="s">
        <v>1937</v>
      </c>
      <c r="P120" s="2264" t="s">
        <v>2887</v>
      </c>
      <c r="Q120" s="1553"/>
    </row>
    <row r="121" spans="1:32" ht="10.5" customHeight="1">
      <c r="B121" s="1488" t="s">
        <v>1694</v>
      </c>
      <c r="C121" s="52" t="s">
        <v>4796</v>
      </c>
      <c r="D121" s="52"/>
      <c r="E121" s="52"/>
      <c r="F121" s="52"/>
      <c r="G121" s="52"/>
      <c r="H121" s="52"/>
      <c r="I121" s="52"/>
      <c r="J121" s="52"/>
      <c r="K121" s="52"/>
      <c r="L121" s="52"/>
      <c r="M121" s="52"/>
      <c r="O121" s="148" t="s">
        <v>1694</v>
      </c>
      <c r="P121" s="2264"/>
      <c r="Q121" s="1553"/>
    </row>
    <row r="122" spans="1:32" ht="10.5" customHeight="1">
      <c r="A122" s="47"/>
      <c r="B122" s="145" t="s">
        <v>1695</v>
      </c>
      <c r="C122" s="52" t="s">
        <v>4795</v>
      </c>
      <c r="D122" s="52"/>
      <c r="E122" s="52"/>
      <c r="F122" s="52"/>
      <c r="G122" s="52"/>
      <c r="H122" s="52"/>
      <c r="I122" s="52"/>
      <c r="J122" s="52"/>
      <c r="K122" s="52"/>
      <c r="L122" s="52"/>
      <c r="M122" s="52"/>
      <c r="O122" s="65" t="s">
        <v>1695</v>
      </c>
      <c r="P122" s="2387"/>
      <c r="Q122" s="2393"/>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2887</v>
      </c>
      <c r="Q124" s="518"/>
    </row>
    <row r="125" spans="1:32" ht="10.5" customHeight="1">
      <c r="B125" s="145" t="s">
        <v>1695</v>
      </c>
      <c r="C125" s="52" t="s">
        <v>1402</v>
      </c>
      <c r="E125" s="52"/>
      <c r="F125" s="52"/>
      <c r="G125" s="52"/>
      <c r="H125" s="52"/>
      <c r="I125" s="52"/>
      <c r="J125" s="52"/>
      <c r="K125" s="52"/>
      <c r="L125" s="856"/>
      <c r="M125" s="856"/>
      <c r="O125" s="65" t="s">
        <v>1695</v>
      </c>
      <c r="P125" s="2257" t="s">
        <v>2887</v>
      </c>
      <c r="Q125" s="519"/>
    </row>
    <row r="126" spans="1:32" ht="10.5" customHeight="1">
      <c r="B126" s="145" t="s">
        <v>1696</v>
      </c>
      <c r="C126" s="52" t="s">
        <v>1403</v>
      </c>
      <c r="E126" s="52"/>
      <c r="F126" s="52"/>
      <c r="G126" s="52"/>
      <c r="H126" s="52"/>
      <c r="I126" s="52"/>
      <c r="J126" s="52"/>
      <c r="K126" s="52"/>
      <c r="L126" s="856"/>
      <c r="M126" s="856"/>
      <c r="O126" s="65" t="s">
        <v>1696</v>
      </c>
      <c r="P126" s="2258" t="s">
        <v>2887</v>
      </c>
      <c r="Q126" s="520"/>
    </row>
    <row r="127" spans="1:32" ht="10.5" customHeight="1">
      <c r="B127" s="140" t="s">
        <v>3565</v>
      </c>
      <c r="D127" s="140"/>
      <c r="E127" s="140"/>
      <c r="F127" s="140"/>
      <c r="G127" s="140"/>
      <c r="H127" s="40"/>
      <c r="I127" s="2398"/>
      <c r="J127" s="2398"/>
      <c r="K127" s="2398"/>
      <c r="L127" s="2376"/>
      <c r="M127" s="2376"/>
      <c r="N127" s="2376"/>
      <c r="O127" s="2376"/>
      <c r="P127" s="2376"/>
      <c r="Q127" s="855"/>
    </row>
    <row r="128" spans="1:32" ht="22.5" customHeight="1">
      <c r="A128" s="2707" t="s">
        <v>7037</v>
      </c>
      <c r="B128" s="2708"/>
      <c r="C128" s="2708"/>
      <c r="D128" s="2708"/>
      <c r="E128" s="2708"/>
      <c r="F128" s="2708"/>
      <c r="G128" s="2708"/>
      <c r="H128" s="2708"/>
      <c r="I128" s="2708"/>
      <c r="J128" s="2708"/>
      <c r="K128" s="2708"/>
      <c r="L128" s="2708"/>
      <c r="M128" s="2708"/>
      <c r="N128" s="2708"/>
      <c r="O128" s="2708"/>
      <c r="P128" s="2708"/>
      <c r="Q128" s="2709"/>
      <c r="U128" s="135"/>
      <c r="V128" s="135"/>
      <c r="W128" s="135"/>
      <c r="X128" s="135"/>
      <c r="Y128" s="135"/>
      <c r="Z128" s="135"/>
      <c r="AA128" s="135"/>
      <c r="AB128" s="135"/>
      <c r="AC128" s="135"/>
      <c r="AD128" s="135"/>
      <c r="AE128" s="457"/>
    </row>
    <row r="129" spans="1:17" ht="11.25" customHeight="1">
      <c r="B129" s="136" t="s">
        <v>1819</v>
      </c>
      <c r="C129" s="137"/>
      <c r="D129" s="2378"/>
      <c r="E129" s="2378"/>
      <c r="F129" s="2378"/>
      <c r="G129" s="2378"/>
      <c r="H129" s="2378"/>
      <c r="I129" s="2378"/>
      <c r="J129" s="2378"/>
      <c r="K129" s="2378"/>
      <c r="L129" s="2378"/>
      <c r="M129" s="2378"/>
      <c r="N129" s="2378"/>
      <c r="O129" s="2378"/>
      <c r="P129" s="2378"/>
      <c r="Q129" s="2378"/>
    </row>
    <row r="130" spans="1:17" ht="22.5" customHeight="1">
      <c r="A130" s="2701"/>
      <c r="B130" s="2702"/>
      <c r="C130" s="2702"/>
      <c r="D130" s="2702"/>
      <c r="E130" s="2702"/>
      <c r="F130" s="2702"/>
      <c r="G130" s="2702"/>
      <c r="H130" s="2702"/>
      <c r="I130" s="2702"/>
      <c r="J130" s="2702"/>
      <c r="K130" s="2702"/>
      <c r="L130" s="2702"/>
      <c r="M130" s="2702"/>
      <c r="N130" s="2702"/>
      <c r="O130" s="2702"/>
      <c r="P130" s="2702"/>
      <c r="Q130" s="2703"/>
    </row>
    <row r="131" spans="1:17" ht="14.1" customHeight="1">
      <c r="A131" s="2371" t="s">
        <v>754</v>
      </c>
      <c r="B131" s="2371" t="s">
        <v>2581</v>
      </c>
      <c r="C131" s="40"/>
      <c r="D131" s="2378"/>
      <c r="E131" s="2378"/>
      <c r="F131" s="2378"/>
      <c r="G131" s="2378"/>
      <c r="H131" s="2378"/>
      <c r="I131" s="2378"/>
      <c r="J131" s="2378"/>
      <c r="K131" s="2378"/>
      <c r="L131" s="2378"/>
      <c r="M131" s="2378"/>
      <c r="O131" s="131" t="s">
        <v>1820</v>
      </c>
      <c r="P131" s="2718"/>
      <c r="Q131" s="2719"/>
    </row>
    <row r="132" spans="1:17" ht="6.6" customHeight="1"/>
    <row r="133" spans="1:17" ht="12" customHeight="1">
      <c r="A133" s="47" t="s">
        <v>1935</v>
      </c>
      <c r="B133" s="52" t="s">
        <v>3469</v>
      </c>
      <c r="D133" s="133"/>
      <c r="E133" s="133"/>
      <c r="F133" s="133"/>
      <c r="G133" s="133"/>
      <c r="H133" s="133"/>
      <c r="I133" s="42"/>
      <c r="J133" s="42"/>
      <c r="K133" s="455" t="s">
        <v>1935</v>
      </c>
      <c r="L133" s="2704" t="s">
        <v>7038</v>
      </c>
      <c r="M133" s="2704"/>
      <c r="N133" s="2704"/>
      <c r="O133" s="2704"/>
      <c r="P133" s="2704"/>
      <c r="Q133" s="517"/>
    </row>
    <row r="134" spans="1:17" ht="12" customHeight="1">
      <c r="A134" s="47" t="s">
        <v>1937</v>
      </c>
      <c r="B134" s="52" t="s">
        <v>1505</v>
      </c>
      <c r="D134" s="133"/>
      <c r="E134" s="133"/>
      <c r="F134" s="133"/>
      <c r="G134" s="133"/>
      <c r="H134" s="133"/>
      <c r="I134" s="42"/>
      <c r="J134" s="42"/>
      <c r="K134" s="133"/>
      <c r="L134" s="2382"/>
      <c r="O134" s="455" t="s">
        <v>1937</v>
      </c>
      <c r="P134" s="2266" t="s">
        <v>2887</v>
      </c>
      <c r="Q134" s="898"/>
    </row>
    <row r="135" spans="1:17" ht="12" customHeight="1">
      <c r="A135" s="47" t="s">
        <v>731</v>
      </c>
      <c r="B135" s="52" t="s">
        <v>147</v>
      </c>
      <c r="D135" s="133"/>
      <c r="E135" s="133"/>
      <c r="F135" s="133"/>
      <c r="G135" s="133"/>
      <c r="H135" s="133"/>
      <c r="I135" s="42"/>
      <c r="J135" s="42"/>
      <c r="K135" s="2382"/>
      <c r="L135" s="2382"/>
      <c r="O135" s="455" t="s">
        <v>731</v>
      </c>
      <c r="P135" s="2258" t="s">
        <v>2884</v>
      </c>
      <c r="Q135" s="862"/>
    </row>
    <row r="136" spans="1:17" ht="12" customHeight="1">
      <c r="A136" s="47"/>
      <c r="B136" s="856" t="s">
        <v>1694</v>
      </c>
      <c r="C136" s="52" t="s">
        <v>2610</v>
      </c>
      <c r="E136" s="133"/>
      <c r="F136" s="133"/>
      <c r="G136" s="133"/>
      <c r="H136" s="133"/>
      <c r="I136" s="42"/>
      <c r="J136" s="42"/>
      <c r="K136" s="65" t="s">
        <v>1694</v>
      </c>
      <c r="L136" s="2704" t="s">
        <v>7038</v>
      </c>
      <c r="M136" s="2704"/>
      <c r="N136" s="2704"/>
      <c r="O136" s="2704"/>
      <c r="P136" s="2704"/>
      <c r="Q136" s="517"/>
    </row>
    <row r="137" spans="1:17" ht="12" customHeight="1">
      <c r="A137" s="138"/>
      <c r="B137" s="145" t="s">
        <v>1695</v>
      </c>
      <c r="C137" s="36" t="s">
        <v>3353</v>
      </c>
      <c r="E137" s="42"/>
      <c r="F137" s="42"/>
      <c r="G137" s="42"/>
      <c r="H137" s="52"/>
      <c r="I137" s="42"/>
      <c r="J137" s="42"/>
      <c r="K137" s="133"/>
      <c r="L137" s="2382"/>
      <c r="M137" s="2382"/>
      <c r="O137" s="455" t="s">
        <v>1695</v>
      </c>
      <c r="P137" s="2264" t="s">
        <v>7099</v>
      </c>
      <c r="Q137" s="1553"/>
    </row>
    <row r="138" spans="1:17" ht="12" customHeight="1">
      <c r="A138" s="138"/>
      <c r="B138" s="40" t="s">
        <v>1696</v>
      </c>
      <c r="C138" s="36" t="s">
        <v>4243</v>
      </c>
      <c r="D138" s="147"/>
      <c r="E138" s="42"/>
      <c r="F138" s="42"/>
      <c r="G138" s="42"/>
      <c r="H138" s="52"/>
      <c r="I138" s="42"/>
      <c r="J138" s="42"/>
      <c r="K138" s="133"/>
      <c r="L138" s="2382"/>
      <c r="M138" s="2382"/>
      <c r="O138" s="455" t="s">
        <v>1696</v>
      </c>
      <c r="P138" s="2258"/>
      <c r="Q138" s="520"/>
    </row>
    <row r="139" spans="1:17" ht="12" customHeight="1">
      <c r="A139" s="47" t="s">
        <v>2064</v>
      </c>
      <c r="B139" s="52" t="s">
        <v>1234</v>
      </c>
      <c r="D139" s="133"/>
      <c r="E139" s="133"/>
      <c r="F139" s="133"/>
      <c r="G139" s="133"/>
      <c r="H139" s="133"/>
      <c r="I139" s="42"/>
      <c r="J139" s="42"/>
      <c r="K139" s="133"/>
      <c r="L139" s="2382"/>
      <c r="M139" s="2382"/>
      <c r="N139" s="2382"/>
      <c r="O139" s="455" t="s">
        <v>2064</v>
      </c>
    </row>
    <row r="140" spans="1:17" ht="12" customHeight="1">
      <c r="A140" s="47"/>
      <c r="B140" s="145" t="s">
        <v>1694</v>
      </c>
      <c r="C140" s="52" t="s">
        <v>145</v>
      </c>
      <c r="E140" s="133"/>
      <c r="F140" s="133"/>
      <c r="G140" s="133"/>
      <c r="H140" s="133"/>
      <c r="I140" s="42"/>
      <c r="J140" s="42"/>
      <c r="K140" s="133"/>
      <c r="L140" s="2382"/>
      <c r="M140" s="2382"/>
      <c r="O140" s="65" t="s">
        <v>1694</v>
      </c>
      <c r="P140" s="2256" t="s">
        <v>2887</v>
      </c>
      <c r="Q140" s="518"/>
    </row>
    <row r="141" spans="1:17" ht="12" customHeight="1">
      <c r="A141" s="47"/>
      <c r="B141" s="145" t="s">
        <v>1695</v>
      </c>
      <c r="C141" s="52" t="s">
        <v>1235</v>
      </c>
      <c r="E141" s="133"/>
      <c r="F141" s="133"/>
      <c r="G141" s="133"/>
      <c r="H141" s="42"/>
      <c r="I141" s="42"/>
      <c r="J141" s="42"/>
      <c r="K141" s="133"/>
      <c r="L141" s="2382"/>
      <c r="M141" s="2382"/>
      <c r="O141" s="65" t="s">
        <v>1695</v>
      </c>
      <c r="P141" s="2257" t="s">
        <v>2887</v>
      </c>
      <c r="Q141" s="519"/>
    </row>
    <row r="142" spans="1:17" ht="12" customHeight="1">
      <c r="A142" s="47"/>
      <c r="B142" s="145"/>
      <c r="C142" s="52" t="s">
        <v>2561</v>
      </c>
      <c r="E142" s="455" t="s">
        <v>2371</v>
      </c>
      <c r="F142" s="52" t="s">
        <v>2562</v>
      </c>
      <c r="G142" s="42"/>
      <c r="H142" s="52"/>
      <c r="I142" s="42"/>
      <c r="J142" s="42"/>
      <c r="K142" s="133"/>
      <c r="L142" s="2382"/>
      <c r="M142" s="2382"/>
      <c r="O142" s="455" t="s">
        <v>2371</v>
      </c>
      <c r="P142" s="2267"/>
      <c r="Q142" s="828"/>
    </row>
    <row r="143" spans="1:17" ht="12" customHeight="1">
      <c r="A143" s="47"/>
      <c r="B143" s="145"/>
      <c r="E143" s="455" t="s">
        <v>2372</v>
      </c>
      <c r="F143" s="52" t="s">
        <v>2563</v>
      </c>
      <c r="G143" s="42"/>
      <c r="H143" s="52"/>
      <c r="I143" s="42"/>
      <c r="J143" s="42"/>
      <c r="K143" s="133"/>
      <c r="L143" s="2382"/>
      <c r="M143" s="2382"/>
      <c r="O143" s="455" t="s">
        <v>2372</v>
      </c>
      <c r="P143" s="2257"/>
      <c r="Q143" s="519"/>
    </row>
    <row r="144" spans="1:17" ht="12" customHeight="1">
      <c r="A144" s="47"/>
      <c r="B144" s="145"/>
      <c r="E144" s="455" t="s">
        <v>2373</v>
      </c>
      <c r="F144" s="52" t="s">
        <v>2564</v>
      </c>
      <c r="G144" s="42"/>
      <c r="H144" s="52"/>
      <c r="I144" s="42"/>
      <c r="J144" s="42"/>
      <c r="K144" s="133"/>
      <c r="L144" s="2382"/>
      <c r="M144" s="2382"/>
      <c r="O144" s="455" t="s">
        <v>2373</v>
      </c>
      <c r="P144" s="2257"/>
      <c r="Q144" s="519"/>
    </row>
    <row r="145" spans="1:17" ht="12" customHeight="1">
      <c r="A145" s="47"/>
      <c r="B145" s="145" t="s">
        <v>1696</v>
      </c>
      <c r="C145" s="52" t="s">
        <v>1236</v>
      </c>
      <c r="E145" s="133"/>
      <c r="F145" s="133"/>
      <c r="G145" s="133"/>
      <c r="H145" s="52"/>
      <c r="I145" s="42"/>
      <c r="J145" s="42"/>
      <c r="K145" s="133"/>
      <c r="L145" s="2382"/>
      <c r="M145" s="2382"/>
      <c r="O145" s="65" t="s">
        <v>1696</v>
      </c>
      <c r="P145" s="2257" t="s">
        <v>2887</v>
      </c>
      <c r="Q145" s="519"/>
    </row>
    <row r="146" spans="1:17" ht="12" customHeight="1">
      <c r="A146" s="47"/>
      <c r="B146" s="65"/>
      <c r="C146" s="52" t="s">
        <v>2561</v>
      </c>
      <c r="E146" s="455" t="s">
        <v>2371</v>
      </c>
      <c r="F146" s="52" t="s">
        <v>2565</v>
      </c>
      <c r="G146" s="42"/>
      <c r="H146" s="52"/>
      <c r="I146" s="42"/>
      <c r="J146" s="42"/>
      <c r="K146" s="133"/>
      <c r="L146" s="2382"/>
      <c r="O146" s="455" t="s">
        <v>2371</v>
      </c>
      <c r="P146" s="2267"/>
      <c r="Q146" s="828"/>
    </row>
    <row r="147" spans="1:17" ht="12" customHeight="1">
      <c r="A147" s="47"/>
      <c r="B147" s="65"/>
      <c r="E147" s="455" t="s">
        <v>2372</v>
      </c>
      <c r="F147" s="52" t="s">
        <v>2566</v>
      </c>
      <c r="G147" s="42"/>
      <c r="H147" s="52"/>
      <c r="I147" s="42"/>
      <c r="J147" s="42"/>
      <c r="O147" s="455" t="s">
        <v>2372</v>
      </c>
      <c r="P147" s="2257"/>
      <c r="Q147" s="519"/>
    </row>
    <row r="148" spans="1:17" ht="12" customHeight="1">
      <c r="A148" s="47"/>
      <c r="B148" s="65"/>
      <c r="E148" s="455" t="s">
        <v>2373</v>
      </c>
      <c r="F148" s="52" t="s">
        <v>2564</v>
      </c>
      <c r="G148" s="42"/>
      <c r="H148" s="52"/>
      <c r="I148" s="42"/>
      <c r="J148" s="42"/>
      <c r="O148" s="455" t="s">
        <v>2373</v>
      </c>
      <c r="P148" s="2258"/>
      <c r="Q148" s="520"/>
    </row>
    <row r="149" spans="1:17" ht="12" customHeight="1">
      <c r="A149" s="47" t="s">
        <v>1692</v>
      </c>
      <c r="B149" s="145" t="s">
        <v>2351</v>
      </c>
      <c r="D149" s="133"/>
      <c r="E149" s="133"/>
      <c r="F149" s="133"/>
      <c r="G149" s="133"/>
      <c r="H149" s="133"/>
      <c r="I149" s="42"/>
      <c r="J149" s="42"/>
      <c r="K149" s="133"/>
      <c r="L149" s="2382"/>
      <c r="M149" s="2382"/>
      <c r="N149" s="2382"/>
      <c r="O149" s="2382"/>
      <c r="P149" s="2382"/>
      <c r="Q149" s="2382"/>
    </row>
    <row r="150" spans="1:17" ht="12" customHeight="1">
      <c r="B150" s="145" t="s">
        <v>1694</v>
      </c>
      <c r="C150" s="52" t="s">
        <v>2429</v>
      </c>
      <c r="E150" s="133"/>
      <c r="F150" s="2256" t="s">
        <v>2887</v>
      </c>
      <c r="G150" s="518"/>
      <c r="H150" s="455" t="s">
        <v>4404</v>
      </c>
      <c r="I150" s="55" t="s">
        <v>2568</v>
      </c>
      <c r="L150" s="2256" t="s">
        <v>2887</v>
      </c>
      <c r="M150" s="518"/>
      <c r="N150" s="455" t="s">
        <v>4408</v>
      </c>
      <c r="O150" s="52" t="s">
        <v>1519</v>
      </c>
      <c r="P150" s="2256" t="s">
        <v>2887</v>
      </c>
      <c r="Q150" s="518"/>
    </row>
    <row r="151" spans="1:17" ht="12" customHeight="1">
      <c r="A151" s="36"/>
      <c r="B151" s="145" t="s">
        <v>1695</v>
      </c>
      <c r="C151" s="52" t="s">
        <v>2709</v>
      </c>
      <c r="E151" s="133"/>
      <c r="F151" s="2257" t="s">
        <v>2887</v>
      </c>
      <c r="G151" s="519"/>
      <c r="H151" s="455" t="s">
        <v>4405</v>
      </c>
      <c r="I151" s="55" t="s">
        <v>2569</v>
      </c>
      <c r="L151" s="2257" t="s">
        <v>2887</v>
      </c>
      <c r="M151" s="519"/>
      <c r="N151" s="455" t="s">
        <v>4409</v>
      </c>
      <c r="O151" s="52" t="s">
        <v>1518</v>
      </c>
      <c r="P151" s="2257" t="s">
        <v>2887</v>
      </c>
      <c r="Q151" s="519"/>
    </row>
    <row r="152" spans="1:17" ht="12" customHeight="1">
      <c r="A152" s="36"/>
      <c r="B152" s="145" t="s">
        <v>1696</v>
      </c>
      <c r="C152" s="52" t="s">
        <v>2567</v>
      </c>
      <c r="E152" s="133"/>
      <c r="F152" s="2257" t="s">
        <v>2887</v>
      </c>
      <c r="G152" s="519"/>
      <c r="H152" s="455" t="s">
        <v>4406</v>
      </c>
      <c r="I152" s="55" t="s">
        <v>3630</v>
      </c>
      <c r="L152" s="2257" t="s">
        <v>2887</v>
      </c>
      <c r="M152" s="519"/>
      <c r="N152" s="455" t="s">
        <v>4410</v>
      </c>
      <c r="O152" s="52" t="s">
        <v>1520</v>
      </c>
      <c r="P152" s="2258" t="s">
        <v>2887</v>
      </c>
      <c r="Q152" s="520"/>
    </row>
    <row r="153" spans="1:17" ht="12" customHeight="1">
      <c r="A153" s="36"/>
      <c r="B153" s="145" t="s">
        <v>2304</v>
      </c>
      <c r="C153" s="52" t="s">
        <v>2711</v>
      </c>
      <c r="E153" s="133"/>
      <c r="F153" s="2258" t="s">
        <v>2887</v>
      </c>
      <c r="G153" s="520"/>
      <c r="H153" s="455" t="s">
        <v>4407</v>
      </c>
      <c r="I153" s="52" t="s">
        <v>2708</v>
      </c>
      <c r="L153" s="2258" t="s">
        <v>2887</v>
      </c>
      <c r="M153" s="520"/>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2806" t="s">
        <v>948</v>
      </c>
      <c r="D155" s="2806"/>
      <c r="E155" s="2806"/>
      <c r="F155" s="2806"/>
      <c r="G155" s="2806"/>
      <c r="H155" s="2806"/>
      <c r="I155" s="2806"/>
      <c r="J155" s="2806"/>
      <c r="K155" s="2806"/>
      <c r="L155" s="2806"/>
      <c r="M155" s="2806"/>
      <c r="N155" s="2806"/>
      <c r="O155" s="2806"/>
      <c r="P155" s="2806"/>
      <c r="Q155" s="2806"/>
    </row>
    <row r="156" spans="1:17" ht="12" customHeight="1">
      <c r="A156" s="47" t="s">
        <v>1693</v>
      </c>
      <c r="B156" s="52" t="s">
        <v>3436</v>
      </c>
      <c r="D156" s="133"/>
      <c r="E156" s="133"/>
      <c r="F156" s="133"/>
      <c r="G156" s="133"/>
      <c r="H156" s="133"/>
      <c r="I156" s="42"/>
      <c r="J156" s="42"/>
      <c r="K156" s="133"/>
      <c r="L156" s="133"/>
      <c r="M156" s="2382"/>
    </row>
    <row r="157" spans="1:17" ht="12" customHeight="1">
      <c r="A157" s="42"/>
      <c r="B157" s="145" t="s">
        <v>1694</v>
      </c>
      <c r="C157" s="52" t="s">
        <v>2712</v>
      </c>
      <c r="E157" s="133"/>
      <c r="F157" s="133"/>
      <c r="G157" s="133"/>
      <c r="H157" s="133"/>
      <c r="O157" s="65" t="s">
        <v>1694</v>
      </c>
      <c r="P157" s="2256"/>
      <c r="Q157" s="518"/>
    </row>
    <row r="158" spans="1:17" ht="12" customHeight="1">
      <c r="A158" s="2398"/>
      <c r="B158" s="145" t="s">
        <v>1695</v>
      </c>
      <c r="C158" s="52" t="s">
        <v>480</v>
      </c>
      <c r="E158" s="52"/>
      <c r="F158" s="52"/>
      <c r="G158" s="52"/>
      <c r="H158" s="52"/>
      <c r="I158" s="42"/>
      <c r="J158" s="42"/>
      <c r="K158" s="52"/>
      <c r="L158" s="52"/>
      <c r="M158" s="52"/>
      <c r="O158" s="65" t="s">
        <v>1695</v>
      </c>
      <c r="P158" s="2257"/>
      <c r="Q158" s="519"/>
    </row>
    <row r="159" spans="1:17" ht="12" customHeight="1">
      <c r="A159" s="2398"/>
      <c r="B159" s="145" t="s">
        <v>1696</v>
      </c>
      <c r="C159" s="52" t="s">
        <v>663</v>
      </c>
      <c r="E159" s="52"/>
      <c r="F159" s="52"/>
      <c r="G159" s="52"/>
      <c r="H159" s="52"/>
      <c r="I159" s="42"/>
      <c r="J159" s="42"/>
      <c r="K159" s="52"/>
      <c r="L159" s="52"/>
      <c r="M159" s="52"/>
      <c r="O159" s="65" t="s">
        <v>1696</v>
      </c>
      <c r="P159" s="2257"/>
      <c r="Q159" s="519"/>
    </row>
    <row r="160" spans="1:17" ht="12" customHeight="1">
      <c r="A160" s="2398"/>
      <c r="B160" s="40" t="s">
        <v>2304</v>
      </c>
      <c r="C160" s="52" t="s">
        <v>4390</v>
      </c>
      <c r="E160" s="52"/>
      <c r="F160" s="52"/>
      <c r="G160" s="52"/>
      <c r="H160" s="52"/>
      <c r="I160" s="42"/>
      <c r="J160" s="42"/>
      <c r="K160" s="52"/>
      <c r="L160" s="52"/>
      <c r="M160" s="52"/>
      <c r="O160" s="455" t="s">
        <v>2304</v>
      </c>
      <c r="P160" s="2258"/>
      <c r="Q160" s="520"/>
    </row>
    <row r="161" spans="1:32" ht="12" customHeight="1">
      <c r="A161" s="407" t="s">
        <v>4558</v>
      </c>
      <c r="C161" s="52"/>
      <c r="D161" s="133"/>
      <c r="E161" s="133"/>
      <c r="F161" s="133"/>
      <c r="G161" s="133"/>
      <c r="H161" s="133"/>
      <c r="I161" s="42"/>
      <c r="J161" s="42"/>
      <c r="K161" s="133"/>
      <c r="L161" s="133"/>
      <c r="M161" s="2382"/>
      <c r="N161" s="2382"/>
      <c r="O161" s="2382"/>
      <c r="P161" s="2382"/>
      <c r="Q161" s="2382"/>
      <c r="R161" s="2382"/>
    </row>
    <row r="162" spans="1:32" s="1" customFormat="1" ht="23.4" customHeight="1">
      <c r="A162" s="47" t="s">
        <v>1899</v>
      </c>
      <c r="B162" s="2710" t="s">
        <v>144</v>
      </c>
      <c r="C162" s="2710"/>
      <c r="D162" s="2710"/>
      <c r="E162" s="2710"/>
      <c r="F162" s="2710"/>
      <c r="G162" s="2710"/>
      <c r="H162" s="2710"/>
      <c r="I162" s="2710"/>
      <c r="J162" s="2710"/>
      <c r="K162" s="2710"/>
      <c r="L162" s="2710"/>
      <c r="M162" s="455" t="s">
        <v>1899</v>
      </c>
      <c r="N162" s="2714" t="s">
        <v>1727</v>
      </c>
      <c r="O162" s="2715"/>
      <c r="P162" s="2716" t="s">
        <v>1727</v>
      </c>
      <c r="Q162" s="2717"/>
      <c r="AE162" s="5"/>
      <c r="AF162" s="5"/>
    </row>
    <row r="163" spans="1:32" ht="11.25" customHeight="1">
      <c r="B163" s="140" t="s">
        <v>3565</v>
      </c>
      <c r="D163" s="140"/>
      <c r="E163" s="140"/>
      <c r="F163" s="140"/>
      <c r="G163" s="140"/>
      <c r="H163" s="40"/>
      <c r="I163" s="2398"/>
      <c r="J163" s="2398"/>
      <c r="K163" s="2398"/>
      <c r="L163" s="2376"/>
      <c r="M163" s="2376"/>
      <c r="N163" s="2376"/>
      <c r="O163" s="2376"/>
      <c r="P163" s="2376"/>
      <c r="Q163" s="855"/>
    </row>
    <row r="164" spans="1:32" ht="45" customHeight="1">
      <c r="A164" s="2707" t="s">
        <v>7116</v>
      </c>
      <c r="B164" s="2708"/>
      <c r="C164" s="2708"/>
      <c r="D164" s="2708"/>
      <c r="E164" s="2708"/>
      <c r="F164" s="2708"/>
      <c r="G164" s="2708"/>
      <c r="H164" s="2708"/>
      <c r="I164" s="2708"/>
      <c r="J164" s="2708"/>
      <c r="K164" s="2708"/>
      <c r="L164" s="2708"/>
      <c r="M164" s="2708"/>
      <c r="N164" s="2708"/>
      <c r="O164" s="2708"/>
      <c r="P164" s="2708"/>
      <c r="Q164" s="2709"/>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78"/>
      <c r="E166" s="2378"/>
      <c r="F166" s="2378"/>
      <c r="G166" s="2378"/>
      <c r="H166" s="2378"/>
      <c r="I166" s="2378"/>
      <c r="J166" s="2378"/>
      <c r="K166" s="2378"/>
      <c r="L166" s="2378"/>
      <c r="M166" s="2378"/>
      <c r="N166" s="2378"/>
      <c r="O166" s="2378"/>
      <c r="P166" s="2378"/>
      <c r="Q166" s="2378"/>
    </row>
    <row r="167" spans="1:32" ht="45" customHeight="1">
      <c r="A167" s="2701"/>
      <c r="B167" s="2702"/>
      <c r="C167" s="2702"/>
      <c r="D167" s="2702"/>
      <c r="E167" s="2702"/>
      <c r="F167" s="2702"/>
      <c r="G167" s="2702"/>
      <c r="H167" s="2702"/>
      <c r="I167" s="2702"/>
      <c r="J167" s="2702"/>
      <c r="K167" s="2702"/>
      <c r="L167" s="2702"/>
      <c r="M167" s="2702"/>
      <c r="N167" s="2702"/>
      <c r="O167" s="2702"/>
      <c r="P167" s="2702"/>
      <c r="Q167" s="2703"/>
    </row>
    <row r="168" spans="1:32" ht="3" customHeight="1">
      <c r="A168" s="2376"/>
      <c r="B168" s="2398"/>
      <c r="C168" s="2378"/>
      <c r="D168" s="2378"/>
      <c r="E168" s="2378"/>
      <c r="F168" s="2378"/>
      <c r="G168" s="2378"/>
      <c r="H168" s="2378"/>
      <c r="I168" s="2378"/>
      <c r="J168" s="2378"/>
      <c r="K168" s="2378"/>
      <c r="L168" s="2378"/>
      <c r="M168" s="2378"/>
      <c r="N168" s="2378"/>
      <c r="O168" s="2378"/>
      <c r="P168" s="2378"/>
      <c r="Q168" s="2376"/>
    </row>
    <row r="169" spans="1:32" ht="14.1" customHeight="1">
      <c r="A169" s="2371" t="s">
        <v>287</v>
      </c>
      <c r="B169" s="2371" t="s">
        <v>2582</v>
      </c>
      <c r="C169" s="2371"/>
      <c r="D169" s="2378"/>
      <c r="E169" s="2378"/>
      <c r="F169" s="2378"/>
      <c r="G169" s="2378"/>
      <c r="H169" s="2378"/>
      <c r="I169" s="2378"/>
      <c r="J169" s="2378"/>
      <c r="K169" s="2378"/>
      <c r="O169" s="131" t="s">
        <v>1820</v>
      </c>
      <c r="P169" s="2718"/>
      <c r="Q169" s="2719"/>
    </row>
    <row r="170" spans="1:32" ht="12" customHeight="1">
      <c r="A170" s="47" t="s">
        <v>1935</v>
      </c>
      <c r="B170" s="145" t="s">
        <v>1694</v>
      </c>
      <c r="C170" s="52" t="s">
        <v>4741</v>
      </c>
      <c r="D170" s="52"/>
      <c r="E170" s="52"/>
      <c r="F170" s="52"/>
      <c r="G170" s="52"/>
      <c r="K170" s="52" t="s">
        <v>2626</v>
      </c>
      <c r="M170" s="2721">
        <v>44196</v>
      </c>
      <c r="N170" s="2722"/>
      <c r="O170" s="65" t="s">
        <v>1694</v>
      </c>
      <c r="P170" s="2254" t="s">
        <v>2884</v>
      </c>
      <c r="Q170" s="516"/>
    </row>
    <row r="171" spans="1:32" ht="12" customHeight="1">
      <c r="A171" s="47"/>
      <c r="B171" s="145" t="s">
        <v>1695</v>
      </c>
      <c r="C171" s="52" t="s">
        <v>4742</v>
      </c>
      <c r="D171" s="52"/>
      <c r="E171" s="52"/>
      <c r="F171" s="52"/>
      <c r="G171" s="52"/>
      <c r="K171" s="52" t="s">
        <v>2626</v>
      </c>
      <c r="M171" s="2721"/>
      <c r="N171" s="2722"/>
      <c r="O171" s="65" t="s">
        <v>1695</v>
      </c>
      <c r="P171" s="2254"/>
      <c r="Q171" s="516"/>
    </row>
    <row r="172" spans="1:32" ht="12" customHeight="1">
      <c r="A172" s="47" t="s">
        <v>1937</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1937</v>
      </c>
      <c r="N172" s="2784" t="s">
        <v>7039</v>
      </c>
      <c r="O172" s="2785"/>
      <c r="P172" s="2786" t="s">
        <v>1727</v>
      </c>
      <c r="Q172" s="2787"/>
    </row>
    <row r="173" spans="1:32" ht="12" customHeight="1">
      <c r="A173" s="47" t="s">
        <v>731</v>
      </c>
      <c r="B173" s="139" t="s">
        <v>664</v>
      </c>
      <c r="D173" s="139"/>
      <c r="E173" s="139"/>
      <c r="F173" s="139"/>
      <c r="G173" s="139"/>
      <c r="H173" s="139"/>
      <c r="J173" s="455" t="s">
        <v>731</v>
      </c>
      <c r="K173" s="2698" t="s">
        <v>7066</v>
      </c>
      <c r="L173" s="2699"/>
      <c r="M173" s="2699"/>
      <c r="N173" s="2699"/>
      <c r="O173" s="2699"/>
      <c r="P173" s="2700"/>
      <c r="Q173" s="516"/>
    </row>
    <row r="174" spans="1:32" ht="12" customHeight="1">
      <c r="B174" s="140" t="s">
        <v>3565</v>
      </c>
      <c r="D174" s="140"/>
      <c r="E174" s="140"/>
      <c r="F174" s="140"/>
      <c r="G174" s="140"/>
      <c r="H174" s="40"/>
      <c r="I174" s="2398"/>
      <c r="J174" s="2398"/>
      <c r="K174" s="2398"/>
      <c r="L174" s="2376"/>
      <c r="M174" s="2376"/>
      <c r="N174" s="2376"/>
      <c r="O174" s="2376"/>
      <c r="P174" s="2376"/>
      <c r="Q174" s="855"/>
    </row>
    <row r="175" spans="1:32" ht="11.4" customHeight="1">
      <c r="A175" s="2707" t="s">
        <v>7117</v>
      </c>
      <c r="B175" s="2708"/>
      <c r="C175" s="2708"/>
      <c r="D175" s="2708"/>
      <c r="E175" s="2708"/>
      <c r="F175" s="2708"/>
      <c r="G175" s="2708"/>
      <c r="H175" s="2708"/>
      <c r="I175" s="2708"/>
      <c r="J175" s="2708"/>
      <c r="K175" s="2708"/>
      <c r="L175" s="2708"/>
      <c r="M175" s="2708"/>
      <c r="N175" s="2708"/>
      <c r="O175" s="2708"/>
      <c r="P175" s="2708"/>
      <c r="Q175" s="2709"/>
      <c r="U175" s="135"/>
      <c r="V175" s="135"/>
      <c r="W175" s="135"/>
      <c r="X175" s="135"/>
      <c r="Y175" s="135"/>
      <c r="Z175" s="135"/>
      <c r="AA175" s="135"/>
      <c r="AB175" s="135"/>
      <c r="AC175" s="135"/>
      <c r="AD175" s="135"/>
      <c r="AE175" s="457"/>
    </row>
    <row r="176" spans="1:32" ht="12" customHeight="1">
      <c r="B176" s="136" t="s">
        <v>1819</v>
      </c>
      <c r="C176" s="137"/>
      <c r="D176" s="2378"/>
      <c r="E176" s="2378"/>
      <c r="F176" s="2378"/>
      <c r="G176" s="2378"/>
      <c r="H176" s="2378"/>
      <c r="I176" s="2378"/>
      <c r="J176" s="2378"/>
      <c r="K176" s="2378"/>
      <c r="L176" s="2378"/>
      <c r="M176" s="2378"/>
      <c r="N176" s="2378"/>
      <c r="O176" s="2378"/>
      <c r="P176" s="2378"/>
      <c r="Q176" s="2378"/>
    </row>
    <row r="177" spans="1:31" ht="11.4" customHeight="1">
      <c r="A177" s="2701"/>
      <c r="B177" s="2702"/>
      <c r="C177" s="2702"/>
      <c r="D177" s="2702"/>
      <c r="E177" s="2702"/>
      <c r="F177" s="2702"/>
      <c r="G177" s="2702"/>
      <c r="H177" s="2702"/>
      <c r="I177" s="2702"/>
      <c r="J177" s="2702"/>
      <c r="K177" s="2702"/>
      <c r="L177" s="2702"/>
      <c r="M177" s="2702"/>
      <c r="N177" s="2702"/>
      <c r="O177" s="2702"/>
      <c r="P177" s="2702"/>
      <c r="Q177" s="2703"/>
    </row>
    <row r="178" spans="1:31" ht="3" customHeight="1">
      <c r="A178" s="2376"/>
      <c r="B178" s="2398"/>
      <c r="C178" s="2378"/>
      <c r="D178" s="2378"/>
      <c r="E178" s="2378"/>
      <c r="F178" s="2378"/>
      <c r="G178" s="2378"/>
      <c r="H178" s="2378"/>
      <c r="I178" s="2378"/>
      <c r="J178" s="2378"/>
      <c r="K178" s="2378"/>
      <c r="L178" s="2378"/>
      <c r="M178" s="2378"/>
      <c r="Q178" s="2376"/>
    </row>
    <row r="179" spans="1:31" ht="14.1" customHeight="1">
      <c r="A179" s="2371" t="s">
        <v>418</v>
      </c>
      <c r="B179" s="2371" t="s">
        <v>2583</v>
      </c>
      <c r="C179" s="2371"/>
      <c r="D179" s="2378"/>
      <c r="E179" s="2378"/>
      <c r="F179" s="2378"/>
      <c r="G179" s="2378"/>
      <c r="H179" s="2378"/>
      <c r="I179" s="2378"/>
      <c r="J179" s="2378"/>
      <c r="K179" s="2378"/>
      <c r="L179" s="2378"/>
      <c r="M179" s="2378"/>
      <c r="O179" s="131" t="s">
        <v>1820</v>
      </c>
      <c r="P179" s="2718"/>
      <c r="Q179" s="2719"/>
    </row>
    <row r="180" spans="1:31" ht="21.75" customHeight="1">
      <c r="A180" s="141" t="s">
        <v>1935</v>
      </c>
      <c r="B180" s="2710" t="s">
        <v>3556</v>
      </c>
      <c r="C180" s="2710"/>
      <c r="D180" s="2710"/>
      <c r="E180" s="2710"/>
      <c r="F180" s="2710"/>
      <c r="G180" s="2710"/>
      <c r="H180" s="2710"/>
      <c r="I180" s="2710"/>
      <c r="J180" s="2710"/>
      <c r="K180" s="2710"/>
      <c r="L180" s="2710"/>
      <c r="M180" s="2710"/>
      <c r="N180" s="2710"/>
      <c r="O180" s="160" t="s">
        <v>1935</v>
      </c>
      <c r="P180" s="2268" t="s">
        <v>2884</v>
      </c>
      <c r="Q180" s="1088"/>
    </row>
    <row r="181" spans="1:31" ht="22.35" customHeight="1">
      <c r="A181" s="141" t="s">
        <v>1937</v>
      </c>
      <c r="B181" s="2710" t="s">
        <v>4259</v>
      </c>
      <c r="C181" s="2710"/>
      <c r="D181" s="2710"/>
      <c r="E181" s="2710"/>
      <c r="F181" s="2710"/>
      <c r="G181" s="2710"/>
      <c r="H181" s="2710"/>
      <c r="I181" s="2710"/>
      <c r="J181" s="2710"/>
      <c r="K181" s="2710"/>
      <c r="L181" s="2710"/>
      <c r="M181" s="2710"/>
      <c r="N181" s="2710"/>
      <c r="O181" s="160" t="s">
        <v>1937</v>
      </c>
      <c r="P181" s="2381" t="s">
        <v>7040</v>
      </c>
      <c r="Q181" s="2380"/>
    </row>
    <row r="182" spans="1:31" ht="22.35" customHeight="1">
      <c r="A182" s="141" t="s">
        <v>731</v>
      </c>
      <c r="B182" s="2710" t="s">
        <v>3557</v>
      </c>
      <c r="C182" s="2710"/>
      <c r="D182" s="2710"/>
      <c r="E182" s="2710"/>
      <c r="F182" s="2710"/>
      <c r="G182" s="2710"/>
      <c r="H182" s="2710"/>
      <c r="I182" s="2710"/>
      <c r="J182" s="2710"/>
      <c r="K182" s="2710"/>
      <c r="L182" s="2710"/>
      <c r="M182" s="2710"/>
      <c r="N182" s="2710"/>
      <c r="O182" s="160" t="s">
        <v>731</v>
      </c>
      <c r="P182" s="2381" t="s">
        <v>7040</v>
      </c>
      <c r="Q182" s="2380"/>
    </row>
    <row r="183" spans="1:31" ht="21.75" customHeight="1">
      <c r="A183" s="141" t="s">
        <v>2064</v>
      </c>
      <c r="B183" s="2710" t="s">
        <v>4351</v>
      </c>
      <c r="C183" s="2710"/>
      <c r="D183" s="2710"/>
      <c r="E183" s="2710"/>
      <c r="F183" s="2710"/>
      <c r="G183" s="2710"/>
      <c r="H183" s="2710"/>
      <c r="I183" s="2710"/>
      <c r="J183" s="2710"/>
      <c r="K183" s="2710"/>
      <c r="L183" s="2710"/>
      <c r="M183" s="2710"/>
      <c r="N183" s="2710"/>
      <c r="O183" s="160" t="s">
        <v>2064</v>
      </c>
      <c r="P183" s="2389" t="s">
        <v>7040</v>
      </c>
      <c r="Q183" s="2253"/>
    </row>
    <row r="184" spans="1:31" ht="12" customHeight="1">
      <c r="B184" s="140" t="s">
        <v>3565</v>
      </c>
      <c r="D184" s="140"/>
      <c r="E184" s="140"/>
      <c r="F184" s="140"/>
      <c r="G184" s="140"/>
      <c r="H184" s="40"/>
      <c r="I184" s="2398"/>
      <c r="J184" s="2398"/>
      <c r="K184" s="2398"/>
      <c r="L184" s="2376"/>
      <c r="M184" s="2376"/>
      <c r="N184" s="2376"/>
      <c r="O184" s="2376"/>
      <c r="P184" s="2376"/>
      <c r="Q184" s="855"/>
    </row>
    <row r="185" spans="1:31" ht="11.4" customHeight="1">
      <c r="A185" s="2707" t="s">
        <v>7118</v>
      </c>
      <c r="B185" s="2708"/>
      <c r="C185" s="2708"/>
      <c r="D185" s="2708"/>
      <c r="E185" s="2708"/>
      <c r="F185" s="2708"/>
      <c r="G185" s="2708"/>
      <c r="H185" s="2708"/>
      <c r="I185" s="2708"/>
      <c r="J185" s="2708"/>
      <c r="K185" s="2708"/>
      <c r="L185" s="2708"/>
      <c r="M185" s="2708"/>
      <c r="N185" s="2708"/>
      <c r="O185" s="2708"/>
      <c r="P185" s="2708"/>
      <c r="Q185" s="2709"/>
      <c r="U185" s="135"/>
      <c r="V185" s="135"/>
      <c r="W185" s="135"/>
      <c r="X185" s="135"/>
      <c r="Y185" s="135"/>
      <c r="Z185" s="135"/>
      <c r="AA185" s="135"/>
      <c r="AB185" s="135"/>
      <c r="AC185" s="135"/>
      <c r="AD185" s="135"/>
      <c r="AE185" s="457"/>
    </row>
    <row r="186" spans="1:31" ht="12" customHeight="1">
      <c r="B186" s="136" t="s">
        <v>1819</v>
      </c>
      <c r="C186" s="137"/>
      <c r="D186" s="2378"/>
      <c r="E186" s="2378"/>
      <c r="F186" s="2378"/>
      <c r="G186" s="2378"/>
      <c r="H186" s="2378"/>
      <c r="I186" s="2378"/>
      <c r="J186" s="2378"/>
      <c r="K186" s="2378"/>
      <c r="L186" s="2378"/>
      <c r="M186" s="2378"/>
      <c r="N186" s="2378"/>
      <c r="O186" s="2378"/>
      <c r="P186" s="2378"/>
      <c r="Q186" s="2378"/>
    </row>
    <row r="187" spans="1:31" ht="11.4" customHeight="1">
      <c r="A187" s="2701"/>
      <c r="B187" s="2702"/>
      <c r="C187" s="2702"/>
      <c r="D187" s="2702"/>
      <c r="E187" s="2702"/>
      <c r="F187" s="2702"/>
      <c r="G187" s="2702"/>
      <c r="H187" s="2702"/>
      <c r="I187" s="2702"/>
      <c r="J187" s="2702"/>
      <c r="K187" s="2702"/>
      <c r="L187" s="2702"/>
      <c r="M187" s="2702"/>
      <c r="N187" s="2702"/>
      <c r="O187" s="2702"/>
      <c r="P187" s="2702"/>
      <c r="Q187" s="2703"/>
    </row>
    <row r="188" spans="1:31" ht="3" customHeight="1">
      <c r="B188" s="2398"/>
      <c r="C188" s="2378"/>
      <c r="D188" s="2378"/>
      <c r="E188" s="2378"/>
      <c r="F188" s="2378"/>
      <c r="G188" s="2378"/>
      <c r="H188" s="2378"/>
      <c r="I188" s="2378"/>
      <c r="J188" s="2378"/>
      <c r="K188" s="2378"/>
      <c r="L188" s="2378"/>
      <c r="M188" s="2378"/>
      <c r="N188" s="2378"/>
      <c r="O188" s="2378"/>
      <c r="P188" s="2378"/>
      <c r="Q188" s="2376"/>
    </row>
    <row r="189" spans="1:31" ht="14.1" customHeight="1">
      <c r="A189" s="2358" t="s">
        <v>356</v>
      </c>
      <c r="B189" s="2659" t="s">
        <v>2584</v>
      </c>
      <c r="C189" s="2659"/>
      <c r="D189" s="2659"/>
      <c r="O189" s="131" t="s">
        <v>1820</v>
      </c>
      <c r="P189" s="2718"/>
      <c r="Q189" s="2719"/>
    </row>
    <row r="190" spans="1:31" ht="12" customHeight="1">
      <c r="A190" s="141" t="s">
        <v>1935</v>
      </c>
      <c r="B190" s="842" t="s">
        <v>459</v>
      </c>
      <c r="D190" s="842"/>
      <c r="E190" s="842"/>
      <c r="F190" s="842"/>
      <c r="G190" s="842"/>
      <c r="H190" s="842"/>
      <c r="I190" s="842"/>
      <c r="J190" s="842"/>
      <c r="K190" s="842"/>
      <c r="L190" s="842"/>
      <c r="M190" s="842"/>
      <c r="O190" s="160" t="s">
        <v>1935</v>
      </c>
      <c r="P190" s="2256" t="s">
        <v>2884</v>
      </c>
      <c r="Q190" s="518"/>
    </row>
    <row r="191" spans="1:31" ht="12" customHeight="1">
      <c r="A191" s="141" t="s">
        <v>1937</v>
      </c>
      <c r="B191" s="842" t="s">
        <v>2570</v>
      </c>
      <c r="D191" s="842"/>
      <c r="E191" s="842"/>
      <c r="F191" s="842"/>
      <c r="G191" s="842"/>
      <c r="H191" s="842"/>
      <c r="I191" s="842"/>
      <c r="J191" s="842"/>
      <c r="K191" s="842"/>
      <c r="L191" s="842"/>
      <c r="M191" s="842"/>
      <c r="O191" s="160" t="s">
        <v>1937</v>
      </c>
      <c r="P191" s="2257" t="s">
        <v>2884</v>
      </c>
      <c r="Q191" s="519"/>
    </row>
    <row r="192" spans="1:31" ht="12" customHeight="1">
      <c r="A192" s="141" t="s">
        <v>731</v>
      </c>
      <c r="B192" s="842" t="s">
        <v>2571</v>
      </c>
      <c r="D192" s="842"/>
      <c r="E192" s="842"/>
      <c r="F192" s="842"/>
      <c r="G192" s="842"/>
      <c r="H192" s="842"/>
      <c r="I192" s="842"/>
      <c r="J192" s="139" t="s">
        <v>4363</v>
      </c>
      <c r="L192" s="842"/>
      <c r="M192" s="842"/>
      <c r="O192" s="160" t="s">
        <v>731</v>
      </c>
      <c r="P192" s="2257" t="s">
        <v>2884</v>
      </c>
      <c r="Q192" s="519"/>
    </row>
    <row r="193" spans="1:32" ht="12" customHeight="1">
      <c r="B193" s="40" t="s">
        <v>1694</v>
      </c>
      <c r="C193" s="856" t="s">
        <v>2572</v>
      </c>
      <c r="G193" s="842"/>
      <c r="H193" s="842"/>
      <c r="J193" s="842"/>
      <c r="K193" s="842"/>
      <c r="L193" s="842"/>
      <c r="M193" s="842"/>
      <c r="O193" s="438" t="s">
        <v>1694</v>
      </c>
      <c r="P193" s="2257" t="s">
        <v>2884</v>
      </c>
      <c r="Q193" s="519"/>
    </row>
    <row r="194" spans="1:32" ht="12" customHeight="1">
      <c r="A194" s="139"/>
      <c r="B194" s="40" t="s">
        <v>1695</v>
      </c>
      <c r="C194" s="856" t="s">
        <v>2573</v>
      </c>
      <c r="G194" s="842"/>
      <c r="H194" s="842"/>
      <c r="I194" s="842"/>
      <c r="J194" s="842"/>
      <c r="K194" s="842"/>
      <c r="L194" s="842"/>
      <c r="M194" s="842"/>
      <c r="O194" s="438" t="s">
        <v>1695</v>
      </c>
      <c r="P194" s="2257" t="s">
        <v>2884</v>
      </c>
      <c r="Q194" s="519"/>
    </row>
    <row r="195" spans="1:32" s="132" customFormat="1" ht="21.75" customHeight="1">
      <c r="A195" s="141"/>
      <c r="B195" s="468" t="s">
        <v>1696</v>
      </c>
      <c r="C195" s="2710" t="s">
        <v>3558</v>
      </c>
      <c r="D195" s="2710"/>
      <c r="E195" s="2710"/>
      <c r="F195" s="2710"/>
      <c r="G195" s="2710"/>
      <c r="H195" s="2710"/>
      <c r="I195" s="2710"/>
      <c r="J195" s="2710"/>
      <c r="K195" s="2710"/>
      <c r="L195" s="2710"/>
      <c r="M195" s="2710"/>
      <c r="N195" s="2710"/>
      <c r="O195" s="160" t="s">
        <v>1696</v>
      </c>
      <c r="P195" s="2381" t="s">
        <v>2884</v>
      </c>
      <c r="Q195" s="2380"/>
      <c r="AE195" s="458"/>
      <c r="AF195" s="458"/>
    </row>
    <row r="196" spans="1:32" ht="12" customHeight="1">
      <c r="A196" s="141"/>
      <c r="B196" s="40" t="s">
        <v>2304</v>
      </c>
      <c r="C196" s="856" t="s">
        <v>2574</v>
      </c>
      <c r="G196" s="842"/>
      <c r="H196" s="842"/>
      <c r="I196" s="842"/>
      <c r="J196" s="842"/>
      <c r="K196" s="842"/>
      <c r="L196" s="842"/>
      <c r="M196" s="842"/>
      <c r="O196" s="438" t="s">
        <v>2304</v>
      </c>
      <c r="P196" s="2257" t="s">
        <v>2884</v>
      </c>
      <c r="Q196" s="519"/>
    </row>
    <row r="197" spans="1:32" s="132" customFormat="1" ht="21.75" customHeight="1">
      <c r="A197" s="141"/>
      <c r="B197" s="468" t="s">
        <v>1516</v>
      </c>
      <c r="C197" s="2710" t="s">
        <v>2575</v>
      </c>
      <c r="D197" s="2710"/>
      <c r="E197" s="2710"/>
      <c r="F197" s="2710"/>
      <c r="G197" s="2710"/>
      <c r="H197" s="2710"/>
      <c r="I197" s="2710"/>
      <c r="J197" s="2710"/>
      <c r="K197" s="2710"/>
      <c r="L197" s="2710"/>
      <c r="M197" s="2710"/>
      <c r="N197" s="2710"/>
      <c r="O197" s="160" t="s">
        <v>1516</v>
      </c>
      <c r="P197" s="2381" t="s">
        <v>7040</v>
      </c>
      <c r="Q197" s="2380"/>
      <c r="AE197" s="458"/>
      <c r="AF197" s="458"/>
    </row>
    <row r="198" spans="1:32" s="132" customFormat="1" ht="21.75" customHeight="1">
      <c r="A198" s="141"/>
      <c r="B198" s="468" t="s">
        <v>1517</v>
      </c>
      <c r="C198" s="2710" t="s">
        <v>3666</v>
      </c>
      <c r="D198" s="2710"/>
      <c r="E198" s="2710"/>
      <c r="F198" s="2710"/>
      <c r="G198" s="2710"/>
      <c r="H198" s="2710"/>
      <c r="I198" s="2710"/>
      <c r="J198" s="2710"/>
      <c r="K198" s="2710"/>
      <c r="L198" s="2710"/>
      <c r="M198" s="2710"/>
      <c r="N198" s="2710"/>
      <c r="O198" s="160" t="s">
        <v>1517</v>
      </c>
      <c r="P198" s="2381" t="s">
        <v>7040</v>
      </c>
      <c r="Q198" s="2380"/>
      <c r="AE198" s="458"/>
      <c r="AF198" s="458"/>
    </row>
    <row r="199" spans="1:32" ht="21.75" customHeight="1">
      <c r="A199" s="141" t="s">
        <v>2064</v>
      </c>
      <c r="B199" s="2710" t="s">
        <v>2576</v>
      </c>
      <c r="C199" s="2710"/>
      <c r="D199" s="2710"/>
      <c r="E199" s="2710"/>
      <c r="F199" s="2710"/>
      <c r="G199" s="2710"/>
      <c r="H199" s="2710"/>
      <c r="I199" s="2710"/>
      <c r="J199" s="2710"/>
      <c r="K199" s="2710"/>
      <c r="L199" s="2710"/>
      <c r="M199" s="2710"/>
      <c r="N199" s="2710"/>
      <c r="O199" s="160" t="s">
        <v>2064</v>
      </c>
      <c r="P199" s="2381" t="s">
        <v>2884</v>
      </c>
      <c r="Q199" s="2380"/>
    </row>
    <row r="200" spans="1:32" ht="12" customHeight="1">
      <c r="A200" s="141" t="s">
        <v>1692</v>
      </c>
      <c r="B200" s="842" t="s">
        <v>2317</v>
      </c>
      <c r="D200" s="842"/>
      <c r="E200" s="842"/>
      <c r="F200" s="842"/>
      <c r="G200" s="842"/>
      <c r="H200" s="842"/>
      <c r="I200" s="842"/>
      <c r="J200" s="842"/>
      <c r="K200" s="842"/>
      <c r="L200" s="842"/>
      <c r="M200" s="842"/>
      <c r="O200" s="160" t="s">
        <v>1692</v>
      </c>
      <c r="P200" s="2258" t="s">
        <v>2887</v>
      </c>
      <c r="Q200" s="520"/>
    </row>
    <row r="201" spans="1:32" ht="12" customHeight="1">
      <c r="B201" s="140" t="s">
        <v>3565</v>
      </c>
      <c r="D201" s="140"/>
      <c r="E201" s="140"/>
      <c r="F201" s="140"/>
      <c r="G201" s="140"/>
      <c r="H201" s="40"/>
      <c r="I201" s="2398"/>
      <c r="J201" s="2398"/>
      <c r="K201" s="2398"/>
      <c r="L201" s="2376"/>
      <c r="M201" s="2376"/>
      <c r="N201" s="2376"/>
      <c r="O201" s="2376"/>
      <c r="P201" s="2376"/>
      <c r="Q201" s="855"/>
    </row>
    <row r="202" spans="1:32" ht="11.4" customHeight="1">
      <c r="A202" s="2707" t="s">
        <v>7119</v>
      </c>
      <c r="B202" s="2708"/>
      <c r="C202" s="2708"/>
      <c r="D202" s="2708"/>
      <c r="E202" s="2708"/>
      <c r="F202" s="2708"/>
      <c r="G202" s="2708"/>
      <c r="H202" s="2708"/>
      <c r="I202" s="2708"/>
      <c r="J202" s="2708"/>
      <c r="K202" s="2708"/>
      <c r="L202" s="2708"/>
      <c r="M202" s="2708"/>
      <c r="N202" s="2708"/>
      <c r="O202" s="2708"/>
      <c r="P202" s="2708"/>
      <c r="Q202" s="2709"/>
      <c r="U202" s="135"/>
      <c r="V202" s="135"/>
      <c r="W202" s="135"/>
      <c r="X202" s="135"/>
      <c r="Y202" s="135"/>
      <c r="Z202" s="135"/>
      <c r="AA202" s="135"/>
      <c r="AB202" s="135"/>
      <c r="AC202" s="135"/>
      <c r="AD202" s="135"/>
      <c r="AE202" s="457"/>
    </row>
    <row r="203" spans="1:32" ht="12" customHeight="1">
      <c r="B203" s="136" t="s">
        <v>1819</v>
      </c>
      <c r="C203" s="137"/>
      <c r="D203" s="2378"/>
      <c r="E203" s="2378"/>
      <c r="F203" s="2378"/>
      <c r="G203" s="2378"/>
      <c r="H203" s="2378"/>
      <c r="I203" s="2378"/>
      <c r="J203" s="2378"/>
      <c r="K203" s="2378"/>
      <c r="L203" s="2378"/>
      <c r="M203" s="2378"/>
      <c r="N203" s="2378"/>
      <c r="O203" s="2378"/>
      <c r="P203" s="2378"/>
      <c r="Q203" s="2378"/>
    </row>
    <row r="204" spans="1:32" ht="11.4" customHeight="1">
      <c r="A204" s="2701"/>
      <c r="B204" s="2702"/>
      <c r="C204" s="2702"/>
      <c r="D204" s="2702"/>
      <c r="E204" s="2702"/>
      <c r="F204" s="2702"/>
      <c r="G204" s="2702"/>
      <c r="H204" s="2702"/>
      <c r="I204" s="2702"/>
      <c r="J204" s="2702"/>
      <c r="K204" s="2702"/>
      <c r="L204" s="2702"/>
      <c r="M204" s="2702"/>
      <c r="N204" s="2702"/>
      <c r="O204" s="2702"/>
      <c r="P204" s="2702"/>
      <c r="Q204" s="2703"/>
    </row>
    <row r="205" spans="1:32" ht="3" customHeight="1">
      <c r="A205" s="2376"/>
      <c r="B205" s="2398"/>
      <c r="C205" s="2378"/>
      <c r="D205" s="2378"/>
      <c r="E205" s="2378"/>
      <c r="F205" s="2378"/>
      <c r="G205" s="2378"/>
      <c r="H205" s="2378"/>
      <c r="I205" s="2378"/>
      <c r="J205" s="2378"/>
      <c r="K205" s="2378"/>
      <c r="L205" s="2378"/>
      <c r="M205" s="2378"/>
      <c r="N205" s="2378"/>
      <c r="O205" s="2378"/>
      <c r="P205" s="2378"/>
      <c r="Q205" s="2376"/>
    </row>
    <row r="206" spans="1:32" ht="14.1" customHeight="1">
      <c r="A206" s="2371" t="s">
        <v>357</v>
      </c>
      <c r="B206" s="2371" t="s">
        <v>2585</v>
      </c>
      <c r="C206" s="2371"/>
      <c r="D206" s="2378"/>
      <c r="E206" s="146"/>
      <c r="F206" s="146"/>
      <c r="G206" s="2378"/>
      <c r="J206" s="857"/>
      <c r="K206" s="857"/>
      <c r="L206" s="857"/>
      <c r="M206" s="857"/>
      <c r="N206" s="857"/>
      <c r="O206" s="131" t="s">
        <v>1820</v>
      </c>
      <c r="P206" s="2718"/>
      <c r="Q206" s="2719"/>
    </row>
    <row r="207" spans="1:32" ht="22.5" customHeight="1">
      <c r="A207" s="2723" t="s">
        <v>4481</v>
      </c>
      <c r="B207" s="2723"/>
      <c r="C207" s="2723"/>
      <c r="D207" s="2723"/>
      <c r="E207" s="2723"/>
      <c r="F207" s="2723"/>
      <c r="G207" s="2723"/>
      <c r="H207" s="2723"/>
      <c r="I207" s="2723"/>
      <c r="J207" s="2723"/>
      <c r="K207" s="2723"/>
      <c r="L207" s="2723"/>
      <c r="M207" s="2723"/>
      <c r="N207" s="2723"/>
      <c r="O207" s="2723"/>
      <c r="P207" s="2723"/>
      <c r="Q207" s="2723"/>
    </row>
    <row r="208" spans="1:32" ht="11.25" customHeight="1">
      <c r="A208" s="138"/>
      <c r="B208" s="139" t="s">
        <v>95</v>
      </c>
      <c r="D208" s="139"/>
      <c r="E208" s="139"/>
      <c r="F208" s="139"/>
      <c r="G208" s="139"/>
      <c r="H208" s="65" t="s">
        <v>1694</v>
      </c>
      <c r="I208" s="52" t="s">
        <v>148</v>
      </c>
      <c r="J208" s="2727"/>
      <c r="K208" s="2788"/>
      <c r="L208" s="2788"/>
      <c r="M208" s="2788"/>
      <c r="N208" s="2728"/>
      <c r="O208" s="65" t="s">
        <v>1694</v>
      </c>
      <c r="P208" s="2256"/>
      <c r="Q208" s="518"/>
    </row>
    <row r="209" spans="1:31" ht="11.25" customHeight="1">
      <c r="A209" s="138"/>
      <c r="B209" s="140" t="s">
        <v>3565</v>
      </c>
      <c r="C209" s="104"/>
      <c r="D209" s="104"/>
      <c r="E209" s="104"/>
      <c r="F209" s="104"/>
      <c r="H209" s="65" t="s">
        <v>1695</v>
      </c>
      <c r="I209" s="52" t="s">
        <v>1563</v>
      </c>
      <c r="J209" s="2711" t="s">
        <v>7041</v>
      </c>
      <c r="K209" s="2712"/>
      <c r="L209" s="2712"/>
      <c r="M209" s="2712"/>
      <c r="N209" s="2713"/>
      <c r="O209" s="65" t="s">
        <v>1695</v>
      </c>
      <c r="P209" s="2258" t="s">
        <v>2884</v>
      </c>
      <c r="Q209" s="520"/>
    </row>
    <row r="210" spans="1:31" ht="11.4" customHeight="1">
      <c r="A210" s="2707" t="s">
        <v>7109</v>
      </c>
      <c r="B210" s="2708"/>
      <c r="C210" s="2708"/>
      <c r="D210" s="2708"/>
      <c r="E210" s="2708"/>
      <c r="F210" s="2708"/>
      <c r="G210" s="2708"/>
      <c r="H210" s="2708"/>
      <c r="I210" s="2708"/>
      <c r="J210" s="2708"/>
      <c r="K210" s="2708"/>
      <c r="L210" s="2708"/>
      <c r="M210" s="2708"/>
      <c r="N210" s="2708"/>
      <c r="O210" s="2708"/>
      <c r="P210" s="2708"/>
      <c r="Q210" s="2709"/>
      <c r="U210" s="135"/>
      <c r="V210" s="135"/>
      <c r="W210" s="135"/>
      <c r="X210" s="135"/>
      <c r="Y210" s="135"/>
      <c r="Z210" s="135"/>
      <c r="AA210" s="135"/>
      <c r="AB210" s="135"/>
      <c r="AC210" s="135"/>
      <c r="AD210" s="135"/>
      <c r="AE210" s="457"/>
    </row>
    <row r="211" spans="1:31" ht="11.25" customHeight="1">
      <c r="B211" s="136" t="s">
        <v>1819</v>
      </c>
      <c r="C211" s="137"/>
      <c r="D211" s="2378"/>
      <c r="E211" s="2378"/>
      <c r="F211" s="2378"/>
      <c r="G211" s="2378"/>
      <c r="H211" s="2378"/>
      <c r="I211" s="2378"/>
      <c r="J211" s="2378"/>
      <c r="K211" s="2378"/>
      <c r="L211" s="2378"/>
      <c r="M211" s="2378"/>
      <c r="N211" s="2378"/>
      <c r="O211" s="2378"/>
      <c r="P211" s="2378"/>
      <c r="Q211" s="2378"/>
    </row>
    <row r="212" spans="1:31" ht="11.4" customHeight="1">
      <c r="A212" s="2701"/>
      <c r="B212" s="2702"/>
      <c r="C212" s="2702"/>
      <c r="D212" s="2702"/>
      <c r="E212" s="2702"/>
      <c r="F212" s="2702"/>
      <c r="G212" s="2702"/>
      <c r="H212" s="2702"/>
      <c r="I212" s="2702"/>
      <c r="J212" s="2702"/>
      <c r="K212" s="2702"/>
      <c r="L212" s="2702"/>
      <c r="M212" s="2702"/>
      <c r="N212" s="2702"/>
      <c r="O212" s="2702"/>
      <c r="P212" s="2702"/>
      <c r="Q212" s="2703"/>
    </row>
    <row r="213" spans="1:31" ht="4.3499999999999996" customHeight="1">
      <c r="B213" s="2398"/>
      <c r="C213" s="2378"/>
      <c r="D213" s="2378"/>
      <c r="E213" s="2378"/>
      <c r="F213" s="2378"/>
      <c r="G213" s="2378"/>
      <c r="H213" s="2378"/>
      <c r="I213" s="2378"/>
      <c r="J213" s="2378"/>
      <c r="K213" s="2378"/>
      <c r="L213" s="2378"/>
      <c r="M213" s="2378"/>
      <c r="Q213" s="855"/>
    </row>
    <row r="214" spans="1:31" ht="14.1" customHeight="1">
      <c r="A214" s="2371" t="s">
        <v>358</v>
      </c>
      <c r="B214" s="4" t="s">
        <v>2586</v>
      </c>
      <c r="C214" s="4"/>
      <c r="D214" s="86"/>
      <c r="E214" s="86"/>
      <c r="F214" s="86"/>
      <c r="G214" s="2378"/>
      <c r="H214" s="2378"/>
      <c r="I214" s="2378"/>
      <c r="J214" s="2378"/>
      <c r="K214" s="2378"/>
      <c r="L214" s="2378"/>
      <c r="M214" s="2378"/>
      <c r="O214" s="131" t="s">
        <v>1820</v>
      </c>
      <c r="P214" s="2718"/>
      <c r="Q214" s="2719"/>
    </row>
    <row r="215" spans="1:31" ht="11.4" customHeight="1">
      <c r="A215" s="141" t="s">
        <v>1935</v>
      </c>
      <c r="B215" s="2710" t="s">
        <v>1802</v>
      </c>
      <c r="C215" s="2710"/>
      <c r="D215" s="2710"/>
      <c r="E215" s="2710"/>
      <c r="F215" s="2710"/>
      <c r="G215" s="2710"/>
      <c r="H215" s="65" t="s">
        <v>1694</v>
      </c>
      <c r="I215" s="52" t="s">
        <v>617</v>
      </c>
      <c r="J215" s="2727" t="s">
        <v>7063</v>
      </c>
      <c r="K215" s="2788"/>
      <c r="L215" s="2788"/>
      <c r="M215" s="2788"/>
      <c r="N215" s="2728"/>
      <c r="O215" s="160" t="s">
        <v>1455</v>
      </c>
      <c r="P215" s="2264" t="s">
        <v>2884</v>
      </c>
      <c r="Q215" s="1553"/>
    </row>
    <row r="216" spans="1:31" ht="11.4" customHeight="1">
      <c r="A216" s="149"/>
      <c r="B216" s="2710"/>
      <c r="C216" s="2710"/>
      <c r="D216" s="2710"/>
      <c r="E216" s="2710"/>
      <c r="F216" s="2710"/>
      <c r="G216" s="2710"/>
      <c r="H216" s="65" t="s">
        <v>1695</v>
      </c>
      <c r="I216" s="52" t="s">
        <v>113</v>
      </c>
      <c r="J216" s="2711" t="s">
        <v>7063</v>
      </c>
      <c r="K216" s="2712"/>
      <c r="L216" s="2712"/>
      <c r="M216" s="2712"/>
      <c r="N216" s="2713"/>
      <c r="O216" s="160" t="s">
        <v>1695</v>
      </c>
      <c r="P216" s="2257" t="s">
        <v>2884</v>
      </c>
      <c r="Q216" s="519"/>
    </row>
    <row r="217" spans="1:31" ht="12" customHeight="1">
      <c r="A217" s="141" t="s">
        <v>1937</v>
      </c>
      <c r="B217" s="52" t="s">
        <v>3671</v>
      </c>
      <c r="D217" s="52"/>
      <c r="E217" s="52"/>
      <c r="F217" s="52"/>
      <c r="G217" s="52"/>
      <c r="H217" s="52"/>
      <c r="I217" s="52"/>
      <c r="J217" s="52"/>
      <c r="K217" s="42"/>
      <c r="L217" s="52"/>
      <c r="M217" s="52"/>
      <c r="O217" s="455" t="s">
        <v>1937</v>
      </c>
      <c r="P217" s="2257" t="s">
        <v>2887</v>
      </c>
      <c r="Q217" s="519"/>
    </row>
    <row r="218" spans="1:31" ht="12" customHeight="1">
      <c r="A218" s="47" t="s">
        <v>731</v>
      </c>
      <c r="B218" s="52" t="s">
        <v>3672</v>
      </c>
      <c r="D218" s="52"/>
      <c r="E218" s="52"/>
      <c r="F218" s="52"/>
      <c r="G218" s="52"/>
      <c r="H218" s="52"/>
      <c r="I218" s="52"/>
      <c r="J218" s="52"/>
      <c r="K218" s="42"/>
      <c r="L218" s="52"/>
      <c r="M218" s="52"/>
      <c r="O218" s="455" t="s">
        <v>731</v>
      </c>
      <c r="P218" s="2258" t="s">
        <v>2887</v>
      </c>
      <c r="Q218" s="520"/>
    </row>
    <row r="219" spans="1:31" ht="11.25" customHeight="1">
      <c r="B219" s="140" t="s">
        <v>3565</v>
      </c>
      <c r="D219" s="140"/>
      <c r="E219" s="140"/>
      <c r="F219" s="140"/>
      <c r="G219" s="140"/>
      <c r="H219" s="40"/>
      <c r="I219" s="2398"/>
      <c r="J219" s="2398"/>
      <c r="K219" s="2398"/>
      <c r="L219" s="2376"/>
      <c r="M219" s="2376"/>
      <c r="N219" s="2376"/>
      <c r="O219" s="2376"/>
      <c r="P219" s="2376"/>
      <c r="Q219" s="855"/>
    </row>
    <row r="220" spans="1:31" ht="11.4" customHeight="1">
      <c r="A220" s="2707" t="s">
        <v>7110</v>
      </c>
      <c r="B220" s="2708"/>
      <c r="C220" s="2708"/>
      <c r="D220" s="2708"/>
      <c r="E220" s="2708"/>
      <c r="F220" s="2708"/>
      <c r="G220" s="2708"/>
      <c r="H220" s="2708"/>
      <c r="I220" s="2708"/>
      <c r="J220" s="2708"/>
      <c r="K220" s="2708"/>
      <c r="L220" s="2708"/>
      <c r="M220" s="2708"/>
      <c r="N220" s="2708"/>
      <c r="O220" s="2708"/>
      <c r="P220" s="2708"/>
      <c r="Q220" s="2709"/>
      <c r="U220" s="135"/>
      <c r="V220" s="135"/>
      <c r="W220" s="135"/>
      <c r="X220" s="135"/>
      <c r="Y220" s="135"/>
      <c r="Z220" s="135"/>
      <c r="AA220" s="135"/>
      <c r="AB220" s="135"/>
      <c r="AC220" s="135"/>
      <c r="AD220" s="135"/>
      <c r="AE220" s="457"/>
    </row>
    <row r="221" spans="1:31" ht="11.25" customHeight="1">
      <c r="B221" s="136" t="s">
        <v>1819</v>
      </c>
      <c r="C221" s="137"/>
      <c r="D221" s="2378"/>
      <c r="E221" s="2378"/>
      <c r="F221" s="2378"/>
      <c r="G221" s="2378"/>
      <c r="H221" s="2378"/>
      <c r="I221" s="2378"/>
      <c r="J221" s="2378"/>
      <c r="K221" s="2378"/>
      <c r="L221" s="2378"/>
      <c r="M221" s="2378"/>
      <c r="N221" s="2378"/>
      <c r="O221" s="2378"/>
      <c r="P221" s="2378"/>
      <c r="Q221" s="2378"/>
    </row>
    <row r="222" spans="1:31" ht="11.4" customHeight="1">
      <c r="A222" s="2701"/>
      <c r="B222" s="2702"/>
      <c r="C222" s="2702"/>
      <c r="D222" s="2702"/>
      <c r="E222" s="2702"/>
      <c r="F222" s="2702"/>
      <c r="G222" s="2702"/>
      <c r="H222" s="2702"/>
      <c r="I222" s="2702"/>
      <c r="J222" s="2702"/>
      <c r="K222" s="2702"/>
      <c r="L222" s="2702"/>
      <c r="M222" s="2702"/>
      <c r="N222" s="2702"/>
      <c r="O222" s="2702"/>
      <c r="P222" s="2702"/>
      <c r="Q222" s="2703"/>
    </row>
    <row r="223" spans="1:31" ht="3" customHeight="1">
      <c r="A223" s="2376"/>
      <c r="B223" s="2398"/>
      <c r="C223" s="2378"/>
      <c r="D223" s="2378"/>
      <c r="E223" s="2378"/>
      <c r="F223" s="2378"/>
      <c r="G223" s="2378"/>
      <c r="H223" s="2378"/>
      <c r="I223" s="2378"/>
      <c r="J223" s="2378"/>
      <c r="K223" s="2378"/>
      <c r="L223" s="2378"/>
      <c r="M223" s="2378"/>
      <c r="Q223" s="2376"/>
    </row>
    <row r="224" spans="1:31" ht="14.1" customHeight="1">
      <c r="A224" s="2371" t="s">
        <v>1683</v>
      </c>
      <c r="B224" s="2371" t="s">
        <v>2587</v>
      </c>
      <c r="C224" s="113"/>
      <c r="D224" s="2378"/>
      <c r="E224" s="2378"/>
      <c r="F224" s="2378"/>
      <c r="G224" s="2378"/>
      <c r="H224" s="2378"/>
      <c r="I224" s="2378"/>
      <c r="J224" s="2378"/>
      <c r="K224" s="2378"/>
      <c r="L224" s="2378"/>
      <c r="M224" s="2378"/>
      <c r="O224" s="131" t="s">
        <v>1820</v>
      </c>
      <c r="P224" s="2718"/>
      <c r="Q224" s="2719"/>
    </row>
    <row r="225" spans="1:32" s="27" customFormat="1" ht="11.4" customHeight="1">
      <c r="B225" s="144" t="s">
        <v>1167</v>
      </c>
      <c r="N225" s="120"/>
      <c r="P225" s="2254" t="s">
        <v>2887</v>
      </c>
      <c r="Q225" s="516"/>
      <c r="AE225" s="116"/>
      <c r="AF225" s="116"/>
    </row>
    <row r="226" spans="1:32" ht="12" customHeight="1">
      <c r="A226" s="47" t="s">
        <v>1935</v>
      </c>
      <c r="B226" s="36" t="s">
        <v>4705</v>
      </c>
      <c r="D226" s="42"/>
      <c r="E226" s="42"/>
      <c r="F226" s="42"/>
      <c r="G226" s="42"/>
      <c r="H226" s="42"/>
      <c r="I226" s="42"/>
      <c r="J226" s="42"/>
      <c r="K226" s="42"/>
      <c r="L226" s="42"/>
      <c r="M226" s="42"/>
      <c r="O226" s="455" t="s">
        <v>1935</v>
      </c>
      <c r="P226" s="2254" t="s">
        <v>7035</v>
      </c>
      <c r="Q226" s="518"/>
    </row>
    <row r="227" spans="1:32" ht="11.4" customHeight="1">
      <c r="A227" s="47"/>
      <c r="B227" s="145" t="s">
        <v>1694</v>
      </c>
      <c r="C227" s="52" t="s">
        <v>1883</v>
      </c>
      <c r="E227" s="52"/>
      <c r="F227" s="52"/>
      <c r="G227" s="52"/>
      <c r="H227" s="52"/>
      <c r="I227" s="42"/>
      <c r="J227" s="65" t="s">
        <v>1455</v>
      </c>
      <c r="K227" s="2727" t="s">
        <v>7042</v>
      </c>
      <c r="L227" s="2728"/>
      <c r="Q227" s="519"/>
    </row>
    <row r="228" spans="1:32" ht="11.4" customHeight="1">
      <c r="A228" s="47"/>
      <c r="B228" s="145" t="s">
        <v>1695</v>
      </c>
      <c r="C228" s="856" t="s">
        <v>4244</v>
      </c>
      <c r="E228" s="856"/>
      <c r="F228" s="856"/>
      <c r="G228" s="856"/>
      <c r="H228" s="856"/>
      <c r="I228" s="42"/>
      <c r="J228" s="65" t="s">
        <v>1456</v>
      </c>
      <c r="K228" s="2729" t="s">
        <v>7043</v>
      </c>
      <c r="L228" s="2730"/>
      <c r="M228" s="2724" t="s">
        <v>2641</v>
      </c>
      <c r="N228" s="2725"/>
      <c r="O228" s="2725"/>
      <c r="P228" s="2726"/>
      <c r="Q228" s="519"/>
    </row>
    <row r="229" spans="1:32" ht="11.4" customHeight="1">
      <c r="A229" s="47"/>
      <c r="B229" s="40" t="s">
        <v>1696</v>
      </c>
      <c r="C229" s="856" t="s">
        <v>4247</v>
      </c>
      <c r="D229" s="147"/>
      <c r="E229" s="856"/>
      <c r="F229" s="856"/>
      <c r="G229" s="856"/>
      <c r="H229" s="856"/>
      <c r="I229" s="94"/>
      <c r="J229" s="455" t="s">
        <v>1457</v>
      </c>
      <c r="K229" s="2863" t="s">
        <v>7044</v>
      </c>
      <c r="L229" s="2864"/>
      <c r="M229" s="2864"/>
      <c r="N229" s="2865"/>
      <c r="O229" s="1409"/>
      <c r="P229" s="1107"/>
      <c r="Q229" s="519"/>
      <c r="R229" s="42"/>
    </row>
    <row r="230" spans="1:32" ht="11.4" customHeight="1">
      <c r="A230" s="47"/>
      <c r="B230" s="40" t="s">
        <v>2304</v>
      </c>
      <c r="C230" s="856" t="s">
        <v>4246</v>
      </c>
      <c r="D230" s="147"/>
      <c r="E230" s="856"/>
      <c r="F230" s="856"/>
      <c r="G230" s="856"/>
      <c r="H230" s="856"/>
      <c r="I230" s="94"/>
      <c r="J230" s="455" t="s">
        <v>4245</v>
      </c>
      <c r="K230" s="2711" t="s">
        <v>7045</v>
      </c>
      <c r="L230" s="2712"/>
      <c r="M230" s="2712"/>
      <c r="N230" s="2713"/>
      <c r="O230" s="127"/>
      <c r="P230" s="1408"/>
      <c r="Q230" s="520"/>
      <c r="R230" s="42"/>
    </row>
    <row r="231" spans="1:32" ht="11.25" customHeight="1">
      <c r="A231" s="47" t="s">
        <v>1937</v>
      </c>
      <c r="B231" s="52" t="s">
        <v>4706</v>
      </c>
      <c r="D231" s="52"/>
      <c r="E231" s="52"/>
      <c r="F231" s="52"/>
      <c r="G231" s="52"/>
      <c r="H231" s="52"/>
      <c r="I231" s="52"/>
      <c r="J231" s="52"/>
      <c r="K231" s="42"/>
      <c r="L231" s="42"/>
      <c r="M231" s="42"/>
      <c r="N231" s="42"/>
      <c r="O231" s="455" t="s">
        <v>1937</v>
      </c>
      <c r="P231" s="2254" t="s">
        <v>7035</v>
      </c>
      <c r="Q231" s="516"/>
    </row>
    <row r="232" spans="1:32" ht="11.1" customHeight="1">
      <c r="A232" s="47"/>
      <c r="B232" s="52" t="s">
        <v>4399</v>
      </c>
      <c r="D232" s="52"/>
      <c r="E232" s="52"/>
      <c r="F232" s="52"/>
      <c r="G232" s="52"/>
      <c r="H232" s="52"/>
      <c r="I232" s="52"/>
      <c r="J232" s="52"/>
      <c r="K232" s="42"/>
      <c r="L232" s="42"/>
      <c r="M232" s="42"/>
      <c r="N232" s="455" t="s">
        <v>3451</v>
      </c>
      <c r="O232" s="1495">
        <f>'Part VI-Revenues &amp; Expenses'!$P$67</f>
        <v>50</v>
      </c>
      <c r="P232" s="2866" t="s">
        <v>4401</v>
      </c>
      <c r="Q232" s="2867"/>
    </row>
    <row r="233" spans="1:32" ht="11.1" customHeight="1">
      <c r="A233" s="47"/>
      <c r="B233" s="145" t="s">
        <v>1694</v>
      </c>
      <c r="C233" s="52" t="s">
        <v>4402</v>
      </c>
      <c r="D233" s="52"/>
      <c r="E233" s="52"/>
      <c r="F233" s="52"/>
      <c r="H233" s="455" t="s">
        <v>4403</v>
      </c>
      <c r="I233" s="52" t="s">
        <v>4412</v>
      </c>
      <c r="M233" s="42"/>
      <c r="N233" s="42"/>
      <c r="O233" s="292"/>
      <c r="P233" s="1486" t="s">
        <v>755</v>
      </c>
      <c r="Q233" s="1487" t="s">
        <v>4400</v>
      </c>
    </row>
    <row r="234" spans="1:32" s="43" customFormat="1" ht="11.4" customHeight="1">
      <c r="A234" s="51"/>
      <c r="B234" s="455" t="s">
        <v>2065</v>
      </c>
      <c r="C234" s="2868" t="s">
        <v>4475</v>
      </c>
      <c r="D234" s="2869"/>
      <c r="E234" s="2869"/>
      <c r="F234" s="2869"/>
      <c r="G234" s="2870"/>
      <c r="H234" s="455" t="s">
        <v>2065</v>
      </c>
      <c r="I234" s="2871" t="s">
        <v>3826</v>
      </c>
      <c r="J234" s="2872"/>
      <c r="K234" s="2872"/>
      <c r="L234" s="2872"/>
      <c r="M234" s="2872"/>
      <c r="N234" s="2872"/>
      <c r="O234" s="2873"/>
      <c r="P234" s="518"/>
      <c r="Q234" s="4117"/>
      <c r="AE234" s="54"/>
      <c r="AF234" s="54"/>
    </row>
    <row r="235" spans="1:32" s="43" customFormat="1" ht="11.4" customHeight="1">
      <c r="A235" s="51"/>
      <c r="B235" s="455" t="s">
        <v>2066</v>
      </c>
      <c r="C235" s="2874" t="s">
        <v>4397</v>
      </c>
      <c r="D235" s="2875"/>
      <c r="E235" s="2875"/>
      <c r="F235" s="2875"/>
      <c r="G235" s="2876"/>
      <c r="H235" s="455" t="s">
        <v>2066</v>
      </c>
      <c r="I235" s="2737"/>
      <c r="J235" s="2738"/>
      <c r="K235" s="2738"/>
      <c r="L235" s="2738"/>
      <c r="M235" s="2738"/>
      <c r="N235" s="2738"/>
      <c r="O235" s="2739"/>
      <c r="P235" s="519"/>
      <c r="Q235" s="4118"/>
      <c r="AE235" s="54"/>
      <c r="AF235" s="54"/>
    </row>
    <row r="236" spans="1:32" s="43" customFormat="1" ht="11.4" customHeight="1">
      <c r="A236" s="51"/>
      <c r="B236" s="455" t="s">
        <v>1691</v>
      </c>
      <c r="C236" s="2874" t="s">
        <v>4395</v>
      </c>
      <c r="D236" s="2875"/>
      <c r="E236" s="2875"/>
      <c r="F236" s="2875"/>
      <c r="G236" s="2876"/>
      <c r="H236" s="455" t="s">
        <v>1691</v>
      </c>
      <c r="I236" s="2737" t="s">
        <v>3826</v>
      </c>
      <c r="J236" s="2738"/>
      <c r="K236" s="2738"/>
      <c r="L236" s="2738"/>
      <c r="M236" s="2738"/>
      <c r="N236" s="2738"/>
      <c r="O236" s="2739"/>
      <c r="P236" s="519"/>
      <c r="Q236" s="4118"/>
      <c r="AE236" s="54"/>
      <c r="AF236" s="54"/>
    </row>
    <row r="237" spans="1:32" s="43" customFormat="1" ht="11.4" customHeight="1">
      <c r="A237" s="51"/>
      <c r="B237" s="455" t="s">
        <v>4411</v>
      </c>
      <c r="C237" s="2731" t="s">
        <v>2054</v>
      </c>
      <c r="D237" s="2732"/>
      <c r="E237" s="2732"/>
      <c r="F237" s="2732"/>
      <c r="G237" s="2733"/>
      <c r="H237" s="455" t="s">
        <v>4411</v>
      </c>
      <c r="I237" s="2734"/>
      <c r="J237" s="2735"/>
      <c r="K237" s="2735"/>
      <c r="L237" s="2735"/>
      <c r="M237" s="2735"/>
      <c r="N237" s="2735"/>
      <c r="O237" s="2736"/>
      <c r="P237" s="520"/>
      <c r="Q237" s="4119"/>
      <c r="AE237" s="54"/>
      <c r="AF237" s="54"/>
    </row>
    <row r="238" spans="1:32" ht="12" customHeight="1">
      <c r="A238" s="47" t="s">
        <v>731</v>
      </c>
      <c r="B238" s="52" t="s">
        <v>1354</v>
      </c>
      <c r="C238" s="52"/>
      <c r="E238" s="52"/>
      <c r="F238" s="52"/>
      <c r="G238" s="52"/>
      <c r="H238" s="52"/>
      <c r="I238" s="52"/>
      <c r="J238" s="52"/>
      <c r="K238" s="42"/>
      <c r="L238" s="52"/>
      <c r="M238" s="52"/>
      <c r="O238" s="455" t="s">
        <v>731</v>
      </c>
      <c r="P238" s="2256" t="s">
        <v>7035</v>
      </c>
      <c r="Q238" s="518"/>
    </row>
    <row r="239" spans="1:32" ht="11.4" customHeight="1">
      <c r="A239" s="47"/>
      <c r="B239" s="145" t="s">
        <v>1694</v>
      </c>
      <c r="C239" s="52" t="s">
        <v>3346</v>
      </c>
      <c r="E239" s="52"/>
      <c r="F239" s="52"/>
      <c r="L239" s="33"/>
      <c r="M239" s="33"/>
      <c r="O239" s="65" t="s">
        <v>1694</v>
      </c>
      <c r="P239" s="2257" t="s">
        <v>2884</v>
      </c>
      <c r="Q239" s="519"/>
    </row>
    <row r="240" spans="1:32" ht="11.4" customHeight="1">
      <c r="B240" s="145" t="s">
        <v>1695</v>
      </c>
      <c r="C240" s="856" t="s">
        <v>2713</v>
      </c>
      <c r="E240" s="856"/>
      <c r="F240" s="856"/>
      <c r="L240" s="33"/>
      <c r="M240" s="33"/>
      <c r="O240" s="65" t="s">
        <v>1695</v>
      </c>
      <c r="P240" s="2257" t="s">
        <v>2884</v>
      </c>
      <c r="Q240" s="519"/>
    </row>
    <row r="241" spans="1:31" ht="11.4" customHeight="1">
      <c r="B241" s="145" t="s">
        <v>1696</v>
      </c>
      <c r="C241" s="856" t="s">
        <v>4560</v>
      </c>
      <c r="E241" s="856"/>
      <c r="F241" s="856"/>
      <c r="G241" s="856"/>
      <c r="H241" s="856"/>
      <c r="I241" s="42"/>
      <c r="J241" s="33"/>
      <c r="K241" s="42"/>
      <c r="L241" s="33"/>
      <c r="M241" s="33"/>
      <c r="O241" s="65" t="s">
        <v>1696</v>
      </c>
      <c r="P241" s="2257" t="s">
        <v>2884</v>
      </c>
      <c r="Q241" s="519"/>
    </row>
    <row r="242" spans="1:31" ht="11.4" customHeight="1">
      <c r="A242" s="47"/>
      <c r="B242" s="145" t="s">
        <v>2304</v>
      </c>
      <c r="C242" s="856" t="s">
        <v>2714</v>
      </c>
      <c r="E242" s="856"/>
      <c r="F242" s="856"/>
      <c r="G242" s="856"/>
      <c r="H242" s="856"/>
      <c r="I242" s="42"/>
      <c r="J242" s="33"/>
      <c r="K242" s="42"/>
      <c r="L242" s="33"/>
      <c r="M242" s="33"/>
      <c r="O242" s="65" t="s">
        <v>2304</v>
      </c>
      <c r="P242" s="2257" t="s">
        <v>2884</v>
      </c>
      <c r="Q242" s="519"/>
    </row>
    <row r="243" spans="1:31" ht="11.4" customHeight="1">
      <c r="A243" s="47"/>
      <c r="B243" s="145" t="s">
        <v>1516</v>
      </c>
      <c r="C243" s="856" t="s">
        <v>2715</v>
      </c>
      <c r="E243" s="856"/>
      <c r="F243" s="856"/>
      <c r="G243" s="856"/>
      <c r="H243" s="856"/>
      <c r="I243" s="42"/>
      <c r="J243" s="33"/>
      <c r="K243" s="42"/>
      <c r="L243" s="33"/>
      <c r="M243" s="33"/>
      <c r="O243" s="65" t="s">
        <v>1516</v>
      </c>
      <c r="P243" s="2257" t="s">
        <v>2884</v>
      </c>
      <c r="Q243" s="519"/>
    </row>
    <row r="244" spans="1:31" ht="11.4" customHeight="1">
      <c r="A244" s="47"/>
      <c r="B244" s="40" t="s">
        <v>1517</v>
      </c>
      <c r="C244" s="52" t="s">
        <v>4636</v>
      </c>
      <c r="E244" s="52"/>
      <c r="F244" s="52"/>
      <c r="G244" s="52"/>
      <c r="H244" s="52"/>
      <c r="I244" s="42"/>
      <c r="J244" s="33"/>
      <c r="K244" s="42"/>
      <c r="L244" s="33"/>
      <c r="M244" s="33"/>
      <c r="O244" s="455" t="s">
        <v>2705</v>
      </c>
      <c r="P244" s="2257" t="s">
        <v>2884</v>
      </c>
      <c r="Q244" s="519"/>
    </row>
    <row r="245" spans="1:31" ht="11.4" customHeight="1">
      <c r="A245" s="47"/>
      <c r="B245" s="65"/>
      <c r="C245" s="52" t="s">
        <v>1458</v>
      </c>
      <c r="E245" s="52"/>
      <c r="F245" s="52"/>
      <c r="G245" s="52"/>
      <c r="H245" s="52"/>
      <c r="I245" s="42"/>
      <c r="J245" s="33"/>
      <c r="K245" s="42"/>
      <c r="L245" s="33"/>
      <c r="M245" s="33"/>
      <c r="O245" s="455" t="s">
        <v>2706</v>
      </c>
      <c r="P245" s="2258"/>
      <c r="Q245" s="520"/>
    </row>
    <row r="246" spans="1:31" ht="11.25" customHeight="1">
      <c r="A246" s="47" t="s">
        <v>2064</v>
      </c>
      <c r="B246" s="52" t="s">
        <v>4559</v>
      </c>
      <c r="C246" s="52"/>
      <c r="E246" s="52"/>
      <c r="F246" s="52"/>
      <c r="G246" s="52"/>
      <c r="H246" s="52"/>
      <c r="I246" s="52"/>
      <c r="J246" s="52"/>
      <c r="K246" s="42"/>
      <c r="M246" s="64"/>
      <c r="N246" s="1466" t="str">
        <f>'Part I-Project Information'!$H$82</f>
        <v>Family</v>
      </c>
      <c r="O246" s="455" t="s">
        <v>2064</v>
      </c>
      <c r="P246" s="2256" t="s">
        <v>948</v>
      </c>
      <c r="Q246" s="518"/>
    </row>
    <row r="247" spans="1:31" ht="11.4" customHeight="1">
      <c r="B247" s="145" t="s">
        <v>1694</v>
      </c>
      <c r="C247" s="39" t="s">
        <v>1229</v>
      </c>
      <c r="E247" s="42"/>
      <c r="F247" s="42"/>
      <c r="G247" s="39"/>
      <c r="H247" s="856"/>
      <c r="I247" s="42"/>
      <c r="J247" s="856"/>
      <c r="K247" s="42"/>
      <c r="L247" s="856"/>
      <c r="M247" s="856"/>
      <c r="O247" s="65" t="s">
        <v>1694</v>
      </c>
      <c r="P247" s="2257"/>
      <c r="Q247" s="519"/>
    </row>
    <row r="248" spans="1:31" ht="11.4" customHeight="1">
      <c r="B248" s="145" t="s">
        <v>1695</v>
      </c>
      <c r="C248" s="36" t="s">
        <v>4260</v>
      </c>
      <c r="E248" s="42"/>
      <c r="F248" s="42"/>
      <c r="G248" s="856"/>
      <c r="H248" s="856"/>
      <c r="I248" s="42"/>
      <c r="J248" s="856"/>
      <c r="K248" s="42"/>
      <c r="L248" s="856"/>
      <c r="M248" s="856"/>
      <c r="O248" s="65" t="s">
        <v>1695</v>
      </c>
      <c r="P248" s="2258"/>
      <c r="Q248" s="520"/>
    </row>
    <row r="249" spans="1:31" ht="11.25" customHeight="1">
      <c r="B249" s="140" t="s">
        <v>3565</v>
      </c>
      <c r="D249" s="140"/>
      <c r="E249" s="140"/>
      <c r="F249" s="140"/>
      <c r="G249" s="140"/>
      <c r="H249" s="40"/>
      <c r="I249" s="2398"/>
      <c r="J249" s="2398"/>
      <c r="K249" s="2398"/>
      <c r="L249" s="2376"/>
      <c r="M249" s="2376"/>
      <c r="N249" s="2376"/>
      <c r="O249" s="2376"/>
      <c r="P249" s="2376"/>
      <c r="Q249" s="855"/>
    </row>
    <row r="250" spans="1:31" ht="11.4" customHeight="1">
      <c r="A250" s="2707" t="s">
        <v>7046</v>
      </c>
      <c r="B250" s="2708"/>
      <c r="C250" s="2708"/>
      <c r="D250" s="2708"/>
      <c r="E250" s="2708"/>
      <c r="F250" s="2708"/>
      <c r="G250" s="2708"/>
      <c r="H250" s="2708"/>
      <c r="I250" s="2708"/>
      <c r="J250" s="2708"/>
      <c r="K250" s="2708"/>
      <c r="L250" s="2708"/>
      <c r="M250" s="2708"/>
      <c r="N250" s="2708"/>
      <c r="O250" s="2708"/>
      <c r="P250" s="2708"/>
      <c r="Q250" s="2709"/>
      <c r="R250" s="440" t="s">
        <v>1228</v>
      </c>
      <c r="S250" s="441"/>
      <c r="U250" s="135"/>
      <c r="V250" s="135"/>
      <c r="W250" s="135"/>
      <c r="X250" s="135"/>
      <c r="Y250" s="135"/>
      <c r="Z250" s="135"/>
      <c r="AA250" s="135"/>
      <c r="AB250" s="135"/>
      <c r="AC250" s="135"/>
      <c r="AD250" s="135"/>
      <c r="AE250" s="457"/>
    </row>
    <row r="251" spans="1:31" ht="11.25" customHeight="1">
      <c r="B251" s="136" t="s">
        <v>1819</v>
      </c>
      <c r="C251" s="137"/>
      <c r="D251" s="2378"/>
      <c r="E251" s="2378"/>
      <c r="F251" s="2378"/>
      <c r="G251" s="2378"/>
      <c r="H251" s="2378"/>
      <c r="I251" s="2378"/>
      <c r="J251" s="2378"/>
      <c r="K251" s="2378"/>
      <c r="L251" s="2378"/>
      <c r="M251" s="2378"/>
      <c r="N251" s="2378"/>
      <c r="O251" s="2378"/>
      <c r="P251" s="2378"/>
      <c r="Q251" s="2378"/>
    </row>
    <row r="252" spans="1:31" ht="11.25" customHeight="1">
      <c r="A252" s="2701"/>
      <c r="B252" s="2702"/>
      <c r="C252" s="2702"/>
      <c r="D252" s="2702"/>
      <c r="E252" s="2702"/>
      <c r="F252" s="2702"/>
      <c r="G252" s="2702"/>
      <c r="H252" s="2702"/>
      <c r="I252" s="2702"/>
      <c r="J252" s="2702"/>
      <c r="K252" s="2702"/>
      <c r="L252" s="2702"/>
      <c r="M252" s="2702"/>
      <c r="N252" s="2702"/>
      <c r="O252" s="2702"/>
      <c r="P252" s="2702"/>
      <c r="Q252" s="2703"/>
    </row>
    <row r="253" spans="1:31" ht="3" customHeight="1">
      <c r="A253" s="2376"/>
      <c r="B253" s="2398"/>
      <c r="C253" s="2378"/>
      <c r="D253" s="2378"/>
      <c r="E253" s="2378"/>
      <c r="F253" s="2378"/>
      <c r="G253" s="2378"/>
      <c r="H253" s="2378"/>
      <c r="I253" s="2378"/>
      <c r="J253" s="2378"/>
      <c r="K253" s="2378"/>
      <c r="L253" s="2378"/>
      <c r="M253" s="2378"/>
      <c r="Q253" s="2376"/>
    </row>
    <row r="254" spans="1:31" ht="14.1" customHeight="1">
      <c r="A254" s="2371" t="s">
        <v>2690</v>
      </c>
      <c r="B254" s="4" t="s">
        <v>4561</v>
      </c>
      <c r="C254" s="4"/>
      <c r="D254" s="86"/>
      <c r="E254" s="86"/>
      <c r="F254" s="86"/>
      <c r="G254" s="86"/>
      <c r="H254" s="2378"/>
      <c r="I254" s="2378"/>
      <c r="J254" s="2378"/>
      <c r="K254" s="2378"/>
      <c r="L254" s="1536"/>
      <c r="M254" s="1537"/>
      <c r="O254" s="131" t="s">
        <v>1820</v>
      </c>
      <c r="P254" s="2718"/>
      <c r="Q254" s="2719"/>
    </row>
    <row r="255" spans="1:31" ht="11.4" customHeight="1">
      <c r="A255" s="47" t="s">
        <v>1935</v>
      </c>
      <c r="B255" s="52" t="s">
        <v>1242</v>
      </c>
      <c r="D255" s="42"/>
      <c r="E255" s="52"/>
      <c r="F255" s="52"/>
      <c r="J255" s="455" t="s">
        <v>1935</v>
      </c>
      <c r="K255" s="2698" t="s">
        <v>1727</v>
      </c>
      <c r="L255" s="2699"/>
      <c r="M255" s="2699"/>
      <c r="N255" s="2699"/>
      <c r="O255" s="2700"/>
      <c r="P255" s="4120" t="s">
        <v>1727</v>
      </c>
      <c r="Q255" s="4121"/>
    </row>
    <row r="256" spans="1:31" ht="11.4" customHeight="1">
      <c r="A256" s="47" t="s">
        <v>1937</v>
      </c>
      <c r="B256" s="52" t="s">
        <v>2716</v>
      </c>
      <c r="D256" s="52"/>
      <c r="E256" s="52"/>
      <c r="F256" s="52"/>
      <c r="J256" s="455" t="s">
        <v>1937</v>
      </c>
      <c r="K256" s="2899"/>
      <c r="L256" s="2900"/>
      <c r="M256" s="2900"/>
      <c r="N256" s="2900"/>
      <c r="O256" s="2901"/>
      <c r="P256" s="4122"/>
      <c r="Q256" s="4123"/>
    </row>
    <row r="257" spans="1:32" s="147" customFormat="1" ht="11.4" customHeight="1">
      <c r="A257" s="47"/>
      <c r="B257" s="52" t="s">
        <v>1897</v>
      </c>
      <c r="D257" s="52"/>
      <c r="E257" s="52"/>
      <c r="F257" s="52"/>
      <c r="K257" s="2711"/>
      <c r="L257" s="2712"/>
      <c r="M257" s="2712"/>
      <c r="N257" s="2712"/>
      <c r="O257" s="2713"/>
      <c r="P257" s="4124"/>
      <c r="Q257" s="4125"/>
      <c r="AE257" s="459"/>
      <c r="AF257" s="459"/>
    </row>
    <row r="258" spans="1:32" s="147" customFormat="1" ht="11.4" customHeight="1">
      <c r="A258" s="47"/>
      <c r="B258" s="52" t="s">
        <v>2476</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4352</v>
      </c>
      <c r="D259" s="52"/>
      <c r="E259" s="52"/>
      <c r="F259" s="52"/>
      <c r="J259" s="455" t="s">
        <v>731</v>
      </c>
      <c r="K259" s="2896"/>
      <c r="L259" s="2897"/>
      <c r="M259" s="2897"/>
      <c r="N259" s="2897"/>
      <c r="O259" s="2898"/>
      <c r="P259" s="4126"/>
      <c r="Q259" s="4127"/>
      <c r="AE259" s="459"/>
      <c r="AF259" s="459"/>
    </row>
    <row r="260" spans="1:32" s="147" customFormat="1" ht="11.4" customHeight="1">
      <c r="A260" s="47"/>
      <c r="B260" s="52" t="s">
        <v>4265</v>
      </c>
      <c r="D260" s="52"/>
      <c r="E260" s="52"/>
      <c r="F260" s="52"/>
      <c r="AE260" s="459"/>
      <c r="AF260" s="459"/>
    </row>
    <row r="261" spans="1:32" s="147" customFormat="1" ht="11.4" customHeight="1">
      <c r="A261" s="47"/>
      <c r="C261" s="52" t="s">
        <v>4263</v>
      </c>
      <c r="D261" s="52"/>
      <c r="E261" s="52"/>
      <c r="F261" s="52"/>
      <c r="K261" s="455" t="s">
        <v>4262</v>
      </c>
      <c r="L261" s="2269"/>
      <c r="M261" s="36"/>
      <c r="N261" s="979"/>
      <c r="O261" s="979"/>
      <c r="P261" s="2256"/>
      <c r="Q261" s="518"/>
      <c r="AE261" s="459"/>
      <c r="AF261" s="459"/>
    </row>
    <row r="262" spans="1:32" s="147" customFormat="1" ht="11.4" customHeight="1">
      <c r="A262" s="47"/>
      <c r="B262" s="52"/>
      <c r="C262" s="55" t="s">
        <v>4484</v>
      </c>
      <c r="D262" s="52"/>
      <c r="E262" s="52"/>
      <c r="F262" s="52"/>
      <c r="K262" s="455" t="s">
        <v>4264</v>
      </c>
      <c r="L262" s="2270"/>
      <c r="M262" s="36"/>
      <c r="N262" s="979"/>
      <c r="O262" s="979"/>
      <c r="P262" s="2258"/>
      <c r="Q262" s="520"/>
      <c r="AE262" s="459"/>
      <c r="AF262" s="459"/>
    </row>
    <row r="263" spans="1:32" s="147" customFormat="1" ht="11.4" customHeight="1">
      <c r="A263" s="47"/>
      <c r="B263" s="52" t="s">
        <v>4261</v>
      </c>
      <c r="D263" s="52"/>
      <c r="E263" s="52"/>
      <c r="F263" s="52"/>
      <c r="K263" s="2698"/>
      <c r="L263" s="2699"/>
      <c r="M263" s="2699"/>
      <c r="N263" s="2699"/>
      <c r="O263" s="2700"/>
      <c r="P263" s="4128"/>
      <c r="Q263" s="4129"/>
      <c r="AE263" s="459"/>
      <c r="AF263" s="459"/>
    </row>
    <row r="264" spans="1:32" s="147" customFormat="1" ht="11.4" customHeight="1">
      <c r="A264" s="47" t="s">
        <v>2064</v>
      </c>
      <c r="B264" s="52" t="s">
        <v>3673</v>
      </c>
      <c r="D264" s="52"/>
      <c r="E264" s="52"/>
      <c r="F264" s="52"/>
      <c r="G264" s="52"/>
      <c r="H264" s="52"/>
      <c r="I264" s="94"/>
      <c r="J264" s="94"/>
      <c r="K264" s="94"/>
      <c r="M264" s="36"/>
      <c r="N264" s="979"/>
      <c r="O264" s="455" t="s">
        <v>2064</v>
      </c>
      <c r="P264" s="2256"/>
      <c r="Q264" s="518"/>
      <c r="AE264" s="459"/>
      <c r="AF264" s="459"/>
    </row>
    <row r="265" spans="1:32" s="147" customFormat="1" ht="11.4" customHeight="1">
      <c r="A265" s="47"/>
      <c r="B265" s="2710" t="s">
        <v>3571</v>
      </c>
      <c r="C265" s="2710"/>
      <c r="D265" s="2710"/>
      <c r="E265" s="2710"/>
      <c r="F265" s="2710"/>
      <c r="G265" s="2710"/>
      <c r="H265" s="427" t="s">
        <v>3795</v>
      </c>
      <c r="K265" s="94"/>
      <c r="M265" s="36"/>
      <c r="N265" s="979"/>
      <c r="O265" s="65" t="s">
        <v>1694</v>
      </c>
      <c r="P265" s="2257"/>
      <c r="Q265" s="519"/>
      <c r="AE265" s="459"/>
      <c r="AF265" s="459"/>
    </row>
    <row r="266" spans="1:32" s="147" customFormat="1" ht="11.4" customHeight="1">
      <c r="A266" s="47"/>
      <c r="B266" s="2710"/>
      <c r="C266" s="2710"/>
      <c r="D266" s="2710"/>
      <c r="E266" s="2710"/>
      <c r="F266" s="2710"/>
      <c r="G266" s="2710"/>
      <c r="H266" s="55" t="s">
        <v>3796</v>
      </c>
      <c r="K266" s="94"/>
      <c r="M266" s="36"/>
      <c r="N266" s="979"/>
      <c r="O266" s="65" t="s">
        <v>1695</v>
      </c>
      <c r="P266" s="2257"/>
      <c r="Q266" s="519"/>
      <c r="AE266" s="459"/>
      <c r="AF266" s="459"/>
    </row>
    <row r="267" spans="1:32" s="147" customFormat="1" ht="11.4" customHeight="1">
      <c r="A267" s="47"/>
      <c r="B267" s="52"/>
      <c r="D267" s="52"/>
      <c r="E267" s="52"/>
      <c r="F267" s="52"/>
      <c r="G267" s="52"/>
      <c r="H267" s="55" t="s">
        <v>3797</v>
      </c>
      <c r="K267" s="94"/>
      <c r="M267" s="36"/>
      <c r="N267" s="979"/>
      <c r="O267" s="65" t="s">
        <v>1696</v>
      </c>
      <c r="P267" s="2257"/>
      <c r="Q267" s="519"/>
      <c r="AE267" s="459"/>
      <c r="AF267" s="459"/>
    </row>
    <row r="268" spans="1:32" s="147" customFormat="1" ht="11.4" customHeight="1">
      <c r="A268" s="47"/>
      <c r="B268" s="52"/>
      <c r="D268" s="52"/>
      <c r="E268" s="52"/>
      <c r="F268" s="52"/>
      <c r="G268" s="52"/>
      <c r="H268" s="55" t="s">
        <v>3798</v>
      </c>
      <c r="K268" s="94"/>
      <c r="M268" s="36"/>
      <c r="N268" s="979"/>
      <c r="O268" s="455" t="s">
        <v>2304</v>
      </c>
      <c r="P268" s="2257"/>
      <c r="Q268" s="519"/>
      <c r="AE268" s="459"/>
      <c r="AF268" s="459"/>
    </row>
    <row r="269" spans="1:32" s="147" customFormat="1" ht="21.75" customHeight="1">
      <c r="B269" s="2710" t="s">
        <v>4707</v>
      </c>
      <c r="C269" s="2710"/>
      <c r="D269" s="2710"/>
      <c r="E269" s="2710"/>
      <c r="F269" s="2710"/>
      <c r="G269" s="2710"/>
      <c r="H269" s="2710"/>
      <c r="I269" s="2710"/>
      <c r="J269" s="2710"/>
      <c r="K269" s="2710"/>
      <c r="L269" s="2710"/>
      <c r="M269" s="2710"/>
      <c r="N269" s="2710"/>
      <c r="O269" s="160" t="s">
        <v>1516</v>
      </c>
      <c r="P269" s="2389"/>
      <c r="Q269" s="2253"/>
      <c r="T269" s="459"/>
      <c r="AE269" s="459"/>
      <c r="AF269" s="459"/>
    </row>
    <row r="270" spans="1:32" ht="11.25" customHeight="1">
      <c r="B270" s="140" t="s">
        <v>3565</v>
      </c>
      <c r="D270" s="140"/>
      <c r="E270" s="140"/>
      <c r="F270" s="140"/>
      <c r="G270" s="140"/>
      <c r="H270" s="40"/>
      <c r="I270" s="2398"/>
      <c r="J270" s="2398"/>
      <c r="K270" s="2398"/>
      <c r="L270" s="2376"/>
      <c r="M270" s="2376"/>
      <c r="N270" s="2376"/>
      <c r="O270" s="2376"/>
      <c r="P270" s="2376"/>
      <c r="Q270" s="855"/>
    </row>
    <row r="271" spans="1:32" ht="13.35" customHeight="1">
      <c r="A271" s="2707" t="s">
        <v>948</v>
      </c>
      <c r="B271" s="2708"/>
      <c r="C271" s="2708"/>
      <c r="D271" s="2708"/>
      <c r="E271" s="2708"/>
      <c r="F271" s="2708"/>
      <c r="G271" s="2708"/>
      <c r="H271" s="2708"/>
      <c r="I271" s="2708"/>
      <c r="J271" s="2708"/>
      <c r="K271" s="2708"/>
      <c r="L271" s="2708"/>
      <c r="M271" s="2708"/>
      <c r="N271" s="2708"/>
      <c r="O271" s="2708"/>
      <c r="P271" s="2708"/>
      <c r="Q271" s="2709"/>
      <c r="R271" s="440" t="s">
        <v>1228</v>
      </c>
      <c r="S271" s="441"/>
      <c r="U271" s="135"/>
      <c r="V271" s="135"/>
      <c r="W271" s="135"/>
      <c r="X271" s="135"/>
      <c r="Y271" s="135"/>
      <c r="Z271" s="135"/>
      <c r="AA271" s="135"/>
      <c r="AB271" s="135"/>
      <c r="AC271" s="135"/>
      <c r="AD271" s="135"/>
      <c r="AE271" s="457"/>
    </row>
    <row r="272" spans="1:32" ht="11.1" customHeight="1">
      <c r="B272" s="136" t="s">
        <v>1819</v>
      </c>
      <c r="C272" s="137"/>
      <c r="D272" s="2378"/>
      <c r="E272" s="2378"/>
      <c r="F272" s="2378"/>
      <c r="G272" s="2378"/>
      <c r="H272" s="2378"/>
      <c r="I272" s="2378"/>
      <c r="J272" s="2378"/>
      <c r="K272" s="2378"/>
      <c r="L272" s="2378"/>
      <c r="M272" s="2378"/>
      <c r="N272" s="2378"/>
      <c r="O272" s="2378"/>
      <c r="P272" s="2378"/>
      <c r="Q272" s="2378"/>
    </row>
    <row r="273" spans="1:32" ht="13.35" customHeight="1">
      <c r="A273" s="2701"/>
      <c r="B273" s="2702"/>
      <c r="C273" s="2702"/>
      <c r="D273" s="2702"/>
      <c r="E273" s="2702"/>
      <c r="F273" s="2702"/>
      <c r="G273" s="2702"/>
      <c r="H273" s="2702"/>
      <c r="I273" s="2702"/>
      <c r="J273" s="2702"/>
      <c r="K273" s="2702"/>
      <c r="L273" s="2702"/>
      <c r="M273" s="2702"/>
      <c r="N273" s="2702"/>
      <c r="O273" s="2702"/>
      <c r="P273" s="2702"/>
      <c r="Q273" s="2703"/>
    </row>
    <row r="274" spans="1:32" ht="3" customHeight="1">
      <c r="A274" s="2376"/>
      <c r="B274" s="2398"/>
      <c r="C274" s="2378"/>
      <c r="D274" s="2378"/>
      <c r="E274" s="2378"/>
      <c r="F274" s="2378"/>
      <c r="G274" s="2378"/>
      <c r="H274" s="2378"/>
      <c r="I274" s="2378"/>
      <c r="J274" s="2378"/>
      <c r="K274" s="2378"/>
      <c r="L274" s="2378"/>
      <c r="M274" s="2378"/>
      <c r="Q274" s="2376"/>
    </row>
    <row r="275" spans="1:32" ht="14.1" customHeight="1">
      <c r="A275" s="2371" t="s">
        <v>2193</v>
      </c>
      <c r="B275" s="4" t="s">
        <v>2588</v>
      </c>
      <c r="C275" s="4"/>
      <c r="D275" s="86"/>
      <c r="E275" s="86"/>
      <c r="F275" s="86"/>
      <c r="G275" s="86"/>
      <c r="H275" s="2378"/>
      <c r="I275" s="2378"/>
      <c r="J275" s="2378"/>
      <c r="K275" s="2378"/>
      <c r="L275" s="2378"/>
      <c r="M275" s="2378"/>
      <c r="O275" s="131" t="s">
        <v>1820</v>
      </c>
      <c r="P275" s="2718"/>
      <c r="Q275" s="2719"/>
    </row>
    <row r="276" spans="1:32" s="411" customFormat="1" ht="21.75" customHeight="1">
      <c r="A276" s="141" t="s">
        <v>1935</v>
      </c>
      <c r="B276" s="2378" t="s">
        <v>1694</v>
      </c>
      <c r="C276" s="2710" t="s">
        <v>4708</v>
      </c>
      <c r="D276" s="2710"/>
      <c r="E276" s="2710"/>
      <c r="F276" s="2710"/>
      <c r="G276" s="2710"/>
      <c r="H276" s="2710"/>
      <c r="I276" s="2710"/>
      <c r="J276" s="2710"/>
      <c r="K276" s="2710"/>
      <c r="L276" s="2710"/>
      <c r="M276" s="2710"/>
      <c r="N276" s="2710"/>
      <c r="O276" s="1725" t="s">
        <v>1455</v>
      </c>
      <c r="P276" s="2268" t="s">
        <v>2884</v>
      </c>
      <c r="Q276" s="1088"/>
      <c r="AE276" s="460"/>
      <c r="AF276" s="460"/>
    </row>
    <row r="277" spans="1:32" s="147" customFormat="1" ht="11.4" customHeight="1">
      <c r="A277" s="47"/>
      <c r="B277" s="2378" t="s">
        <v>1695</v>
      </c>
      <c r="C277" s="52" t="s">
        <v>3568</v>
      </c>
      <c r="D277" s="52"/>
      <c r="E277" s="52"/>
      <c r="F277" s="52"/>
      <c r="G277" s="52"/>
      <c r="H277" s="52"/>
      <c r="I277" s="52"/>
      <c r="J277" s="52"/>
      <c r="K277" s="52"/>
      <c r="L277" s="52"/>
      <c r="M277" s="52"/>
      <c r="O277" s="1725" t="s">
        <v>1695</v>
      </c>
      <c r="P277" s="2258" t="s">
        <v>2884</v>
      </c>
      <c r="Q277" s="520"/>
      <c r="AE277" s="459"/>
      <c r="AF277" s="459"/>
    </row>
    <row r="278" spans="1:32" s="147" customFormat="1" ht="11.4" customHeight="1">
      <c r="A278" s="47" t="s">
        <v>1937</v>
      </c>
      <c r="B278" s="52" t="s">
        <v>3569</v>
      </c>
      <c r="D278" s="52"/>
      <c r="E278" s="52"/>
      <c r="F278" s="52"/>
      <c r="G278" s="52"/>
      <c r="H278" s="52"/>
      <c r="I278" s="52"/>
      <c r="J278" s="52"/>
      <c r="K278" s="52"/>
      <c r="L278" s="52"/>
      <c r="M278" s="52"/>
      <c r="O278" s="455" t="s">
        <v>1937</v>
      </c>
      <c r="P278" s="2258" t="s">
        <v>2884</v>
      </c>
      <c r="Q278" s="520"/>
      <c r="AE278" s="459"/>
      <c r="AF278" s="459"/>
    </row>
    <row r="279" spans="1:32" s="411" customFormat="1" ht="19.95" customHeight="1">
      <c r="A279" s="141" t="s">
        <v>731</v>
      </c>
      <c r="B279" s="2378" t="s">
        <v>1694</v>
      </c>
      <c r="C279" s="2710" t="s">
        <v>4744</v>
      </c>
      <c r="D279" s="2710"/>
      <c r="E279" s="2710"/>
      <c r="F279" s="2710"/>
      <c r="G279" s="2710"/>
      <c r="H279" s="2710"/>
      <c r="I279" s="2710"/>
      <c r="J279" s="2710"/>
      <c r="K279" s="2710"/>
      <c r="L279" s="2710"/>
      <c r="M279" s="2710"/>
      <c r="N279" s="2710"/>
      <c r="O279" s="1725" t="s">
        <v>4745</v>
      </c>
      <c r="P279" s="2268" t="s">
        <v>2884</v>
      </c>
      <c r="Q279" s="1088"/>
      <c r="AE279" s="460"/>
      <c r="AF279" s="460"/>
    </row>
    <row r="280" spans="1:32" s="147" customFormat="1" ht="11.4" customHeight="1">
      <c r="A280" s="47"/>
      <c r="B280" s="2378" t="s">
        <v>1695</v>
      </c>
      <c r="C280" s="52" t="s">
        <v>3570</v>
      </c>
      <c r="D280" s="52"/>
      <c r="E280" s="52"/>
      <c r="F280" s="52"/>
      <c r="G280" s="52"/>
      <c r="H280" s="52"/>
      <c r="I280" s="52"/>
      <c r="J280" s="52"/>
      <c r="K280" s="52"/>
      <c r="L280" s="52"/>
      <c r="M280" s="52"/>
      <c r="O280" s="1725" t="s">
        <v>1695</v>
      </c>
      <c r="P280" s="2258" t="s">
        <v>2884</v>
      </c>
      <c r="Q280" s="520"/>
      <c r="AE280" s="459"/>
      <c r="AF280" s="459"/>
    </row>
    <row r="281" spans="1:32" s="147" customFormat="1" ht="22.5" customHeight="1">
      <c r="A281" s="141" t="s">
        <v>2064</v>
      </c>
      <c r="B281" s="2710" t="s">
        <v>4746</v>
      </c>
      <c r="C281" s="2710"/>
      <c r="D281" s="2710"/>
      <c r="E281" s="2710"/>
      <c r="F281" s="2710"/>
      <c r="G281" s="2710"/>
      <c r="H281" s="2710"/>
      <c r="I281" s="2710"/>
      <c r="J281" s="2710"/>
      <c r="K281" s="2710"/>
      <c r="L281" s="2710"/>
      <c r="M281" s="2710"/>
      <c r="N281" s="2710"/>
      <c r="O281" s="455" t="s">
        <v>2064</v>
      </c>
      <c r="P281" s="2389" t="s">
        <v>2884</v>
      </c>
      <c r="Q281" s="2253"/>
      <c r="AE281" s="459"/>
      <c r="AF281" s="459"/>
    </row>
    <row r="282" spans="1:32" ht="11.25" customHeight="1">
      <c r="B282" s="140" t="s">
        <v>3565</v>
      </c>
      <c r="D282" s="140"/>
      <c r="E282" s="140"/>
      <c r="F282" s="140"/>
      <c r="G282" s="140"/>
      <c r="H282" s="40"/>
      <c r="I282" s="2398"/>
      <c r="J282" s="2398"/>
      <c r="K282" s="2398"/>
      <c r="L282" s="2376"/>
      <c r="M282" s="2376"/>
      <c r="N282" s="2376"/>
      <c r="O282" s="2376"/>
      <c r="P282" s="2376"/>
      <c r="Q282" s="855"/>
    </row>
    <row r="283" spans="1:32" ht="24.75" customHeight="1">
      <c r="A283" s="2707" t="s">
        <v>7047</v>
      </c>
      <c r="B283" s="2708"/>
      <c r="C283" s="2708"/>
      <c r="D283" s="2708"/>
      <c r="E283" s="2708"/>
      <c r="F283" s="2708"/>
      <c r="G283" s="2708"/>
      <c r="H283" s="2708"/>
      <c r="I283" s="2708"/>
      <c r="J283" s="2708"/>
      <c r="K283" s="2708"/>
      <c r="L283" s="2708"/>
      <c r="M283" s="2708"/>
      <c r="N283" s="2708"/>
      <c r="O283" s="2708"/>
      <c r="P283" s="2708"/>
      <c r="Q283" s="2709"/>
      <c r="R283" s="440" t="s">
        <v>1228</v>
      </c>
      <c r="S283" s="441"/>
      <c r="U283" s="135"/>
      <c r="V283" s="135"/>
      <c r="W283" s="135"/>
      <c r="X283" s="135"/>
      <c r="Y283" s="135"/>
      <c r="Z283" s="135"/>
      <c r="AA283" s="135"/>
      <c r="AB283" s="135"/>
      <c r="AC283" s="135"/>
      <c r="AD283" s="135"/>
      <c r="AE283" s="457"/>
    </row>
    <row r="284" spans="1:32" ht="11.25" customHeight="1">
      <c r="B284" s="136" t="s">
        <v>1819</v>
      </c>
      <c r="C284" s="137"/>
      <c r="D284" s="2378"/>
      <c r="E284" s="2378"/>
      <c r="F284" s="2378"/>
      <c r="G284" s="2378"/>
      <c r="H284" s="2378"/>
      <c r="I284" s="2378"/>
      <c r="J284" s="2378"/>
      <c r="K284" s="2378"/>
      <c r="L284" s="2378"/>
      <c r="M284" s="2378"/>
      <c r="N284" s="2378"/>
      <c r="O284" s="2378"/>
      <c r="P284" s="2378"/>
      <c r="Q284" s="2378"/>
    </row>
    <row r="285" spans="1:32" ht="13.35" customHeight="1">
      <c r="A285" s="2701"/>
      <c r="B285" s="2702"/>
      <c r="C285" s="2702"/>
      <c r="D285" s="2702"/>
      <c r="E285" s="2702"/>
      <c r="F285" s="2702"/>
      <c r="G285" s="2702"/>
      <c r="H285" s="2702"/>
      <c r="I285" s="2702"/>
      <c r="J285" s="2702"/>
      <c r="K285" s="2702"/>
      <c r="L285" s="2702"/>
      <c r="M285" s="2702"/>
      <c r="N285" s="2702"/>
      <c r="O285" s="2702"/>
      <c r="P285" s="2702"/>
      <c r="Q285" s="2703"/>
    </row>
    <row r="286" spans="1:32" ht="3" customHeight="1"/>
    <row r="287" spans="1:32" ht="14.1" customHeight="1">
      <c r="A287" s="2371" t="s">
        <v>3783</v>
      </c>
      <c r="B287" s="2371" t="s">
        <v>2589</v>
      </c>
      <c r="C287" s="2371"/>
      <c r="D287" s="2378"/>
      <c r="E287" s="2378"/>
      <c r="F287" s="2378"/>
      <c r="G287" s="2378"/>
      <c r="H287" s="2378"/>
      <c r="I287" s="2378"/>
      <c r="J287" s="2378"/>
      <c r="K287" s="2378"/>
      <c r="L287" s="2378"/>
      <c r="M287" s="2378"/>
      <c r="O287" s="131" t="s">
        <v>1820</v>
      </c>
      <c r="P287" s="2718"/>
      <c r="Q287" s="2719"/>
    </row>
    <row r="288" spans="1:32" s="411" customFormat="1" ht="30" customHeight="1">
      <c r="A288" s="141" t="s">
        <v>1935</v>
      </c>
      <c r="B288" s="857" t="s">
        <v>1694</v>
      </c>
      <c r="C288" s="2710" t="s">
        <v>4391</v>
      </c>
      <c r="D288" s="2710"/>
      <c r="E288" s="2710"/>
      <c r="F288" s="2710"/>
      <c r="G288" s="2710"/>
      <c r="H288" s="2710"/>
      <c r="I288" s="2710"/>
      <c r="J288" s="2710"/>
      <c r="K288" s="2710"/>
      <c r="L288" s="2710"/>
      <c r="M288" s="2710"/>
      <c r="N288" s="2710"/>
      <c r="O288" s="160" t="s">
        <v>1935</v>
      </c>
      <c r="P288" s="2268" t="s">
        <v>7035</v>
      </c>
      <c r="Q288" s="1088"/>
      <c r="AE288" s="460"/>
      <c r="AF288" s="460"/>
    </row>
    <row r="289" spans="1:32" s="411" customFormat="1" ht="21.75" customHeight="1">
      <c r="A289" s="141"/>
      <c r="B289" s="857" t="s">
        <v>1695</v>
      </c>
      <c r="C289" s="2710" t="s">
        <v>2717</v>
      </c>
      <c r="D289" s="2710"/>
      <c r="E289" s="2710"/>
      <c r="F289" s="2710"/>
      <c r="G289" s="2710"/>
      <c r="H289" s="2710"/>
      <c r="I289" s="2710"/>
      <c r="J289" s="2710"/>
      <c r="K289" s="2710"/>
      <c r="L289" s="2710"/>
      <c r="M289" s="2710"/>
      <c r="N289" s="2710"/>
      <c r="O289" s="160"/>
      <c r="P289" s="2389" t="s">
        <v>7035</v>
      </c>
      <c r="Q289" s="2253"/>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4549</v>
      </c>
      <c r="C291" s="158"/>
      <c r="D291" s="548"/>
      <c r="E291" s="548"/>
      <c r="F291" s="158"/>
      <c r="H291" s="158"/>
      <c r="I291" s="158"/>
      <c r="O291" s="455" t="s">
        <v>1937</v>
      </c>
      <c r="P291" s="2271" t="s">
        <v>7035</v>
      </c>
      <c r="Q291" s="1089"/>
      <c r="R291" s="455"/>
    </row>
    <row r="292" spans="1:32" s="102" customFormat="1" ht="11.4" customHeight="1">
      <c r="A292" s="42"/>
      <c r="B292" s="140" t="s">
        <v>3565</v>
      </c>
      <c r="C292" s="42"/>
      <c r="D292" s="48"/>
      <c r="E292" s="48"/>
      <c r="F292" s="48"/>
      <c r="G292" s="48"/>
      <c r="K292" s="36"/>
      <c r="M292" s="46"/>
      <c r="N292" s="6"/>
      <c r="O292" s="3"/>
      <c r="P292" s="2375"/>
    </row>
    <row r="293" spans="1:32" s="43" customFormat="1" ht="35.25" customHeight="1">
      <c r="A293" s="2707" t="s">
        <v>7120</v>
      </c>
      <c r="B293" s="2708"/>
      <c r="C293" s="2708"/>
      <c r="D293" s="2708"/>
      <c r="E293" s="2708"/>
      <c r="F293" s="2708"/>
      <c r="G293" s="2708"/>
      <c r="H293" s="2708"/>
      <c r="I293" s="2708"/>
      <c r="J293" s="2708"/>
      <c r="K293" s="2708"/>
      <c r="L293" s="2708"/>
      <c r="M293" s="2708"/>
      <c r="N293" s="2708"/>
      <c r="O293" s="2708"/>
      <c r="P293" s="2708"/>
      <c r="Q293" s="2709"/>
      <c r="R293" s="440" t="s">
        <v>1228</v>
      </c>
    </row>
    <row r="294" spans="1:32" s="43" customFormat="1" ht="11.25" customHeight="1">
      <c r="A294" s="35"/>
      <c r="B294" s="136" t="s">
        <v>1819</v>
      </c>
      <c r="C294" s="137"/>
      <c r="D294" s="2378"/>
      <c r="E294" s="2378"/>
      <c r="F294" s="2378"/>
      <c r="G294" s="2378"/>
      <c r="H294" s="2378"/>
      <c r="I294" s="2378"/>
      <c r="J294" s="2378"/>
      <c r="K294" s="2378"/>
      <c r="L294" s="2378"/>
      <c r="M294" s="2378"/>
      <c r="N294" s="2378"/>
      <c r="O294" s="2378"/>
      <c r="P294" s="2378"/>
      <c r="Q294" s="2378"/>
      <c r="R294" s="35"/>
    </row>
    <row r="295" spans="1:32" s="43" customFormat="1" ht="11.25" customHeight="1">
      <c r="A295" s="2701"/>
      <c r="B295" s="2702"/>
      <c r="C295" s="2702"/>
      <c r="D295" s="2702"/>
      <c r="E295" s="2702"/>
      <c r="F295" s="2702"/>
      <c r="G295" s="2702"/>
      <c r="H295" s="2702"/>
      <c r="I295" s="2702"/>
      <c r="J295" s="2702"/>
      <c r="K295" s="2702"/>
      <c r="L295" s="2702"/>
      <c r="M295" s="2702"/>
      <c r="N295" s="2702"/>
      <c r="O295" s="2702"/>
      <c r="P295" s="2702"/>
      <c r="Q295" s="2703"/>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1" t="s">
        <v>3784</v>
      </c>
      <c r="B297" s="2371" t="s">
        <v>2590</v>
      </c>
      <c r="C297" s="2373"/>
      <c r="D297" s="2383"/>
      <c r="E297" s="2378"/>
      <c r="F297" s="2378"/>
      <c r="G297" s="2378"/>
      <c r="H297" s="2378"/>
      <c r="I297" s="2378"/>
      <c r="J297" s="2378"/>
      <c r="K297" s="2378"/>
      <c r="L297" s="2378"/>
      <c r="M297" s="2378"/>
      <c r="O297" s="131" t="s">
        <v>1820</v>
      </c>
      <c r="P297" s="2718"/>
      <c r="Q297" s="2719"/>
    </row>
    <row r="298" spans="1:32" ht="12.75" customHeight="1">
      <c r="A298" s="138" t="s">
        <v>1935</v>
      </c>
      <c r="B298" s="179" t="s">
        <v>3799</v>
      </c>
    </row>
    <row r="299" spans="1:32" s="147" customFormat="1" ht="44.25" customHeight="1">
      <c r="A299" s="141"/>
      <c r="B299" s="1488" t="s">
        <v>1694</v>
      </c>
      <c r="C299" s="2710" t="s">
        <v>3675</v>
      </c>
      <c r="D299" s="2710"/>
      <c r="E299" s="2710"/>
      <c r="F299" s="2710"/>
      <c r="G299" s="2710"/>
      <c r="H299" s="2710"/>
      <c r="I299" s="2710"/>
      <c r="J299" s="2710"/>
      <c r="K299" s="2710"/>
      <c r="L299" s="2710"/>
      <c r="M299" s="2710"/>
      <c r="N299" s="2710"/>
      <c r="O299" s="160" t="s">
        <v>2642</v>
      </c>
      <c r="P299" s="2268" t="s">
        <v>2884</v>
      </c>
      <c r="Q299" s="1088"/>
      <c r="AE299" s="459"/>
      <c r="AF299" s="459"/>
    </row>
    <row r="300" spans="1:32" s="411" customFormat="1" ht="12" customHeight="1">
      <c r="A300" s="141"/>
      <c r="B300" s="1488" t="s">
        <v>1695</v>
      </c>
      <c r="C300" s="2710" t="s">
        <v>4743</v>
      </c>
      <c r="D300" s="2710"/>
      <c r="E300" s="2710"/>
      <c r="F300" s="2710"/>
      <c r="G300" s="2710"/>
      <c r="H300" s="2710"/>
      <c r="I300" s="2710"/>
      <c r="J300" s="2710"/>
      <c r="K300" s="2710"/>
      <c r="L300" s="2710"/>
      <c r="M300" s="2710"/>
      <c r="N300" s="2710"/>
      <c r="O300" s="148" t="s">
        <v>1695</v>
      </c>
      <c r="P300" s="2381" t="s">
        <v>2884</v>
      </c>
      <c r="Q300" s="2380"/>
      <c r="AE300" s="460"/>
      <c r="AF300" s="460"/>
    </row>
    <row r="301" spans="1:32" s="411" customFormat="1" ht="21.75" customHeight="1">
      <c r="A301" s="141"/>
      <c r="B301" s="468" t="s">
        <v>1696</v>
      </c>
      <c r="C301" s="2710" t="s">
        <v>3674</v>
      </c>
      <c r="D301" s="2710"/>
      <c r="E301" s="2710"/>
      <c r="F301" s="2710"/>
      <c r="G301" s="2710"/>
      <c r="H301" s="2710"/>
      <c r="I301" s="2710"/>
      <c r="J301" s="2710"/>
      <c r="K301" s="2710"/>
      <c r="L301" s="2710"/>
      <c r="M301" s="2710"/>
      <c r="N301" s="2710"/>
      <c r="O301" s="160" t="s">
        <v>1696</v>
      </c>
      <c r="P301" s="2389"/>
      <c r="Q301" s="2253"/>
      <c r="AE301" s="460"/>
      <c r="AF301" s="460"/>
    </row>
    <row r="302" spans="1:32" s="94" customFormat="1" ht="12.75" customHeight="1">
      <c r="A302" s="138" t="s">
        <v>1937</v>
      </c>
      <c r="B302" s="179" t="s">
        <v>3651</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710" t="s">
        <v>3562</v>
      </c>
      <c r="D303" s="2710"/>
      <c r="E303" s="2710"/>
      <c r="F303" s="2710"/>
      <c r="G303" s="2710"/>
      <c r="H303" s="2710"/>
      <c r="I303" s="139"/>
      <c r="J303" s="2740" t="s">
        <v>3601</v>
      </c>
      <c r="K303" s="2902"/>
      <c r="L303" s="2902"/>
      <c r="M303" s="2889" t="s">
        <v>3573</v>
      </c>
      <c r="N303" s="2889"/>
      <c r="AE303" s="461"/>
      <c r="AF303" s="461"/>
    </row>
    <row r="304" spans="1:32" s="293" customFormat="1" ht="10.5" customHeight="1">
      <c r="A304" s="304"/>
      <c r="B304" s="2345"/>
      <c r="C304" s="2710"/>
      <c r="D304" s="2710"/>
      <c r="E304" s="2710"/>
      <c r="F304" s="2710"/>
      <c r="G304" s="2710"/>
      <c r="H304" s="2710"/>
      <c r="I304" s="2356"/>
      <c r="J304" s="2902"/>
      <c r="K304" s="2902"/>
      <c r="L304" s="2902"/>
      <c r="M304" s="36" t="s">
        <v>3574</v>
      </c>
      <c r="N304" s="2398" t="s">
        <v>3600</v>
      </c>
      <c r="P304" s="302"/>
    </row>
    <row r="305" spans="1:33" s="293" customFormat="1" ht="13.35" customHeight="1">
      <c r="A305" s="304"/>
      <c r="B305" s="2345"/>
      <c r="C305" s="2710"/>
      <c r="D305" s="2710"/>
      <c r="E305" s="2710"/>
      <c r="F305" s="2710"/>
      <c r="G305" s="2710"/>
      <c r="H305" s="2710"/>
      <c r="I305" s="52" t="s">
        <v>3800</v>
      </c>
      <c r="K305" s="2272">
        <v>3</v>
      </c>
      <c r="L305" s="974" t="str">
        <f>IF(K305&lt;M305,"Check!!!","")</f>
        <v/>
      </c>
      <c r="M305" s="975">
        <f>ROUNDUP('Part VI-Revenues &amp; Expenses'!$P$67*'Part VIII-Threshold Criteria'!N305,0)</f>
        <v>3</v>
      </c>
      <c r="N305" s="1465">
        <f>'DCA Underwriting Assumptions'!$Q$154</f>
        <v>0.05</v>
      </c>
      <c r="O305" s="455" t="s">
        <v>3470</v>
      </c>
      <c r="P305" s="2256" t="s">
        <v>2884</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710" t="s">
        <v>3563</v>
      </c>
      <c r="D306" s="2710"/>
      <c r="E306" s="2710"/>
      <c r="F306" s="2710"/>
      <c r="G306" s="2710"/>
      <c r="H306" s="2710"/>
      <c r="I306" s="843" t="s">
        <v>3801</v>
      </c>
      <c r="J306" s="293"/>
      <c r="K306" s="2272">
        <v>2</v>
      </c>
      <c r="L306" s="974" t="str">
        <f>IF(K306&lt;M306,"Check!!!","")</f>
        <v/>
      </c>
      <c r="M306" s="975">
        <f>ROUNDUP(K305*'Part VIII-Threshold Criteria'!N306,0)</f>
        <v>2</v>
      </c>
      <c r="N306" s="1465">
        <f>'DCA Underwriting Assumptions'!$Q$155</f>
        <v>0.4</v>
      </c>
      <c r="O306" s="455" t="s">
        <v>2066</v>
      </c>
      <c r="P306" s="2753" t="s">
        <v>2884</v>
      </c>
      <c r="Q306" s="2903"/>
      <c r="T306" s="139"/>
      <c r="U306" s="139"/>
      <c r="V306" s="139"/>
      <c r="W306" s="139"/>
      <c r="X306" s="139"/>
      <c r="Y306" s="139"/>
      <c r="Z306" s="139"/>
      <c r="AA306" s="139"/>
      <c r="AB306" s="139"/>
      <c r="AC306" s="139"/>
      <c r="AD306" s="139"/>
      <c r="AE306" s="139"/>
      <c r="AF306" s="139"/>
      <c r="AG306" s="139"/>
    </row>
    <row r="307" spans="1:33" s="293" customFormat="1" ht="10.5" customHeight="1">
      <c r="A307" s="304"/>
      <c r="B307" s="2345"/>
      <c r="C307" s="2710"/>
      <c r="D307" s="2710"/>
      <c r="E307" s="2710"/>
      <c r="F307" s="2710"/>
      <c r="G307" s="2710"/>
      <c r="H307" s="2710"/>
      <c r="O307" s="40"/>
      <c r="P307" s="2753"/>
      <c r="Q307" s="290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710" t="s">
        <v>3564</v>
      </c>
      <c r="D308" s="2710"/>
      <c r="E308" s="2710"/>
      <c r="F308" s="2710"/>
      <c r="G308" s="2710"/>
      <c r="H308" s="2710"/>
      <c r="I308" s="52" t="s">
        <v>3802</v>
      </c>
      <c r="J308" s="293"/>
      <c r="K308" s="2272">
        <v>1</v>
      </c>
      <c r="L308" s="974" t="str">
        <f>IF(K308&lt;M308,"Check!!!","")</f>
        <v/>
      </c>
      <c r="M308" s="975">
        <f>ROUNDUP('Part VI-Revenues &amp; Expenses'!$P$67*'Part VIII-Threshold Criteria'!N308,0)</f>
        <v>1</v>
      </c>
      <c r="N308" s="1465">
        <f>'DCA Underwriting Assumptions'!$Q$156</f>
        <v>0.02</v>
      </c>
      <c r="O308" s="455" t="s">
        <v>1695</v>
      </c>
      <c r="P308" s="2258" t="s">
        <v>2884</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10"/>
      <c r="D309" s="2710"/>
      <c r="E309" s="2710"/>
      <c r="F309" s="2710"/>
      <c r="G309" s="2710"/>
      <c r="H309" s="2710"/>
      <c r="J309" s="36"/>
      <c r="K309" s="36"/>
      <c r="L309" s="856"/>
      <c r="M309" s="2390"/>
      <c r="O309" s="36"/>
      <c r="P309" s="2398"/>
      <c r="Q309" s="36"/>
      <c r="T309" s="36"/>
      <c r="U309" s="843"/>
      <c r="V309" s="36"/>
      <c r="W309" s="843"/>
      <c r="X309" s="36"/>
      <c r="Y309" s="36"/>
      <c r="Z309" s="36"/>
      <c r="AA309" s="36"/>
      <c r="AB309" s="36"/>
      <c r="AC309" s="36"/>
      <c r="AD309" s="36"/>
      <c r="AE309" s="36"/>
      <c r="AF309" s="36"/>
      <c r="AG309" s="36"/>
    </row>
    <row r="310" spans="1:33" s="293" customFormat="1" ht="10.5" customHeight="1">
      <c r="A310" s="304"/>
      <c r="C310" s="2710"/>
      <c r="D310" s="2710"/>
      <c r="E310" s="2710"/>
      <c r="F310" s="2710"/>
      <c r="G310" s="2710"/>
      <c r="H310" s="2710"/>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3652</v>
      </c>
      <c r="D311" s="2378"/>
      <c r="E311" s="2378"/>
      <c r="F311" s="2378"/>
      <c r="G311" s="2378"/>
      <c r="H311" s="2378"/>
      <c r="O311" s="40"/>
      <c r="P311" s="455"/>
      <c r="V311" s="36"/>
      <c r="W311" s="843"/>
      <c r="X311" s="36"/>
      <c r="Z311" s="974"/>
      <c r="AA311" s="974"/>
      <c r="AB311" s="974"/>
      <c r="AC311" s="974"/>
      <c r="AD311" s="974"/>
      <c r="AE311" s="974"/>
      <c r="AF311" s="974"/>
      <c r="AG311" s="974"/>
    </row>
    <row r="312" spans="1:33" s="94" customFormat="1" ht="21.75" customHeight="1">
      <c r="B312" s="2720" t="s">
        <v>3472</v>
      </c>
      <c r="C312" s="2720"/>
      <c r="D312" s="2720"/>
      <c r="E312" s="2720"/>
      <c r="F312" s="2720"/>
      <c r="G312" s="2720"/>
      <c r="H312" s="2720"/>
      <c r="I312" s="2720"/>
      <c r="J312" s="2720"/>
      <c r="K312" s="2720"/>
      <c r="L312" s="2720"/>
      <c r="M312" s="2720"/>
      <c r="N312" s="2720"/>
      <c r="O312" s="160" t="s">
        <v>731</v>
      </c>
      <c r="P312" s="2271" t="s">
        <v>2884</v>
      </c>
      <c r="Q312" s="1089"/>
      <c r="AE312" s="461"/>
      <c r="AF312" s="461"/>
    </row>
    <row r="313" spans="1:33" s="94" customFormat="1" ht="11.25" customHeight="1">
      <c r="B313" s="389" t="s">
        <v>3473</v>
      </c>
      <c r="D313" s="389"/>
      <c r="E313" s="389"/>
      <c r="F313" s="389"/>
      <c r="G313" s="389"/>
      <c r="H313" s="389"/>
      <c r="I313" s="389" t="s">
        <v>3572</v>
      </c>
      <c r="J313" s="389"/>
      <c r="K313" s="389"/>
      <c r="L313" s="2891" t="s">
        <v>7048</v>
      </c>
      <c r="M313" s="2892"/>
      <c r="N313" s="2892"/>
      <c r="O313" s="2893"/>
      <c r="P313" s="389"/>
      <c r="Q313" s="389"/>
      <c r="R313" s="389"/>
      <c r="AE313" s="461"/>
      <c r="AF313" s="461"/>
    </row>
    <row r="314" spans="1:33" s="411" customFormat="1" ht="44.25" customHeight="1">
      <c r="B314" s="1488" t="s">
        <v>1694</v>
      </c>
      <c r="C314" s="2710" t="s">
        <v>3471</v>
      </c>
      <c r="D314" s="2710"/>
      <c r="E314" s="2710"/>
      <c r="F314" s="2710"/>
      <c r="G314" s="2710"/>
      <c r="H314" s="2710"/>
      <c r="I314" s="2710"/>
      <c r="J314" s="2710"/>
      <c r="K314" s="2710"/>
      <c r="L314" s="2710"/>
      <c r="M314" s="2710"/>
      <c r="N314" s="2710"/>
      <c r="O314" s="160" t="s">
        <v>3476</v>
      </c>
      <c r="P314" s="2268" t="s">
        <v>2884</v>
      </c>
      <c r="Q314" s="1088"/>
      <c r="AE314" s="460"/>
      <c r="AF314" s="460"/>
    </row>
    <row r="315" spans="1:33" s="411" customFormat="1" ht="34.5" customHeight="1">
      <c r="B315" s="1488" t="s">
        <v>1695</v>
      </c>
      <c r="C315" s="2710" t="s">
        <v>4353</v>
      </c>
      <c r="D315" s="2710"/>
      <c r="E315" s="2710"/>
      <c r="F315" s="2710"/>
      <c r="G315" s="2710"/>
      <c r="H315" s="2710"/>
      <c r="I315" s="2710"/>
      <c r="J315" s="2710"/>
      <c r="K315" s="2710"/>
      <c r="L315" s="2710"/>
      <c r="M315" s="2710"/>
      <c r="N315" s="2710"/>
      <c r="O315" s="160" t="s">
        <v>3477</v>
      </c>
      <c r="P315" s="2381" t="s">
        <v>2884</v>
      </c>
      <c r="Q315" s="2380"/>
      <c r="AE315" s="460"/>
      <c r="AF315" s="460"/>
    </row>
    <row r="316" spans="1:33" s="411" customFormat="1" ht="22.5" customHeight="1">
      <c r="B316" s="468" t="s">
        <v>1696</v>
      </c>
      <c r="C316" s="2710" t="s">
        <v>3474</v>
      </c>
      <c r="D316" s="2710"/>
      <c r="E316" s="2710"/>
      <c r="F316" s="2710"/>
      <c r="G316" s="2710"/>
      <c r="H316" s="2710"/>
      <c r="I316" s="2710"/>
      <c r="J316" s="2710"/>
      <c r="K316" s="2710"/>
      <c r="L316" s="2710"/>
      <c r="M316" s="2710"/>
      <c r="N316" s="2710"/>
      <c r="O316" s="160" t="s">
        <v>3478</v>
      </c>
      <c r="P316" s="2381" t="s">
        <v>2884</v>
      </c>
      <c r="Q316" s="2380"/>
      <c r="AE316" s="460"/>
      <c r="AF316" s="460"/>
    </row>
    <row r="317" spans="1:33" s="411" customFormat="1" ht="32.25" customHeight="1">
      <c r="B317" s="468" t="s">
        <v>2304</v>
      </c>
      <c r="C317" s="2710" t="s">
        <v>3475</v>
      </c>
      <c r="D317" s="2710"/>
      <c r="E317" s="2710"/>
      <c r="F317" s="2710"/>
      <c r="G317" s="2710"/>
      <c r="H317" s="2710"/>
      <c r="I317" s="2710"/>
      <c r="J317" s="2710"/>
      <c r="K317" s="2710"/>
      <c r="L317" s="2710"/>
      <c r="M317" s="2710"/>
      <c r="N317" s="2710"/>
      <c r="O317" s="160" t="s">
        <v>3479</v>
      </c>
      <c r="P317" s="2389" t="s">
        <v>2884</v>
      </c>
      <c r="Q317" s="2253"/>
      <c r="AE317" s="460"/>
      <c r="AF317" s="460"/>
    </row>
    <row r="318" spans="1:33" ht="11.25" customHeight="1">
      <c r="B318" s="140" t="s">
        <v>3565</v>
      </c>
      <c r="D318" s="140"/>
      <c r="E318" s="140"/>
      <c r="F318" s="140"/>
      <c r="G318" s="140"/>
      <c r="H318" s="40"/>
      <c r="I318" s="2398"/>
      <c r="J318" s="2398"/>
      <c r="K318" s="2398"/>
      <c r="L318" s="2376"/>
      <c r="M318" s="2376"/>
      <c r="N318" s="2376"/>
      <c r="O318" s="2376"/>
      <c r="P318" s="2376"/>
      <c r="Q318" s="855"/>
    </row>
    <row r="319" spans="1:33" ht="32.25" customHeight="1">
      <c r="A319" s="2707" t="s">
        <v>7049</v>
      </c>
      <c r="B319" s="2708"/>
      <c r="C319" s="2708"/>
      <c r="D319" s="2708"/>
      <c r="E319" s="2708"/>
      <c r="F319" s="2708"/>
      <c r="G319" s="2708"/>
      <c r="H319" s="2708"/>
      <c r="I319" s="2708"/>
      <c r="J319" s="2708"/>
      <c r="K319" s="2708"/>
      <c r="L319" s="2708"/>
      <c r="M319" s="2708"/>
      <c r="N319" s="2708"/>
      <c r="O319" s="2708"/>
      <c r="P319" s="2708"/>
      <c r="Q319" s="2709"/>
      <c r="R319" s="440" t="s">
        <v>1228</v>
      </c>
      <c r="S319" s="441"/>
      <c r="U319" s="135"/>
      <c r="V319" s="135"/>
      <c r="W319" s="135"/>
      <c r="X319" s="135"/>
      <c r="Y319" s="135"/>
      <c r="Z319" s="135"/>
      <c r="AA319" s="135"/>
      <c r="AB319" s="135"/>
      <c r="AC319" s="135"/>
      <c r="AD319" s="135"/>
      <c r="AE319" s="457"/>
    </row>
    <row r="320" spans="1:33" ht="11.25" customHeight="1">
      <c r="B320" s="136" t="s">
        <v>1819</v>
      </c>
      <c r="C320" s="137"/>
      <c r="D320" s="2378"/>
      <c r="E320" s="2378"/>
      <c r="F320" s="2378"/>
      <c r="G320" s="2378"/>
      <c r="H320" s="2378"/>
      <c r="I320" s="2378"/>
      <c r="J320" s="2378"/>
      <c r="K320" s="2378"/>
      <c r="L320" s="2378"/>
      <c r="M320" s="2378"/>
      <c r="N320" s="2378"/>
      <c r="O320" s="2378"/>
      <c r="P320" s="2378"/>
      <c r="Q320" s="2378"/>
    </row>
    <row r="321" spans="1:256 1523:1523" ht="45.75" customHeight="1">
      <c r="A321" s="2877"/>
      <c r="B321" s="2878"/>
      <c r="C321" s="2878"/>
      <c r="D321" s="2878"/>
      <c r="E321" s="2878"/>
      <c r="F321" s="2878"/>
      <c r="G321" s="2878"/>
      <c r="H321" s="2878"/>
      <c r="I321" s="2878"/>
      <c r="J321" s="2878"/>
      <c r="K321" s="2878"/>
      <c r="L321" s="2878"/>
      <c r="M321" s="2878"/>
      <c r="N321" s="2878"/>
      <c r="O321" s="2878"/>
      <c r="P321" s="2878"/>
      <c r="Q321" s="2879"/>
    </row>
    <row r="322" spans="1:256 1523:1523" ht="14.1" customHeight="1">
      <c r="A322" s="2371" t="s">
        <v>3782</v>
      </c>
      <c r="B322" s="10" t="s">
        <v>2591</v>
      </c>
      <c r="C322" s="10"/>
      <c r="D322" s="10"/>
      <c r="E322" s="10"/>
      <c r="F322" s="10"/>
      <c r="G322" s="10"/>
      <c r="H322" s="2378"/>
      <c r="I322" s="2378"/>
      <c r="J322" s="2378"/>
      <c r="K322" s="2378"/>
      <c r="L322" s="2378"/>
      <c r="M322" s="2378"/>
      <c r="O322" s="131" t="s">
        <v>1820</v>
      </c>
      <c r="P322" s="2880"/>
      <c r="Q322" s="2881"/>
    </row>
    <row r="323" spans="1:256 1523:1523" ht="11.4" customHeight="1">
      <c r="B323" s="144" t="s">
        <v>2194</v>
      </c>
      <c r="P323" s="2256" t="s">
        <v>2887</v>
      </c>
      <c r="Q323" s="518"/>
    </row>
    <row r="324" spans="1:256 1523:1523" ht="12" customHeight="1">
      <c r="B324" s="842" t="s">
        <v>2154</v>
      </c>
      <c r="C324" s="842"/>
      <c r="D324" s="842"/>
      <c r="E324" s="842"/>
      <c r="F324" s="842"/>
      <c r="G324" s="842"/>
      <c r="H324" s="842"/>
      <c r="I324" s="842"/>
      <c r="J324" s="842"/>
      <c r="K324" s="842"/>
      <c r="L324" s="842"/>
      <c r="P324" s="2258" t="s">
        <v>2884</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710" t="s">
        <v>2779</v>
      </c>
      <c r="C326" s="2710"/>
      <c r="D326" s="2710"/>
      <c r="E326" s="2710"/>
      <c r="F326" s="2710"/>
      <c r="G326" s="2710"/>
      <c r="H326" s="2710"/>
      <c r="I326" s="2710"/>
      <c r="J326" s="2710"/>
      <c r="K326" s="2710"/>
      <c r="L326" s="2710"/>
      <c r="M326" s="2710"/>
      <c r="N326" s="2710"/>
      <c r="O326" s="160" t="s">
        <v>1935</v>
      </c>
      <c r="P326" s="2273"/>
      <c r="Q326" s="4130"/>
    </row>
    <row r="327" spans="1:256 1523:1523" ht="12.6" customHeight="1">
      <c r="A327" s="141" t="s">
        <v>1937</v>
      </c>
      <c r="B327" s="213" t="s">
        <v>451</v>
      </c>
      <c r="D327" s="213"/>
      <c r="E327" s="213"/>
      <c r="F327" s="213"/>
      <c r="G327" s="213"/>
      <c r="H327" s="213"/>
      <c r="I327" s="213"/>
      <c r="J327" s="213"/>
      <c r="K327" s="213"/>
      <c r="L327" s="213"/>
      <c r="M327" s="213"/>
      <c r="O327" s="160" t="s">
        <v>1937</v>
      </c>
      <c r="P327" s="2376"/>
      <c r="Q327" s="855"/>
    </row>
    <row r="328" spans="1:256 1523:1523" ht="36" customHeight="1">
      <c r="B328" s="842" t="s">
        <v>1694</v>
      </c>
      <c r="C328" s="139" t="s">
        <v>1109</v>
      </c>
      <c r="E328" s="132"/>
      <c r="F328" s="132"/>
      <c r="G328" s="2922" t="s">
        <v>4361</v>
      </c>
      <c r="H328" s="2923"/>
      <c r="I328" s="2923"/>
      <c r="J328" s="2923"/>
      <c r="K328" s="2923"/>
      <c r="L328" s="2923"/>
      <c r="M328" s="2923"/>
      <c r="N328" s="2924"/>
      <c r="O328" s="215" t="s">
        <v>1694</v>
      </c>
      <c r="P328" s="2268" t="s">
        <v>2884</v>
      </c>
      <c r="Q328" s="1088"/>
      <c r="BFO328" s="147" t="s">
        <v>2643</v>
      </c>
    </row>
    <row r="329" spans="1:256 1523:1523" ht="23.25" customHeight="1">
      <c r="B329" s="842" t="s">
        <v>1695</v>
      </c>
      <c r="C329" s="2710" t="s">
        <v>1110</v>
      </c>
      <c r="D329" s="2710"/>
      <c r="E329" s="2710"/>
      <c r="F329" s="2882"/>
      <c r="G329" s="2734" t="s">
        <v>3575</v>
      </c>
      <c r="H329" s="2894"/>
      <c r="I329" s="2894"/>
      <c r="J329" s="2894"/>
      <c r="K329" s="2894"/>
      <c r="L329" s="2894"/>
      <c r="M329" s="2894"/>
      <c r="N329" s="2895"/>
      <c r="O329" s="215" t="s">
        <v>1695</v>
      </c>
      <c r="P329" s="2389" t="s">
        <v>2884</v>
      </c>
      <c r="Q329" s="2253"/>
    </row>
    <row r="330" spans="1:256 1523:1523" ht="3" customHeight="1">
      <c r="A330" s="2376"/>
      <c r="B330" s="1106"/>
      <c r="C330" s="2376"/>
      <c r="D330" s="2376"/>
      <c r="E330" s="2376"/>
      <c r="F330" s="2376"/>
      <c r="G330" s="2376"/>
      <c r="H330" s="2376"/>
      <c r="I330" s="2376"/>
      <c r="J330" s="2376"/>
      <c r="K330" s="2376"/>
      <c r="L330" s="2376"/>
      <c r="M330" s="2376"/>
      <c r="N330" s="2376"/>
      <c r="O330" s="2376"/>
      <c r="P330" s="2376"/>
      <c r="Q330" s="2376"/>
      <c r="R330" s="2376"/>
      <c r="S330" s="2376"/>
      <c r="T330" s="2376"/>
      <c r="U330" s="2376"/>
      <c r="V330" s="2376"/>
      <c r="W330" s="2376"/>
      <c r="X330" s="2376"/>
      <c r="Y330" s="2376"/>
      <c r="Z330" s="2376"/>
      <c r="AA330" s="2376"/>
      <c r="AB330" s="2376"/>
      <c r="AC330" s="2376"/>
      <c r="AD330" s="2376"/>
      <c r="AE330" s="855"/>
      <c r="AF330" s="855"/>
      <c r="AG330" s="2376"/>
      <c r="AH330" s="2376"/>
      <c r="AI330" s="2376"/>
      <c r="AJ330" s="2376"/>
      <c r="AK330" s="2376"/>
      <c r="AL330" s="2376"/>
      <c r="AM330" s="2376"/>
      <c r="AN330" s="2376"/>
      <c r="AO330" s="2376"/>
      <c r="AP330" s="2376"/>
      <c r="AQ330" s="2376"/>
      <c r="AR330" s="2376"/>
      <c r="AS330" s="2376"/>
      <c r="AT330" s="2376"/>
      <c r="AU330" s="2376"/>
      <c r="AV330" s="2376"/>
      <c r="AW330" s="2376"/>
      <c r="AX330" s="2376"/>
      <c r="AY330" s="2376"/>
      <c r="AZ330" s="2376"/>
      <c r="BA330" s="2376"/>
      <c r="BB330" s="2376"/>
      <c r="BC330" s="2376"/>
      <c r="BD330" s="2376"/>
      <c r="BE330" s="2376"/>
      <c r="BF330" s="2376"/>
      <c r="BG330" s="2376"/>
      <c r="BH330" s="2376"/>
      <c r="BI330" s="2376"/>
      <c r="BJ330" s="2376"/>
      <c r="BK330" s="2376"/>
      <c r="BL330" s="2376"/>
      <c r="BM330" s="2376"/>
      <c r="BN330" s="2376"/>
      <c r="BO330" s="2376"/>
      <c r="BP330" s="2376"/>
      <c r="BQ330" s="2376"/>
      <c r="BR330" s="2376"/>
      <c r="BS330" s="2376"/>
      <c r="BT330" s="2376"/>
      <c r="BU330" s="2376"/>
      <c r="BV330" s="2376"/>
      <c r="BW330" s="2376"/>
      <c r="BX330" s="2376"/>
      <c r="BY330" s="2376"/>
      <c r="BZ330" s="2376"/>
      <c r="CA330" s="2376"/>
      <c r="CB330" s="2376"/>
      <c r="CC330" s="2376"/>
      <c r="CD330" s="2376"/>
      <c r="CE330" s="2376"/>
      <c r="CF330" s="2376"/>
      <c r="CG330" s="2376"/>
      <c r="CH330" s="2376"/>
      <c r="CI330" s="2376"/>
      <c r="CJ330" s="2376"/>
      <c r="CK330" s="2376"/>
      <c r="CL330" s="2376"/>
      <c r="CM330" s="2376"/>
      <c r="CN330" s="2376"/>
      <c r="CO330" s="2376"/>
      <c r="CP330" s="2376"/>
      <c r="CQ330" s="2376"/>
      <c r="CR330" s="2376"/>
      <c r="CS330" s="2376"/>
      <c r="CT330" s="2376"/>
      <c r="CU330" s="2376"/>
      <c r="CV330" s="2376"/>
      <c r="CW330" s="2376"/>
      <c r="CX330" s="2376"/>
      <c r="CY330" s="2376"/>
      <c r="CZ330" s="2376"/>
      <c r="DA330" s="2376"/>
      <c r="DB330" s="2376"/>
      <c r="DC330" s="2376"/>
      <c r="DD330" s="2376"/>
      <c r="DE330" s="2376"/>
      <c r="DF330" s="2376"/>
      <c r="DG330" s="2376"/>
      <c r="DH330" s="2376"/>
      <c r="DI330" s="2376"/>
      <c r="DJ330" s="2376"/>
      <c r="DK330" s="2376"/>
      <c r="DL330" s="2376"/>
      <c r="DM330" s="2376"/>
      <c r="DN330" s="2376"/>
      <c r="DO330" s="2376"/>
      <c r="DP330" s="2376"/>
      <c r="DQ330" s="2376"/>
      <c r="DR330" s="2376"/>
      <c r="DS330" s="2376"/>
      <c r="DT330" s="2376"/>
      <c r="DU330" s="2376"/>
      <c r="DV330" s="2376"/>
      <c r="DW330" s="2376"/>
      <c r="DX330" s="2376"/>
      <c r="DY330" s="2376"/>
      <c r="DZ330" s="2376"/>
      <c r="EA330" s="2376"/>
      <c r="EB330" s="2376"/>
      <c r="EC330" s="2376"/>
      <c r="ED330" s="2376"/>
      <c r="EE330" s="2376"/>
      <c r="EF330" s="2376"/>
      <c r="EG330" s="2376"/>
      <c r="EH330" s="2376"/>
      <c r="EI330" s="2376"/>
      <c r="EJ330" s="2376"/>
      <c r="EK330" s="2376"/>
      <c r="EL330" s="2376"/>
      <c r="EM330" s="2376"/>
      <c r="EN330" s="2376"/>
      <c r="EO330" s="2376"/>
      <c r="EP330" s="2376"/>
      <c r="EQ330" s="2376"/>
      <c r="ER330" s="2376"/>
      <c r="ES330" s="2376"/>
      <c r="ET330" s="2376"/>
      <c r="EU330" s="2376"/>
      <c r="EV330" s="2376"/>
      <c r="EW330" s="2376"/>
      <c r="EX330" s="2376"/>
      <c r="EY330" s="2376"/>
      <c r="EZ330" s="2376"/>
      <c r="FA330" s="2376"/>
      <c r="FB330" s="2376"/>
      <c r="FC330" s="2376"/>
      <c r="FD330" s="2376"/>
      <c r="FE330" s="2376"/>
      <c r="FF330" s="2376"/>
      <c r="FG330" s="2376"/>
      <c r="FH330" s="2376"/>
      <c r="FI330" s="2376"/>
      <c r="FJ330" s="2376"/>
      <c r="FK330" s="2376"/>
      <c r="FL330" s="2376"/>
      <c r="FM330" s="2376"/>
      <c r="FN330" s="2376"/>
      <c r="FO330" s="2376"/>
      <c r="FP330" s="2376"/>
      <c r="FQ330" s="2376"/>
      <c r="FR330" s="2376"/>
      <c r="FS330" s="2376"/>
      <c r="FT330" s="2376"/>
      <c r="FU330" s="2376"/>
      <c r="FV330" s="2376"/>
      <c r="FW330" s="2376"/>
      <c r="FX330" s="2376"/>
      <c r="FY330" s="2376"/>
      <c r="FZ330" s="2376"/>
      <c r="GA330" s="2376"/>
      <c r="GB330" s="2376"/>
      <c r="GC330" s="2376"/>
      <c r="GD330" s="2376"/>
      <c r="GE330" s="2376"/>
      <c r="GF330" s="2376"/>
      <c r="GG330" s="2376"/>
      <c r="GH330" s="2376"/>
      <c r="GI330" s="2376"/>
      <c r="GJ330" s="2376"/>
      <c r="GK330" s="2376"/>
      <c r="GL330" s="2376"/>
      <c r="GM330" s="2376"/>
      <c r="GN330" s="2376"/>
      <c r="GO330" s="2376"/>
      <c r="GP330" s="2376"/>
      <c r="GQ330" s="2376"/>
      <c r="GR330" s="2376"/>
      <c r="GS330" s="2376"/>
      <c r="GT330" s="2376"/>
      <c r="GU330" s="2376"/>
      <c r="GV330" s="2376"/>
      <c r="GW330" s="2376"/>
      <c r="GX330" s="2376"/>
      <c r="GY330" s="2376"/>
      <c r="GZ330" s="2376"/>
      <c r="HA330" s="2376"/>
      <c r="HB330" s="2376"/>
      <c r="HC330" s="2376"/>
      <c r="HD330" s="2376"/>
      <c r="HE330" s="2376"/>
      <c r="HF330" s="2376"/>
      <c r="HG330" s="2376"/>
      <c r="HH330" s="2376"/>
      <c r="HI330" s="2376"/>
      <c r="HJ330" s="2376"/>
      <c r="HK330" s="2376"/>
      <c r="HL330" s="2376"/>
      <c r="HM330" s="2376"/>
      <c r="HN330" s="2376"/>
      <c r="HO330" s="2376"/>
      <c r="HP330" s="2376"/>
      <c r="HQ330" s="2376"/>
      <c r="HR330" s="2376"/>
      <c r="HS330" s="2376"/>
      <c r="HT330" s="2376"/>
      <c r="HU330" s="2376"/>
      <c r="HV330" s="2376"/>
      <c r="HW330" s="2376"/>
      <c r="HX330" s="2376"/>
      <c r="HY330" s="2376"/>
      <c r="HZ330" s="2376"/>
      <c r="IA330" s="2376"/>
      <c r="IB330" s="2376"/>
      <c r="IC330" s="2376"/>
      <c r="ID330" s="2376"/>
      <c r="IE330" s="2376"/>
      <c r="IF330" s="2376"/>
      <c r="IG330" s="2376"/>
      <c r="IH330" s="2376"/>
      <c r="II330" s="2376"/>
      <c r="IJ330" s="2376"/>
      <c r="IK330" s="2376"/>
      <c r="IL330" s="2376"/>
      <c r="IM330" s="2376"/>
      <c r="IN330" s="2376"/>
      <c r="IO330" s="2376"/>
      <c r="IP330" s="2376"/>
      <c r="IQ330" s="2376"/>
      <c r="IR330" s="2376"/>
      <c r="IS330" s="2376"/>
      <c r="IT330" s="2376"/>
      <c r="IU330" s="2376"/>
      <c r="IV330" s="2376"/>
    </row>
    <row r="331" spans="1:256 1523:1523" s="132" customFormat="1" ht="22.5" customHeight="1">
      <c r="A331" s="141" t="s">
        <v>731</v>
      </c>
      <c r="B331" s="2762" t="s">
        <v>2595</v>
      </c>
      <c r="C331" s="2762"/>
      <c r="D331" s="2762"/>
      <c r="E331" s="2762"/>
      <c r="F331" s="2762"/>
      <c r="G331" s="2762"/>
      <c r="H331" s="2762"/>
      <c r="I331" s="2762"/>
      <c r="J331" s="2762"/>
      <c r="K331" s="2762"/>
      <c r="L331" s="2762"/>
      <c r="M331" s="2762"/>
      <c r="N331" s="2762"/>
      <c r="O331" s="438" t="s">
        <v>731</v>
      </c>
      <c r="P331" s="2376"/>
      <c r="Q331" s="855"/>
      <c r="AE331" s="458"/>
      <c r="AF331" s="458"/>
    </row>
    <row r="332" spans="1:256 1523:1523" s="132" customFormat="1" ht="11.25" customHeight="1">
      <c r="A332" s="143"/>
      <c r="B332" s="842" t="s">
        <v>1694</v>
      </c>
      <c r="C332" s="2883"/>
      <c r="D332" s="2884"/>
      <c r="E332" s="2884"/>
      <c r="F332" s="2884"/>
      <c r="G332" s="2884"/>
      <c r="H332" s="2884"/>
      <c r="I332" s="2884"/>
      <c r="J332" s="2884"/>
      <c r="K332" s="2884"/>
      <c r="L332" s="2884"/>
      <c r="M332" s="2884"/>
      <c r="N332" s="2885"/>
      <c r="O332" s="215" t="s">
        <v>1694</v>
      </c>
      <c r="P332" s="2268"/>
      <c r="Q332" s="1088"/>
      <c r="AE332" s="458"/>
      <c r="AF332" s="458"/>
    </row>
    <row r="333" spans="1:256 1523:1523" s="132" customFormat="1" ht="11.25" customHeight="1">
      <c r="A333" s="143"/>
      <c r="B333" s="842" t="s">
        <v>1695</v>
      </c>
      <c r="C333" s="2731"/>
      <c r="D333" s="2732"/>
      <c r="E333" s="2732"/>
      <c r="F333" s="2732"/>
      <c r="G333" s="2732"/>
      <c r="H333" s="2732"/>
      <c r="I333" s="2732"/>
      <c r="J333" s="2732"/>
      <c r="K333" s="2732"/>
      <c r="L333" s="2732"/>
      <c r="M333" s="2732"/>
      <c r="N333" s="2733"/>
      <c r="O333" s="215" t="s">
        <v>1695</v>
      </c>
      <c r="P333" s="2389"/>
      <c r="Q333" s="2253"/>
      <c r="AE333" s="458"/>
      <c r="AF333" s="458"/>
    </row>
    <row r="334" spans="1:256 1523:1523" ht="3" customHeight="1">
      <c r="A334" s="2376"/>
      <c r="B334" s="2376"/>
      <c r="C334" s="2376"/>
      <c r="D334" s="2376"/>
      <c r="E334" s="2376"/>
      <c r="F334" s="2376"/>
      <c r="G334" s="2376"/>
      <c r="H334" s="2376"/>
      <c r="I334" s="2376"/>
      <c r="J334" s="2376"/>
      <c r="K334" s="2376"/>
      <c r="L334" s="2376"/>
      <c r="M334" s="2376"/>
      <c r="N334" s="2376"/>
      <c r="O334" s="2376"/>
      <c r="P334" s="2376"/>
      <c r="Q334" s="2376"/>
      <c r="R334" s="2376"/>
      <c r="S334" s="2376"/>
      <c r="T334" s="2376"/>
      <c r="U334" s="2376"/>
      <c r="V334" s="2376"/>
      <c r="W334" s="2376"/>
      <c r="X334" s="2376"/>
      <c r="Y334" s="2376"/>
      <c r="Z334" s="2376"/>
      <c r="AA334" s="2376"/>
      <c r="AB334" s="2376"/>
      <c r="AC334" s="2376"/>
      <c r="AD334" s="2376"/>
      <c r="AE334" s="855"/>
      <c r="AF334" s="855"/>
      <c r="AG334" s="2376"/>
      <c r="AH334" s="2376"/>
      <c r="AI334" s="2376"/>
      <c r="AJ334" s="2376"/>
      <c r="AK334" s="2376"/>
      <c r="AL334" s="2376"/>
      <c r="AM334" s="2376"/>
      <c r="AN334" s="2376"/>
      <c r="AO334" s="2376"/>
      <c r="AP334" s="2376"/>
      <c r="AQ334" s="2376"/>
      <c r="AR334" s="2376"/>
      <c r="AS334" s="2376"/>
      <c r="AT334" s="2376"/>
      <c r="AU334" s="2376"/>
      <c r="AV334" s="2376"/>
      <c r="AW334" s="2376"/>
      <c r="AX334" s="2376"/>
      <c r="AY334" s="2376"/>
      <c r="AZ334" s="2376"/>
      <c r="BA334" s="2376"/>
      <c r="BB334" s="2376"/>
      <c r="BC334" s="2376"/>
      <c r="BD334" s="2376"/>
      <c r="BE334" s="2376"/>
      <c r="BF334" s="2376"/>
      <c r="BG334" s="2376"/>
      <c r="BH334" s="2376"/>
      <c r="BI334" s="2376"/>
      <c r="BJ334" s="2376"/>
      <c r="BK334" s="2376"/>
      <c r="BL334" s="2376"/>
      <c r="BM334" s="2376"/>
      <c r="BN334" s="2376"/>
      <c r="BO334" s="2376"/>
      <c r="BP334" s="2376"/>
      <c r="BQ334" s="2376"/>
      <c r="BR334" s="2376"/>
      <c r="BS334" s="2376"/>
      <c r="BT334" s="2376"/>
      <c r="BU334" s="2376"/>
      <c r="BV334" s="2376"/>
      <c r="BW334" s="2376"/>
      <c r="BX334" s="2376"/>
      <c r="BY334" s="2376"/>
      <c r="BZ334" s="2376"/>
      <c r="CA334" s="2376"/>
      <c r="CB334" s="2376"/>
      <c r="CC334" s="2376"/>
      <c r="CD334" s="2376"/>
      <c r="CE334" s="2376"/>
      <c r="CF334" s="2376"/>
      <c r="CG334" s="2376"/>
      <c r="CH334" s="2376"/>
      <c r="CI334" s="2376"/>
      <c r="CJ334" s="2376"/>
      <c r="CK334" s="2376"/>
      <c r="CL334" s="2376"/>
      <c r="CM334" s="2376"/>
      <c r="CN334" s="2376"/>
      <c r="CO334" s="2376"/>
      <c r="CP334" s="2376"/>
      <c r="CQ334" s="2376"/>
      <c r="CR334" s="2376"/>
      <c r="CS334" s="2376"/>
      <c r="CT334" s="2376"/>
      <c r="CU334" s="2376"/>
      <c r="CV334" s="2376"/>
      <c r="CW334" s="2376"/>
      <c r="CX334" s="2376"/>
      <c r="CY334" s="2376"/>
      <c r="CZ334" s="2376"/>
      <c r="DA334" s="2376"/>
      <c r="DB334" s="2376"/>
      <c r="DC334" s="2376"/>
      <c r="DD334" s="2376"/>
      <c r="DE334" s="2376"/>
      <c r="DF334" s="2376"/>
      <c r="DG334" s="2376"/>
      <c r="DH334" s="2376"/>
      <c r="DI334" s="2376"/>
      <c r="DJ334" s="2376"/>
      <c r="DK334" s="2376"/>
      <c r="DL334" s="2376"/>
      <c r="DM334" s="2376"/>
      <c r="DN334" s="2376"/>
      <c r="DO334" s="2376"/>
      <c r="DP334" s="2376"/>
      <c r="DQ334" s="2376"/>
      <c r="DR334" s="2376"/>
      <c r="DS334" s="2376"/>
      <c r="DT334" s="2376"/>
      <c r="DU334" s="2376"/>
      <c r="DV334" s="2376"/>
      <c r="DW334" s="2376"/>
      <c r="DX334" s="2376"/>
      <c r="DY334" s="2376"/>
      <c r="DZ334" s="2376"/>
      <c r="EA334" s="2376"/>
      <c r="EB334" s="2376"/>
      <c r="EC334" s="2376"/>
      <c r="ED334" s="2376"/>
      <c r="EE334" s="2376"/>
      <c r="EF334" s="2376"/>
      <c r="EG334" s="2376"/>
      <c r="EH334" s="2376"/>
      <c r="EI334" s="2376"/>
      <c r="EJ334" s="2376"/>
      <c r="EK334" s="2376"/>
      <c r="EL334" s="2376"/>
      <c r="EM334" s="2376"/>
      <c r="EN334" s="2376"/>
      <c r="EO334" s="2376"/>
      <c r="EP334" s="2376"/>
      <c r="EQ334" s="2376"/>
      <c r="ER334" s="2376"/>
      <c r="ES334" s="2376"/>
      <c r="ET334" s="2376"/>
      <c r="EU334" s="2376"/>
      <c r="EV334" s="2376"/>
      <c r="EW334" s="2376"/>
      <c r="EX334" s="2376"/>
      <c r="EY334" s="2376"/>
      <c r="EZ334" s="2376"/>
      <c r="FA334" s="2376"/>
      <c r="FB334" s="2376"/>
      <c r="FC334" s="2376"/>
      <c r="FD334" s="2376"/>
      <c r="FE334" s="2376"/>
      <c r="FF334" s="2376"/>
      <c r="FG334" s="2376"/>
      <c r="FH334" s="2376"/>
      <c r="FI334" s="2376"/>
      <c r="FJ334" s="2376"/>
      <c r="FK334" s="2376"/>
      <c r="FL334" s="2376"/>
      <c r="FM334" s="2376"/>
      <c r="FN334" s="2376"/>
      <c r="FO334" s="2376"/>
      <c r="FP334" s="2376"/>
      <c r="FQ334" s="2376"/>
      <c r="FR334" s="2376"/>
      <c r="FS334" s="2376"/>
      <c r="FT334" s="2376"/>
      <c r="FU334" s="2376"/>
      <c r="FV334" s="2376"/>
      <c r="FW334" s="2376"/>
      <c r="FX334" s="2376"/>
      <c r="FY334" s="2376"/>
      <c r="FZ334" s="2376"/>
      <c r="GA334" s="2376"/>
      <c r="GB334" s="2376"/>
      <c r="GC334" s="2376"/>
      <c r="GD334" s="2376"/>
      <c r="GE334" s="2376"/>
      <c r="GF334" s="2376"/>
      <c r="GG334" s="2376"/>
      <c r="GH334" s="2376"/>
      <c r="GI334" s="2376"/>
      <c r="GJ334" s="2376"/>
      <c r="GK334" s="2376"/>
      <c r="GL334" s="2376"/>
      <c r="GM334" s="2376"/>
      <c r="GN334" s="2376"/>
      <c r="GO334" s="2376"/>
      <c r="GP334" s="2376"/>
      <c r="GQ334" s="2376"/>
      <c r="GR334" s="2376"/>
      <c r="GS334" s="2376"/>
      <c r="GT334" s="2376"/>
      <c r="GU334" s="2376"/>
      <c r="GV334" s="2376"/>
      <c r="GW334" s="2376"/>
      <c r="GX334" s="2376"/>
      <c r="GY334" s="2376"/>
      <c r="GZ334" s="2376"/>
      <c r="HA334" s="2376"/>
      <c r="HB334" s="2376"/>
      <c r="HC334" s="2376"/>
      <c r="HD334" s="2376"/>
      <c r="HE334" s="2376"/>
      <c r="HF334" s="2376"/>
      <c r="HG334" s="2376"/>
      <c r="HH334" s="2376"/>
      <c r="HI334" s="2376"/>
      <c r="HJ334" s="2376"/>
      <c r="HK334" s="2376"/>
      <c r="HL334" s="2376"/>
      <c r="HM334" s="2376"/>
      <c r="HN334" s="2376"/>
      <c r="HO334" s="2376"/>
      <c r="HP334" s="2376"/>
      <c r="HQ334" s="2376"/>
      <c r="HR334" s="2376"/>
      <c r="HS334" s="2376"/>
      <c r="HT334" s="2376"/>
      <c r="HU334" s="2376"/>
      <c r="HV334" s="2376"/>
      <c r="HW334" s="2376"/>
      <c r="HX334" s="2376"/>
      <c r="HY334" s="2376"/>
      <c r="HZ334" s="2376"/>
      <c r="IA334" s="2376"/>
      <c r="IB334" s="2376"/>
      <c r="IC334" s="2376"/>
      <c r="ID334" s="2376"/>
      <c r="IE334" s="2376"/>
      <c r="IF334" s="2376"/>
      <c r="IG334" s="2376"/>
      <c r="IH334" s="2376"/>
      <c r="II334" s="2376"/>
      <c r="IJ334" s="2376"/>
      <c r="IK334" s="2376"/>
      <c r="IL334" s="2376"/>
      <c r="IM334" s="2376"/>
      <c r="IN334" s="2376"/>
      <c r="IO334" s="2376"/>
      <c r="IP334" s="2376"/>
      <c r="IQ334" s="2376"/>
      <c r="IR334" s="2376"/>
      <c r="IS334" s="2376"/>
      <c r="IT334" s="2376"/>
      <c r="IU334" s="2376"/>
      <c r="IV334" s="2376"/>
    </row>
    <row r="335" spans="1:256 1523:1523" ht="11.25" customHeight="1">
      <c r="B335" s="140" t="s">
        <v>3565</v>
      </c>
      <c r="D335" s="140"/>
      <c r="E335" s="140"/>
      <c r="F335" s="140"/>
      <c r="G335" s="140"/>
      <c r="H335" s="40"/>
      <c r="I335" s="2398"/>
      <c r="J335" s="2398"/>
      <c r="K335" s="2398"/>
      <c r="L335" s="2376"/>
      <c r="M335" s="2376"/>
      <c r="N335" s="2376"/>
      <c r="O335" s="2376"/>
      <c r="P335" s="2376"/>
      <c r="Q335" s="855"/>
    </row>
    <row r="336" spans="1:256 1523:1523" ht="11.4" customHeight="1">
      <c r="A336" s="2707"/>
      <c r="B336" s="2708"/>
      <c r="C336" s="2708"/>
      <c r="D336" s="2708"/>
      <c r="E336" s="2708"/>
      <c r="F336" s="2708"/>
      <c r="G336" s="2708"/>
      <c r="H336" s="2708"/>
      <c r="I336" s="2708"/>
      <c r="J336" s="2708"/>
      <c r="K336" s="2708"/>
      <c r="L336" s="2708"/>
      <c r="M336" s="2708"/>
      <c r="N336" s="2708"/>
      <c r="O336" s="2708"/>
      <c r="P336" s="2708"/>
      <c r="Q336" s="2709"/>
      <c r="R336" s="456" t="s">
        <v>1228</v>
      </c>
      <c r="S336" s="121"/>
      <c r="U336" s="135"/>
      <c r="V336" s="135"/>
      <c r="W336" s="135"/>
      <c r="X336" s="135"/>
      <c r="Y336" s="135"/>
      <c r="Z336" s="135"/>
      <c r="AA336" s="135"/>
      <c r="AB336" s="135"/>
      <c r="AC336" s="135"/>
      <c r="AD336" s="135"/>
      <c r="AE336" s="457"/>
    </row>
    <row r="337" spans="1:31" ht="11.25" customHeight="1">
      <c r="B337" s="136" t="s">
        <v>1819</v>
      </c>
      <c r="C337" s="137"/>
      <c r="D337" s="2378"/>
      <c r="E337" s="2378"/>
      <c r="F337" s="2378"/>
      <c r="G337" s="2378"/>
      <c r="H337" s="2378"/>
      <c r="I337" s="2378"/>
      <c r="J337" s="2378"/>
      <c r="K337" s="2378"/>
      <c r="L337" s="2378"/>
      <c r="M337" s="2378"/>
      <c r="N337" s="2378"/>
      <c r="O337" s="2378"/>
      <c r="P337" s="2378"/>
      <c r="Q337" s="2378"/>
    </row>
    <row r="338" spans="1:31" ht="11.4" customHeight="1">
      <c r="A338" s="2701"/>
      <c r="B338" s="2702"/>
      <c r="C338" s="2702"/>
      <c r="D338" s="2702"/>
      <c r="E338" s="2702"/>
      <c r="F338" s="2702"/>
      <c r="G338" s="2702"/>
      <c r="H338" s="2702"/>
      <c r="I338" s="2702"/>
      <c r="J338" s="2702"/>
      <c r="K338" s="2702"/>
      <c r="L338" s="2702"/>
      <c r="M338" s="2702"/>
      <c r="N338" s="2702"/>
      <c r="O338" s="2702"/>
      <c r="P338" s="2702"/>
      <c r="Q338" s="2703"/>
    </row>
    <row r="339" spans="1:31" ht="14.1" customHeight="1">
      <c r="A339" s="2371" t="s">
        <v>3785</v>
      </c>
      <c r="B339" s="2371" t="s">
        <v>3806</v>
      </c>
      <c r="C339" s="2371"/>
      <c r="D339" s="2378"/>
      <c r="E339" s="2378"/>
      <c r="F339" s="2378"/>
      <c r="G339" s="2378"/>
      <c r="H339" s="2378"/>
      <c r="O339" s="131" t="s">
        <v>1820</v>
      </c>
      <c r="P339" s="2718"/>
      <c r="Q339" s="2719"/>
    </row>
    <row r="340" spans="1:31" ht="11.4" customHeight="1">
      <c r="A340" s="47" t="s">
        <v>1935</v>
      </c>
      <c r="B340" s="55" t="s">
        <v>4709</v>
      </c>
      <c r="O340" s="160" t="s">
        <v>1935</v>
      </c>
      <c r="P340" s="2256" t="s">
        <v>2884</v>
      </c>
      <c r="Q340" s="518"/>
    </row>
    <row r="341" spans="1:31" ht="11.4" customHeight="1">
      <c r="A341" s="141" t="s">
        <v>1937</v>
      </c>
      <c r="B341" s="55" t="s">
        <v>3773</v>
      </c>
      <c r="O341" s="160" t="s">
        <v>1937</v>
      </c>
      <c r="P341" s="2257" t="s">
        <v>2884</v>
      </c>
      <c r="Q341" s="519"/>
    </row>
    <row r="342" spans="1:31" ht="11.4" customHeight="1">
      <c r="A342" s="141" t="s">
        <v>731</v>
      </c>
      <c r="B342" s="144" t="s">
        <v>2290</v>
      </c>
      <c r="O342" s="160" t="s">
        <v>731</v>
      </c>
      <c r="P342" s="2257" t="s">
        <v>2887</v>
      </c>
      <c r="Q342" s="519"/>
    </row>
    <row r="343" spans="1:31" ht="11.4" customHeight="1">
      <c r="A343" s="47" t="s">
        <v>2064</v>
      </c>
      <c r="B343" s="55" t="s">
        <v>3627</v>
      </c>
      <c r="O343" s="455" t="s">
        <v>2064</v>
      </c>
      <c r="P343" s="2258" t="s">
        <v>2887</v>
      </c>
      <c r="Q343" s="520"/>
    </row>
    <row r="344" spans="1:31" ht="11.4" customHeight="1">
      <c r="A344" s="141" t="s">
        <v>1692</v>
      </c>
      <c r="B344" s="55" t="s">
        <v>2780</v>
      </c>
      <c r="N344" s="160" t="s">
        <v>1692</v>
      </c>
      <c r="O344" s="2886" t="s">
        <v>4732</v>
      </c>
      <c r="P344" s="2887"/>
      <c r="Q344" s="2888"/>
    </row>
    <row r="345" spans="1:31" ht="11.4" customHeight="1">
      <c r="A345" s="141" t="s">
        <v>1693</v>
      </c>
      <c r="B345" s="407" t="s">
        <v>2291</v>
      </c>
      <c r="N345" s="160" t="s">
        <v>1693</v>
      </c>
      <c r="O345" s="4131" t="s">
        <v>2781</v>
      </c>
      <c r="P345" s="4132"/>
      <c r="Q345" s="4133"/>
    </row>
    <row r="346" spans="1:31" ht="11.25" customHeight="1">
      <c r="B346" s="140" t="s">
        <v>3565</v>
      </c>
      <c r="D346" s="140"/>
      <c r="E346" s="140"/>
      <c r="F346" s="140"/>
      <c r="G346" s="140"/>
      <c r="H346" s="40"/>
      <c r="I346" s="2398"/>
      <c r="J346" s="2398"/>
      <c r="K346" s="2398"/>
      <c r="L346" s="2376"/>
      <c r="M346" s="2376"/>
      <c r="N346" s="2376"/>
      <c r="O346" s="2376"/>
      <c r="P346" s="2376"/>
      <c r="Q346" s="855"/>
    </row>
    <row r="347" spans="1:31" ht="13.35" customHeight="1">
      <c r="A347" s="2707" t="s">
        <v>7121</v>
      </c>
      <c r="B347" s="2708"/>
      <c r="C347" s="2708"/>
      <c r="D347" s="2708"/>
      <c r="E347" s="2708"/>
      <c r="F347" s="2708"/>
      <c r="G347" s="2708"/>
      <c r="H347" s="2708"/>
      <c r="I347" s="2708"/>
      <c r="J347" s="2708"/>
      <c r="K347" s="2708"/>
      <c r="L347" s="2708"/>
      <c r="M347" s="2708"/>
      <c r="N347" s="2708"/>
      <c r="O347" s="2708"/>
      <c r="P347" s="2708"/>
      <c r="Q347" s="2709"/>
      <c r="R347" s="440" t="s">
        <v>1228</v>
      </c>
      <c r="S347" s="441"/>
      <c r="U347" s="135"/>
      <c r="V347" s="135"/>
      <c r="W347" s="135"/>
      <c r="X347" s="135"/>
      <c r="Y347" s="135"/>
      <c r="Z347" s="135"/>
      <c r="AA347" s="135"/>
      <c r="AB347" s="135"/>
      <c r="AC347" s="135"/>
      <c r="AD347" s="135"/>
      <c r="AE347" s="457"/>
    </row>
    <row r="348" spans="1:31" ht="11.25" customHeight="1">
      <c r="B348" s="136" t="s">
        <v>1819</v>
      </c>
      <c r="C348" s="137"/>
      <c r="D348" s="2378"/>
      <c r="E348" s="2378"/>
      <c r="F348" s="2378"/>
      <c r="G348" s="2378"/>
      <c r="H348" s="2378"/>
      <c r="I348" s="2378"/>
      <c r="J348" s="2378"/>
      <c r="K348" s="2378"/>
      <c r="L348" s="2378"/>
      <c r="M348" s="2378"/>
      <c r="N348" s="2378"/>
      <c r="O348" s="2378"/>
      <c r="P348" s="2378"/>
      <c r="Q348" s="2378"/>
    </row>
    <row r="349" spans="1:31" ht="13.35" customHeight="1">
      <c r="A349" s="2701"/>
      <c r="B349" s="2702"/>
      <c r="C349" s="2702"/>
      <c r="D349" s="2702"/>
      <c r="E349" s="2702"/>
      <c r="F349" s="2702"/>
      <c r="G349" s="2702"/>
      <c r="H349" s="2702"/>
      <c r="I349" s="2702"/>
      <c r="J349" s="2702"/>
      <c r="K349" s="2702"/>
      <c r="L349" s="2702"/>
      <c r="M349" s="2702"/>
      <c r="N349" s="2702"/>
      <c r="O349" s="2702"/>
      <c r="P349" s="2702"/>
      <c r="Q349" s="2703"/>
    </row>
    <row r="350" spans="1:31" ht="2.25" customHeight="1">
      <c r="A350" s="2376"/>
      <c r="B350" s="2398"/>
      <c r="C350" s="2378"/>
      <c r="D350" s="2378"/>
      <c r="E350" s="2378"/>
      <c r="F350" s="2378"/>
      <c r="G350" s="2378"/>
      <c r="H350" s="2378"/>
      <c r="I350" s="2378"/>
      <c r="J350" s="2378"/>
      <c r="K350" s="2378"/>
      <c r="L350" s="2378"/>
      <c r="M350" s="2378"/>
      <c r="N350" s="2378"/>
      <c r="O350" s="2378"/>
      <c r="P350" s="2378"/>
      <c r="Q350" s="855"/>
      <c r="R350" s="8"/>
      <c r="S350" s="8"/>
    </row>
    <row r="351" spans="1:31" ht="14.1" customHeight="1">
      <c r="A351" s="2371" t="s">
        <v>3786</v>
      </c>
      <c r="B351" s="4" t="s">
        <v>3764</v>
      </c>
      <c r="C351" s="4"/>
      <c r="D351" s="4"/>
      <c r="E351" s="4"/>
      <c r="F351" s="4"/>
      <c r="G351" s="4"/>
      <c r="H351" s="2378"/>
      <c r="I351" s="2378"/>
      <c r="J351" s="2378"/>
      <c r="K351" s="2378"/>
      <c r="L351" s="2378"/>
      <c r="M351" s="2378"/>
      <c r="O351" s="131" t="s">
        <v>1820</v>
      </c>
      <c r="P351" s="4134"/>
      <c r="Q351" s="2719"/>
    </row>
    <row r="352" spans="1:31" ht="10.5" customHeight="1">
      <c r="A352" s="47" t="s">
        <v>1935</v>
      </c>
      <c r="B352" s="134" t="s">
        <v>3765</v>
      </c>
      <c r="D352" s="149"/>
      <c r="E352" s="149"/>
      <c r="F352" s="149"/>
      <c r="G352" s="149"/>
      <c r="H352" s="455" t="s">
        <v>1935</v>
      </c>
      <c r="I352" s="2698"/>
      <c r="J352" s="2699"/>
      <c r="K352" s="2699"/>
      <c r="L352" s="2699"/>
      <c r="M352" s="2699"/>
      <c r="N352" s="2699"/>
      <c r="O352" s="2699"/>
      <c r="P352" s="2700"/>
      <c r="Q352" s="516"/>
    </row>
    <row r="353" spans="1:32" ht="10.5" customHeight="1">
      <c r="A353" s="141" t="s">
        <v>1937</v>
      </c>
      <c r="B353" s="134" t="s">
        <v>3766</v>
      </c>
      <c r="D353" s="149"/>
      <c r="E353" s="149"/>
      <c r="F353" s="149"/>
      <c r="G353" s="149"/>
      <c r="H353" s="160" t="s">
        <v>1937</v>
      </c>
      <c r="I353" s="2698"/>
      <c r="J353" s="2699"/>
      <c r="K353" s="2699"/>
      <c r="L353" s="2699"/>
      <c r="M353" s="2699"/>
      <c r="N353" s="2699"/>
      <c r="O353" s="2699"/>
      <c r="P353" s="2700"/>
      <c r="Q353" s="516"/>
    </row>
    <row r="354" spans="1:32" ht="21.75" customHeight="1">
      <c r="A354" s="141" t="s">
        <v>731</v>
      </c>
      <c r="B354" s="2890" t="s">
        <v>3757</v>
      </c>
      <c r="C354" s="2890"/>
      <c r="D354" s="2890"/>
      <c r="E354" s="2890"/>
      <c r="F354" s="2890"/>
      <c r="G354" s="2890"/>
      <c r="H354" s="2890"/>
      <c r="I354" s="2890"/>
      <c r="J354" s="2890"/>
      <c r="K354" s="2890"/>
      <c r="L354" s="2890"/>
      <c r="M354" s="2890"/>
      <c r="N354" s="2890"/>
      <c r="O354" s="160" t="s">
        <v>731</v>
      </c>
      <c r="P354" s="2274"/>
      <c r="Q354" s="1088"/>
    </row>
    <row r="355" spans="1:32" ht="21.75" customHeight="1">
      <c r="A355" s="141" t="s">
        <v>2064</v>
      </c>
      <c r="B355" s="2710" t="s">
        <v>3758</v>
      </c>
      <c r="C355" s="2710"/>
      <c r="D355" s="2710"/>
      <c r="E355" s="2710"/>
      <c r="F355" s="2710"/>
      <c r="G355" s="2710"/>
      <c r="H355" s="2710"/>
      <c r="I355" s="2710"/>
      <c r="J355" s="2710"/>
      <c r="K355" s="2710"/>
      <c r="L355" s="2710"/>
      <c r="M355" s="2710"/>
      <c r="N355" s="2710"/>
      <c r="O355" s="455" t="s">
        <v>2064</v>
      </c>
      <c r="P355" s="2381"/>
      <c r="Q355" s="2380"/>
    </row>
    <row r="356" spans="1:32" ht="10.5" customHeight="1">
      <c r="A356" s="141" t="s">
        <v>1692</v>
      </c>
      <c r="B356" s="52" t="s">
        <v>3759</v>
      </c>
      <c r="D356" s="52"/>
      <c r="E356" s="52"/>
      <c r="F356" s="52"/>
      <c r="G356" s="52"/>
      <c r="H356" s="52"/>
      <c r="I356" s="52"/>
      <c r="J356" s="52"/>
      <c r="K356" s="52"/>
      <c r="L356" s="52"/>
      <c r="M356" s="52"/>
      <c r="O356" s="160" t="s">
        <v>1692</v>
      </c>
      <c r="P356" s="2257"/>
      <c r="Q356" s="519"/>
    </row>
    <row r="357" spans="1:32" s="132" customFormat="1" ht="21.75" customHeight="1">
      <c r="A357" s="141" t="s">
        <v>1693</v>
      </c>
      <c r="B357" s="2710" t="s">
        <v>3760</v>
      </c>
      <c r="C357" s="2710"/>
      <c r="D357" s="2710"/>
      <c r="E357" s="2710"/>
      <c r="F357" s="2710"/>
      <c r="G357" s="2710"/>
      <c r="H357" s="2710"/>
      <c r="I357" s="2710"/>
      <c r="J357" s="2710"/>
      <c r="K357" s="2710"/>
      <c r="L357" s="2710"/>
      <c r="M357" s="2710"/>
      <c r="N357" s="2710"/>
      <c r="O357" s="160" t="s">
        <v>1693</v>
      </c>
      <c r="P357" s="2275"/>
      <c r="Q357" s="4135"/>
      <c r="AE357" s="458"/>
      <c r="AF357" s="458"/>
    </row>
    <row r="358" spans="1:32" s="132" customFormat="1" ht="10.5" customHeight="1">
      <c r="A358" s="141" t="s">
        <v>1899</v>
      </c>
      <c r="B358" s="139" t="s">
        <v>3761</v>
      </c>
      <c r="D358" s="857"/>
      <c r="E358" s="857"/>
      <c r="F358" s="857"/>
      <c r="G358" s="857"/>
      <c r="H358" s="857"/>
      <c r="I358" s="857"/>
      <c r="J358" s="857"/>
      <c r="K358" s="857"/>
      <c r="L358" s="857"/>
      <c r="M358" s="857"/>
      <c r="N358" s="857"/>
      <c r="O358" s="160" t="s">
        <v>1899</v>
      </c>
      <c r="P358" s="2268"/>
      <c r="Q358" s="1088"/>
      <c r="AE358" s="458"/>
      <c r="AF358" s="458"/>
    </row>
    <row r="359" spans="1:32" s="132" customFormat="1" ht="10.5" customHeight="1">
      <c r="C359" s="842" t="s">
        <v>4418</v>
      </c>
      <c r="E359" s="2378"/>
      <c r="F359" s="2378"/>
      <c r="G359" s="2378"/>
      <c r="H359" s="2378"/>
      <c r="I359" s="2378"/>
      <c r="J359" s="2378"/>
      <c r="K359" s="2378"/>
      <c r="L359" s="2378"/>
      <c r="M359" s="2378"/>
      <c r="N359" s="2378"/>
      <c r="P359" s="2389"/>
      <c r="Q359" s="2253"/>
      <c r="AE359" s="458"/>
      <c r="AF359" s="458"/>
    </row>
    <row r="360" spans="1:32" ht="21.75" customHeight="1">
      <c r="A360" s="141" t="s">
        <v>3262</v>
      </c>
      <c r="B360" s="2710" t="s">
        <v>3762</v>
      </c>
      <c r="C360" s="2710"/>
      <c r="D360" s="2710"/>
      <c r="E360" s="2710"/>
      <c r="F360" s="2710"/>
      <c r="G360" s="2710"/>
      <c r="H360" s="2710"/>
      <c r="I360" s="2710"/>
      <c r="J360" s="2710"/>
      <c r="K360" s="2710"/>
      <c r="L360" s="2710"/>
      <c r="M360" s="2710"/>
      <c r="N360" s="2710"/>
      <c r="O360" s="160" t="s">
        <v>3262</v>
      </c>
      <c r="P360" s="2268"/>
      <c r="Q360" s="1088"/>
    </row>
    <row r="361" spans="1:32" ht="33" customHeight="1">
      <c r="A361" s="141" t="s">
        <v>598</v>
      </c>
      <c r="B361" s="2710" t="s">
        <v>3763</v>
      </c>
      <c r="C361" s="2710"/>
      <c r="D361" s="2710"/>
      <c r="E361" s="2710"/>
      <c r="F361" s="2710"/>
      <c r="G361" s="2710"/>
      <c r="H361" s="2710"/>
      <c r="I361" s="2710"/>
      <c r="J361" s="2710"/>
      <c r="K361" s="2710"/>
      <c r="L361" s="2710"/>
      <c r="M361" s="2710"/>
      <c r="N361" s="2710"/>
      <c r="O361" s="160" t="s">
        <v>598</v>
      </c>
      <c r="P361" s="2389"/>
      <c r="Q361" s="2253"/>
    </row>
    <row r="362" spans="1:32" ht="10.5" customHeight="1">
      <c r="B362" s="140" t="s">
        <v>3565</v>
      </c>
      <c r="D362" s="140"/>
      <c r="E362" s="140"/>
      <c r="F362" s="140"/>
      <c r="G362" s="140"/>
      <c r="H362" s="40"/>
      <c r="I362" s="2398"/>
      <c r="J362" s="2398"/>
      <c r="K362" s="2398"/>
      <c r="L362" s="2376"/>
      <c r="M362" s="2376"/>
      <c r="N362" s="2376"/>
      <c r="O362" s="2376"/>
      <c r="P362" s="2376"/>
      <c r="Q362" s="855"/>
    </row>
    <row r="363" spans="1:32" ht="31.5" customHeight="1">
      <c r="A363" s="2707" t="s">
        <v>948</v>
      </c>
      <c r="B363" s="2708"/>
      <c r="C363" s="2708"/>
      <c r="D363" s="2708"/>
      <c r="E363" s="2708"/>
      <c r="F363" s="2708"/>
      <c r="G363" s="2708"/>
      <c r="H363" s="2708"/>
      <c r="I363" s="2708"/>
      <c r="J363" s="2708"/>
      <c r="K363" s="2708"/>
      <c r="L363" s="2708"/>
      <c r="M363" s="2708"/>
      <c r="N363" s="2708"/>
      <c r="O363" s="2708"/>
      <c r="P363" s="2708"/>
      <c r="Q363" s="2709"/>
      <c r="U363" s="135"/>
      <c r="V363" s="135"/>
      <c r="W363" s="135"/>
      <c r="X363" s="135"/>
      <c r="Y363" s="135"/>
      <c r="Z363" s="135"/>
      <c r="AA363" s="135"/>
      <c r="AB363" s="135"/>
      <c r="AC363" s="135"/>
      <c r="AD363" s="135"/>
      <c r="AE363" s="457"/>
    </row>
    <row r="364" spans="1:32" ht="10.5" customHeight="1">
      <c r="B364" s="136" t="s">
        <v>1819</v>
      </c>
      <c r="C364" s="137"/>
      <c r="D364" s="2378"/>
      <c r="E364" s="2378"/>
      <c r="F364" s="2378"/>
      <c r="G364" s="2378"/>
      <c r="H364" s="2378"/>
      <c r="I364" s="2378"/>
      <c r="J364" s="2378"/>
      <c r="K364" s="2378"/>
      <c r="L364" s="2378"/>
      <c r="M364" s="2378"/>
      <c r="N364" s="2378"/>
      <c r="O364" s="2378"/>
      <c r="P364" s="2378"/>
      <c r="Q364" s="2378"/>
    </row>
    <row r="365" spans="1:32" ht="23.25" customHeight="1">
      <c r="A365" s="2701"/>
      <c r="B365" s="2702"/>
      <c r="C365" s="2702"/>
      <c r="D365" s="2702"/>
      <c r="E365" s="2702"/>
      <c r="F365" s="2702"/>
      <c r="G365" s="2702"/>
      <c r="H365" s="2702"/>
      <c r="I365" s="2702"/>
      <c r="J365" s="2702"/>
      <c r="K365" s="2702"/>
      <c r="L365" s="2702"/>
      <c r="M365" s="2702"/>
      <c r="N365" s="2702"/>
      <c r="O365" s="2702"/>
      <c r="P365" s="2702"/>
      <c r="Q365" s="2703"/>
    </row>
    <row r="366" spans="1:32" ht="3" customHeight="1">
      <c r="A366" s="2376"/>
      <c r="B366" s="2398"/>
      <c r="C366" s="2378"/>
      <c r="D366" s="2378"/>
      <c r="E366" s="2378"/>
      <c r="F366" s="2378"/>
      <c r="G366" s="2378"/>
      <c r="H366" s="2378"/>
      <c r="I366" s="2378"/>
      <c r="J366" s="2378"/>
      <c r="K366" s="2378"/>
      <c r="L366" s="2378"/>
      <c r="M366" s="2378"/>
      <c r="Q366" s="855"/>
    </row>
    <row r="367" spans="1:32" ht="14.1" customHeight="1">
      <c r="A367" s="2371" t="s">
        <v>3789</v>
      </c>
      <c r="B367" s="4" t="s">
        <v>4693</v>
      </c>
      <c r="C367" s="4"/>
      <c r="D367" s="4"/>
      <c r="E367" s="4"/>
      <c r="F367" s="4"/>
      <c r="G367" s="4"/>
      <c r="H367" s="2378"/>
      <c r="I367" s="2378"/>
      <c r="J367" s="2378"/>
      <c r="O367" s="131" t="s">
        <v>1820</v>
      </c>
      <c r="P367" s="2718"/>
      <c r="Q367" s="2719"/>
    </row>
    <row r="368" spans="1:32" s="42" customFormat="1" ht="10.5" customHeight="1">
      <c r="A368" s="47" t="s">
        <v>1935</v>
      </c>
      <c r="B368" s="589" t="s">
        <v>3678</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44" t="s">
        <v>4360</v>
      </c>
      <c r="D369" s="2744"/>
      <c r="E369" s="2744"/>
      <c r="F369" s="2744"/>
      <c r="G369" s="50"/>
      <c r="H369" s="36" t="s">
        <v>599</v>
      </c>
      <c r="J369" s="2915"/>
      <c r="K369" s="2916"/>
      <c r="L369" s="2916"/>
      <c r="M369" s="2917"/>
      <c r="N369" s="2841" t="s">
        <v>3677</v>
      </c>
      <c r="O369" s="2779"/>
      <c r="P369" s="2905"/>
      <c r="Q369" s="2906"/>
      <c r="AE369" s="50"/>
      <c r="AF369" s="50"/>
    </row>
    <row r="370" spans="1:32" s="42" customFormat="1" ht="11.25" customHeight="1">
      <c r="B370" s="40"/>
      <c r="C370" s="2391"/>
      <c r="D370" s="2391"/>
      <c r="E370" s="2391"/>
      <c r="F370" s="2391"/>
      <c r="G370" s="2391"/>
      <c r="H370" s="40" t="s">
        <v>4485</v>
      </c>
      <c r="I370" s="2391"/>
      <c r="J370" s="2698"/>
      <c r="K370" s="2699"/>
      <c r="L370" s="2699"/>
      <c r="M370" s="2699"/>
      <c r="N370" s="2699"/>
      <c r="O370" s="2699"/>
      <c r="P370" s="2699"/>
      <c r="Q370" s="2700"/>
      <c r="AE370" s="50"/>
      <c r="AF370" s="50"/>
    </row>
    <row r="371" spans="1:32" s="42" customFormat="1" ht="11.25" customHeight="1">
      <c r="B371" s="40" t="s">
        <v>1695</v>
      </c>
      <c r="C371" s="52" t="s">
        <v>3679</v>
      </c>
      <c r="J371" s="2909"/>
      <c r="K371" s="2910"/>
      <c r="O371" s="455"/>
      <c r="AE371" s="50"/>
      <c r="AF371" s="50"/>
    </row>
    <row r="372" spans="1:32" s="42" customFormat="1" ht="11.25" customHeight="1">
      <c r="A372" s="47"/>
      <c r="B372" s="40" t="s">
        <v>1696</v>
      </c>
      <c r="C372" s="52" t="s">
        <v>3680</v>
      </c>
      <c r="D372" s="46"/>
      <c r="E372" s="133"/>
      <c r="I372" s="133"/>
      <c r="J372" s="2918" t="str">
        <f>'Part I-Project Information'!K40</f>
        <v>Rural</v>
      </c>
      <c r="K372" s="2919"/>
      <c r="L372" s="2382" t="s">
        <v>3681</v>
      </c>
      <c r="M372" s="133"/>
      <c r="N372" s="133"/>
      <c r="O372" s="455" t="s">
        <v>1696</v>
      </c>
      <c r="P372" s="2259"/>
      <c r="Q372" s="517"/>
      <c r="AE372" s="50"/>
      <c r="AF372" s="50"/>
    </row>
    <row r="373" spans="1:32" s="42" customFormat="1" ht="11.25" customHeight="1">
      <c r="A373" s="47"/>
      <c r="B373" s="40" t="s">
        <v>2304</v>
      </c>
      <c r="C373" s="52" t="s">
        <v>4354</v>
      </c>
      <c r="E373" s="133"/>
      <c r="F373" s="133"/>
      <c r="G373" s="133"/>
      <c r="H373" s="52" t="s">
        <v>4355</v>
      </c>
      <c r="I373" s="133"/>
      <c r="J373" s="2907"/>
      <c r="K373" s="2908"/>
      <c r="L373" s="4136"/>
      <c r="M373" s="4137"/>
      <c r="O373" s="455"/>
      <c r="AE373" s="50"/>
      <c r="AF373" s="50"/>
    </row>
    <row r="374" spans="1:32" s="42" customFormat="1" ht="11.25" customHeight="1">
      <c r="A374" s="47"/>
      <c r="B374" s="40"/>
      <c r="C374" s="52"/>
      <c r="E374" s="133"/>
      <c r="F374" s="133"/>
      <c r="G374" s="133"/>
      <c r="H374" s="52" t="s">
        <v>4356</v>
      </c>
      <c r="I374" s="133"/>
      <c r="J374" s="2711"/>
      <c r="K374" s="2713"/>
      <c r="L374" s="4138"/>
      <c r="M374" s="4139"/>
      <c r="N374" s="52"/>
      <c r="O374" s="455"/>
      <c r="AE374" s="50"/>
      <c r="AF374" s="50"/>
    </row>
    <row r="375" spans="1:32" s="42" customFormat="1" ht="11.25" customHeight="1">
      <c r="A375" s="47"/>
      <c r="B375" s="40" t="s">
        <v>1516</v>
      </c>
      <c r="C375" s="52" t="s">
        <v>3682</v>
      </c>
      <c r="E375" s="52"/>
      <c r="F375" s="2911">
        <f>'Part IV-A-Uses of Funds'!J182</f>
        <v>900000</v>
      </c>
      <c r="G375" s="2912"/>
      <c r="H375" s="52" t="s">
        <v>3683</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4562</v>
      </c>
      <c r="E376" s="52"/>
      <c r="F376" s="52"/>
      <c r="G376" s="52"/>
      <c r="H376" s="52" t="s">
        <v>4357</v>
      </c>
      <c r="I376" s="52"/>
      <c r="J376" s="2920"/>
      <c r="K376" s="2921"/>
      <c r="L376" s="4140"/>
      <c r="M376" s="4141"/>
      <c r="AE376" s="50"/>
      <c r="AF376" s="50"/>
    </row>
    <row r="377" spans="1:32" s="42" customFormat="1" ht="11.25" customHeight="1">
      <c r="B377" s="40" t="s">
        <v>96</v>
      </c>
      <c r="C377" s="52" t="s">
        <v>3684</v>
      </c>
      <c r="E377" s="133"/>
      <c r="F377" s="133"/>
      <c r="G377" s="133"/>
      <c r="H377" s="133"/>
      <c r="I377" s="133"/>
      <c r="J377" s="133"/>
      <c r="K377" s="133"/>
      <c r="L377" s="133"/>
      <c r="O377" s="455" t="s">
        <v>96</v>
      </c>
      <c r="P377" s="2259"/>
      <c r="Q377" s="517"/>
      <c r="AE377" s="50"/>
      <c r="AF377" s="50"/>
    </row>
    <row r="378" spans="1:32" s="42" customFormat="1" ht="11.25" customHeight="1">
      <c r="A378" s="47" t="s">
        <v>1937</v>
      </c>
      <c r="B378" s="589" t="s">
        <v>3685</v>
      </c>
      <c r="D378" s="133"/>
      <c r="E378" s="133"/>
      <c r="F378" s="133"/>
      <c r="G378" s="133"/>
      <c r="H378" s="133"/>
      <c r="P378" s="133"/>
      <c r="Q378" s="133"/>
      <c r="R378" s="133"/>
      <c r="AE378" s="50"/>
      <c r="AF378" s="50"/>
    </row>
    <row r="379" spans="1:32" s="42" customFormat="1" ht="11.25" customHeight="1">
      <c r="B379" s="40" t="s">
        <v>1694</v>
      </c>
      <c r="C379" s="856" t="s">
        <v>4392</v>
      </c>
      <c r="E379" s="2382"/>
      <c r="F379" s="2382"/>
      <c r="G379" s="2382"/>
      <c r="H379" s="2382"/>
      <c r="P379" s="2259"/>
      <c r="Q379" s="517"/>
      <c r="AE379" s="50"/>
      <c r="AF379" s="50"/>
    </row>
    <row r="380" spans="1:32" s="42" customFormat="1" ht="11.25" customHeight="1">
      <c r="B380" s="40"/>
      <c r="C380" s="856"/>
      <c r="E380" s="2382"/>
      <c r="F380" s="2382"/>
      <c r="G380" s="2382"/>
      <c r="H380" s="2382"/>
      <c r="J380" s="2743" t="s">
        <v>3689</v>
      </c>
      <c r="K380" s="2743"/>
      <c r="L380" s="2743"/>
      <c r="M380" s="2743"/>
      <c r="N380" s="2697" t="s">
        <v>3687</v>
      </c>
      <c r="O380" s="2697"/>
      <c r="AE380" s="50"/>
      <c r="AF380" s="50"/>
    </row>
    <row r="381" spans="1:32" s="42" customFormat="1" ht="11.25" customHeight="1">
      <c r="A381" s="1476"/>
      <c r="B381" s="40" t="s">
        <v>1695</v>
      </c>
      <c r="C381" s="856" t="s">
        <v>3686</v>
      </c>
      <c r="E381" s="133"/>
      <c r="F381" s="133"/>
      <c r="G381" s="133"/>
      <c r="H381" s="133"/>
      <c r="I381" s="455" t="s">
        <v>1695</v>
      </c>
      <c r="J381" s="2913"/>
      <c r="K381" s="2914"/>
      <c r="L381" s="4142"/>
      <c r="M381" s="4143"/>
      <c r="N381" s="1056" t="str">
        <f>IF(J381="","",(J381-J373)/J381)</f>
        <v/>
      </c>
      <c r="O381" s="1057" t="str">
        <f>IF(L381="","",(L381-L373)/L381)</f>
        <v/>
      </c>
      <c r="P381" s="2264"/>
      <c r="Q381" s="1553"/>
      <c r="AE381" s="50"/>
      <c r="AF381" s="50"/>
    </row>
    <row r="382" spans="1:32" s="42" customFormat="1" ht="11.25" customHeight="1">
      <c r="A382" s="1476"/>
      <c r="B382" s="40" t="s">
        <v>1696</v>
      </c>
      <c r="C382" s="52" t="s">
        <v>3688</v>
      </c>
      <c r="E382" s="133"/>
      <c r="F382" s="133"/>
      <c r="G382" s="133"/>
      <c r="H382" s="133"/>
      <c r="N382" s="133"/>
      <c r="O382" s="455" t="s">
        <v>1696</v>
      </c>
      <c r="P382" s="2276"/>
      <c r="Q382" s="4144"/>
      <c r="AE382" s="50"/>
      <c r="AF382" s="50"/>
    </row>
    <row r="383" spans="1:32" s="42" customFormat="1" ht="11.25" customHeight="1">
      <c r="B383" s="40" t="s">
        <v>2304</v>
      </c>
      <c r="C383" s="52" t="s">
        <v>3690</v>
      </c>
      <c r="E383" s="133"/>
      <c r="F383" s="133"/>
      <c r="G383" s="133"/>
      <c r="H383" s="133"/>
      <c r="M383" s="133"/>
      <c r="N383" s="133"/>
      <c r="O383" s="455" t="s">
        <v>2304</v>
      </c>
      <c r="P383" s="2258"/>
      <c r="Q383" s="520"/>
      <c r="AE383" s="50"/>
      <c r="AF383" s="50"/>
    </row>
    <row r="384" spans="1:32" ht="10.5" customHeight="1">
      <c r="B384" s="140" t="s">
        <v>3565</v>
      </c>
      <c r="D384" s="140"/>
      <c r="E384" s="140"/>
      <c r="F384" s="140"/>
      <c r="G384" s="140"/>
      <c r="H384" s="40"/>
      <c r="I384" s="2398"/>
      <c r="J384" s="2398"/>
      <c r="K384" s="2398"/>
      <c r="L384" s="2376"/>
      <c r="M384" s="2376"/>
      <c r="N384" s="2376"/>
      <c r="O384" s="2376"/>
      <c r="P384" s="2376"/>
      <c r="Q384" s="855"/>
    </row>
    <row r="385" spans="1:31" ht="31.5" customHeight="1">
      <c r="A385" s="2707" t="s">
        <v>948</v>
      </c>
      <c r="B385" s="2708"/>
      <c r="C385" s="2708"/>
      <c r="D385" s="2708"/>
      <c r="E385" s="2708"/>
      <c r="F385" s="2708"/>
      <c r="G385" s="2708"/>
      <c r="H385" s="2708"/>
      <c r="I385" s="2708"/>
      <c r="J385" s="2708"/>
      <c r="K385" s="2708"/>
      <c r="L385" s="2708"/>
      <c r="M385" s="2708"/>
      <c r="N385" s="2708"/>
      <c r="O385" s="2708"/>
      <c r="P385" s="2708"/>
      <c r="Q385" s="2709"/>
      <c r="U385" s="135"/>
      <c r="V385" s="135"/>
      <c r="W385" s="135"/>
      <c r="X385" s="135"/>
      <c r="Y385" s="135"/>
      <c r="Z385" s="135"/>
      <c r="AA385" s="135"/>
      <c r="AB385" s="135"/>
      <c r="AC385" s="135"/>
      <c r="AD385" s="135"/>
      <c r="AE385" s="457"/>
    </row>
    <row r="386" spans="1:31" ht="11.25" customHeight="1">
      <c r="B386" s="136" t="s">
        <v>1819</v>
      </c>
      <c r="C386" s="137"/>
      <c r="D386" s="2378"/>
      <c r="E386" s="2378"/>
      <c r="F386" s="2378"/>
      <c r="G386" s="2378"/>
      <c r="H386" s="2378"/>
      <c r="I386" s="2378"/>
      <c r="J386" s="2378"/>
      <c r="K386" s="2378"/>
      <c r="L386" s="2378"/>
      <c r="M386" s="2378"/>
      <c r="N386" s="2378"/>
      <c r="O386" s="2378"/>
      <c r="P386" s="2378"/>
      <c r="Q386" s="2378"/>
    </row>
    <row r="387" spans="1:31" ht="23.25" customHeight="1">
      <c r="A387" s="2701"/>
      <c r="B387" s="2702"/>
      <c r="C387" s="2702"/>
      <c r="D387" s="2702"/>
      <c r="E387" s="2702"/>
      <c r="F387" s="2702"/>
      <c r="G387" s="2702"/>
      <c r="H387" s="2702"/>
      <c r="I387" s="2702"/>
      <c r="J387" s="2702"/>
      <c r="K387" s="2702"/>
      <c r="L387" s="2702"/>
      <c r="M387" s="2702"/>
      <c r="N387" s="2702"/>
      <c r="O387" s="2702"/>
      <c r="P387" s="2702"/>
      <c r="Q387" s="2703"/>
    </row>
    <row r="388" spans="1:31" ht="3.6" customHeight="1">
      <c r="A388" s="2376"/>
      <c r="B388" s="2398"/>
      <c r="C388" s="2378"/>
      <c r="D388" s="2378"/>
      <c r="E388" s="2378"/>
      <c r="F388" s="2378"/>
      <c r="G388" s="2378"/>
      <c r="H388" s="2378"/>
      <c r="I388" s="2378"/>
      <c r="J388" s="2378"/>
      <c r="K388" s="2378"/>
      <c r="L388" s="2378"/>
      <c r="M388" s="2378"/>
      <c r="Q388" s="855"/>
    </row>
    <row r="389" spans="1:31" ht="3" customHeight="1">
      <c r="A389" s="2376"/>
      <c r="B389" s="2398"/>
      <c r="C389" s="2378"/>
      <c r="D389" s="2378"/>
      <c r="E389" s="2378"/>
      <c r="F389" s="2378"/>
      <c r="G389" s="2378"/>
      <c r="H389" s="2378"/>
      <c r="I389" s="2378"/>
      <c r="J389" s="2378"/>
      <c r="K389" s="2378"/>
      <c r="L389" s="2378"/>
      <c r="M389" s="2378"/>
      <c r="Q389" s="855"/>
    </row>
    <row r="390" spans="1:31" ht="14.1" customHeight="1">
      <c r="A390" s="2371" t="s">
        <v>3790</v>
      </c>
      <c r="B390" s="4" t="s">
        <v>2607</v>
      </c>
      <c r="C390" s="4"/>
      <c r="D390" s="4"/>
      <c r="E390" s="4"/>
      <c r="F390" s="4"/>
      <c r="G390" s="4"/>
      <c r="H390" s="2378"/>
      <c r="I390" s="2378"/>
      <c r="J390" s="2378"/>
      <c r="O390" s="131" t="s">
        <v>1820</v>
      </c>
      <c r="P390" s="2718"/>
      <c r="Q390" s="2719"/>
    </row>
    <row r="391" spans="1:31" ht="11.4" customHeight="1">
      <c r="A391" s="47" t="s">
        <v>1935</v>
      </c>
      <c r="B391" s="117" t="s">
        <v>1012</v>
      </c>
      <c r="E391" s="2774"/>
      <c r="F391" s="2775"/>
      <c r="G391" s="2775"/>
      <c r="H391" s="2775"/>
      <c r="I391" s="2776"/>
      <c r="J391" s="2777" t="s">
        <v>2594</v>
      </c>
      <c r="K391" s="2778"/>
      <c r="L391" s="2779"/>
      <c r="M391" s="2774"/>
      <c r="N391" s="2775"/>
      <c r="O391" s="2775"/>
      <c r="P391" s="2775"/>
      <c r="Q391" s="2776"/>
    </row>
    <row r="392" spans="1:31" ht="11.4" customHeight="1">
      <c r="A392" s="47" t="s">
        <v>1937</v>
      </c>
      <c r="B392" s="52" t="s">
        <v>3345</v>
      </c>
      <c r="D392" s="52"/>
      <c r="E392" s="52"/>
      <c r="F392" s="52"/>
      <c r="G392" s="52"/>
      <c r="H392" s="52"/>
      <c r="I392" s="52"/>
      <c r="J392" s="52"/>
      <c r="K392" s="52"/>
      <c r="L392" s="856"/>
      <c r="M392" s="856"/>
      <c r="O392" s="455" t="s">
        <v>1937</v>
      </c>
      <c r="P392" s="2256"/>
      <c r="Q392" s="518"/>
    </row>
    <row r="393" spans="1:31" ht="22.5" customHeight="1">
      <c r="A393" s="141" t="s">
        <v>731</v>
      </c>
      <c r="B393" s="2710" t="s">
        <v>3354</v>
      </c>
      <c r="C393" s="2710"/>
      <c r="D393" s="2710"/>
      <c r="E393" s="2710"/>
      <c r="F393" s="2710"/>
      <c r="G393" s="2710"/>
      <c r="H393" s="2710"/>
      <c r="I393" s="2710"/>
      <c r="J393" s="2710"/>
      <c r="K393" s="2710"/>
      <c r="L393" s="2710"/>
      <c r="M393" s="2710"/>
      <c r="N393" s="2710"/>
      <c r="O393" s="160" t="s">
        <v>731</v>
      </c>
      <c r="P393" s="2381"/>
      <c r="Q393" s="2380"/>
    </row>
    <row r="394" spans="1:31">
      <c r="A394" s="47" t="s">
        <v>2064</v>
      </c>
      <c r="B394" s="55" t="s">
        <v>3518</v>
      </c>
      <c r="G394" s="2382"/>
      <c r="H394" s="2382"/>
      <c r="I394" s="2382"/>
      <c r="J394" s="856" t="s">
        <v>3519</v>
      </c>
      <c r="L394" s="2382"/>
      <c r="M394" s="2751">
        <f>'Part III-Sources of Funds'!H5</f>
        <v>0</v>
      </c>
      <c r="N394" s="2752"/>
      <c r="O394" s="455" t="s">
        <v>2064</v>
      </c>
      <c r="P394" s="2258"/>
      <c r="Q394" s="520"/>
    </row>
    <row r="395" spans="1:31" ht="11.25" customHeight="1">
      <c r="B395" s="140" t="s">
        <v>3565</v>
      </c>
      <c r="D395" s="140"/>
      <c r="E395" s="140"/>
      <c r="F395" s="140"/>
      <c r="G395" s="140"/>
      <c r="H395" s="40"/>
      <c r="I395" s="2398"/>
      <c r="J395" s="2398"/>
      <c r="K395" s="2398"/>
      <c r="L395" s="2376"/>
      <c r="M395" s="2376"/>
      <c r="N395" s="2376"/>
      <c r="O395" s="2376"/>
      <c r="P395" s="2376"/>
      <c r="Q395" s="855"/>
    </row>
    <row r="396" spans="1:31" ht="11.4" customHeight="1">
      <c r="A396" s="2707" t="s">
        <v>948</v>
      </c>
      <c r="B396" s="2708"/>
      <c r="C396" s="2708"/>
      <c r="D396" s="2708"/>
      <c r="E396" s="2708"/>
      <c r="F396" s="2708"/>
      <c r="G396" s="2708"/>
      <c r="H396" s="2708"/>
      <c r="I396" s="2708"/>
      <c r="J396" s="2708"/>
      <c r="K396" s="2708"/>
      <c r="L396" s="2708"/>
      <c r="M396" s="2708"/>
      <c r="N396" s="2708"/>
      <c r="O396" s="2708"/>
      <c r="P396" s="2708"/>
      <c r="Q396" s="2709"/>
      <c r="U396" s="135"/>
      <c r="V396" s="135"/>
      <c r="W396" s="135"/>
      <c r="X396" s="135"/>
      <c r="Y396" s="135"/>
      <c r="Z396" s="135"/>
      <c r="AA396" s="135"/>
      <c r="AB396" s="135"/>
      <c r="AC396" s="135"/>
      <c r="AD396" s="135"/>
      <c r="AE396" s="457"/>
    </row>
    <row r="397" spans="1:31" ht="11.25" customHeight="1">
      <c r="B397" s="136" t="s">
        <v>1819</v>
      </c>
      <c r="C397" s="137"/>
      <c r="D397" s="2378"/>
      <c r="E397" s="2378"/>
      <c r="F397" s="2378"/>
      <c r="G397" s="2378"/>
      <c r="H397" s="2378"/>
      <c r="I397" s="2378"/>
      <c r="J397" s="2378"/>
      <c r="K397" s="2378"/>
      <c r="L397" s="2378"/>
      <c r="M397" s="2378"/>
      <c r="N397" s="2378"/>
      <c r="O397" s="2378"/>
      <c r="P397" s="2378"/>
      <c r="Q397" s="2378"/>
    </row>
    <row r="398" spans="1:31" ht="11.4" customHeight="1">
      <c r="A398" s="2701"/>
      <c r="B398" s="2702"/>
      <c r="C398" s="2702"/>
      <c r="D398" s="2702"/>
      <c r="E398" s="2702"/>
      <c r="F398" s="2702"/>
      <c r="G398" s="2702"/>
      <c r="H398" s="2702"/>
      <c r="I398" s="2702"/>
      <c r="J398" s="2702"/>
      <c r="K398" s="2702"/>
      <c r="L398" s="2702"/>
      <c r="M398" s="2702"/>
      <c r="N398" s="2702"/>
      <c r="O398" s="2702"/>
      <c r="P398" s="2702"/>
      <c r="Q398" s="2703"/>
    </row>
    <row r="399" spans="1:31" ht="3.6" customHeight="1">
      <c r="A399" s="2376"/>
      <c r="B399" s="2398"/>
      <c r="C399" s="2378"/>
      <c r="D399" s="2378"/>
      <c r="E399" s="2378"/>
      <c r="F399" s="2378"/>
      <c r="G399" s="2378"/>
      <c r="H399" s="2378"/>
      <c r="I399" s="2378"/>
      <c r="J399" s="2378"/>
      <c r="K399" s="2378"/>
      <c r="L399" s="2378"/>
      <c r="M399" s="2378"/>
      <c r="Q399" s="855"/>
    </row>
    <row r="400" spans="1:31" ht="14.1" customHeight="1">
      <c r="A400" s="2371" t="s">
        <v>3791</v>
      </c>
      <c r="B400" s="4" t="s">
        <v>2592</v>
      </c>
      <c r="C400" s="4"/>
      <c r="D400" s="4"/>
      <c r="E400" s="2378"/>
      <c r="G400" s="139" t="s">
        <v>683</v>
      </c>
      <c r="H400" s="2378"/>
      <c r="I400" s="2378"/>
      <c r="J400" s="2378"/>
      <c r="K400" s="2378"/>
      <c r="L400" s="2378"/>
      <c r="M400" s="2378"/>
      <c r="O400" s="131" t="s">
        <v>1820</v>
      </c>
      <c r="P400" s="2718"/>
      <c r="Q400" s="4145"/>
    </row>
    <row r="401" spans="1:31" ht="12" customHeight="1">
      <c r="A401" s="47" t="s">
        <v>1935</v>
      </c>
      <c r="B401" s="52" t="s">
        <v>2596</v>
      </c>
      <c r="D401" s="857"/>
      <c r="E401" s="857"/>
      <c r="O401" s="455" t="s">
        <v>1935</v>
      </c>
      <c r="P401" s="2256"/>
      <c r="Q401" s="518"/>
    </row>
    <row r="402" spans="1:31" ht="12" customHeight="1">
      <c r="A402" s="47" t="s">
        <v>1937</v>
      </c>
      <c r="B402" s="52" t="s">
        <v>3442</v>
      </c>
      <c r="D402" s="857"/>
      <c r="E402" s="857"/>
      <c r="O402" s="455" t="s">
        <v>1937</v>
      </c>
      <c r="P402" s="2257"/>
      <c r="Q402" s="519"/>
    </row>
    <row r="403" spans="1:31" ht="12" customHeight="1">
      <c r="A403" s="47" t="s">
        <v>731</v>
      </c>
      <c r="B403" s="52" t="s">
        <v>4710</v>
      </c>
      <c r="D403" s="857"/>
      <c r="E403" s="857"/>
      <c r="O403" s="455" t="s">
        <v>731</v>
      </c>
      <c r="P403" s="2257"/>
      <c r="Q403" s="519"/>
    </row>
    <row r="404" spans="1:31" ht="12" customHeight="1">
      <c r="A404" s="47" t="s">
        <v>2064</v>
      </c>
      <c r="B404" s="52" t="s">
        <v>3443</v>
      </c>
      <c r="E404" s="139"/>
      <c r="O404" s="455" t="s">
        <v>2064</v>
      </c>
      <c r="P404" s="2257"/>
      <c r="Q404" s="519"/>
    </row>
    <row r="405" spans="1:31" ht="12" customHeight="1">
      <c r="A405" s="47" t="s">
        <v>1692</v>
      </c>
      <c r="B405" s="52" t="s">
        <v>2030</v>
      </c>
      <c r="E405" s="139"/>
      <c r="G405" s="455" t="s">
        <v>1692</v>
      </c>
      <c r="H405" s="2745"/>
      <c r="I405" s="2746"/>
      <c r="J405" s="2746"/>
      <c r="K405" s="2746"/>
      <c r="L405" s="2746"/>
      <c r="M405" s="2746"/>
      <c r="N405" s="2746"/>
      <c r="O405" s="2747"/>
      <c r="P405" s="2258"/>
      <c r="Q405" s="520"/>
    </row>
    <row r="406" spans="1:31" ht="11.25" customHeight="1">
      <c r="B406" s="140" t="s">
        <v>3565</v>
      </c>
      <c r="D406" s="140"/>
      <c r="E406" s="140"/>
      <c r="F406" s="140"/>
      <c r="G406" s="140"/>
      <c r="H406" s="40"/>
      <c r="I406" s="2398"/>
      <c r="J406" s="2398"/>
      <c r="K406" s="2398"/>
      <c r="L406" s="2376"/>
      <c r="M406" s="2376"/>
      <c r="N406" s="2376"/>
      <c r="O406" s="2376"/>
      <c r="P406" s="2376"/>
      <c r="Q406" s="855"/>
    </row>
    <row r="407" spans="1:31" ht="11.4" customHeight="1">
      <c r="A407" s="2707" t="s">
        <v>948</v>
      </c>
      <c r="B407" s="2708"/>
      <c r="C407" s="2708"/>
      <c r="D407" s="2708"/>
      <c r="E407" s="2708"/>
      <c r="F407" s="2708"/>
      <c r="G407" s="2708"/>
      <c r="H407" s="2708"/>
      <c r="I407" s="2708"/>
      <c r="J407" s="2708"/>
      <c r="K407" s="2708"/>
      <c r="L407" s="2708"/>
      <c r="M407" s="2708"/>
      <c r="N407" s="2708"/>
      <c r="O407" s="2708"/>
      <c r="P407" s="2708"/>
      <c r="Q407" s="2709"/>
      <c r="U407" s="135"/>
      <c r="V407" s="135"/>
      <c r="W407" s="135"/>
      <c r="X407" s="135"/>
      <c r="Y407" s="135"/>
      <c r="Z407" s="135"/>
      <c r="AA407" s="135"/>
      <c r="AB407" s="135"/>
      <c r="AC407" s="135"/>
      <c r="AD407" s="135"/>
      <c r="AE407" s="457"/>
    </row>
    <row r="408" spans="1:31" ht="11.25" customHeight="1">
      <c r="B408" s="136" t="s">
        <v>1819</v>
      </c>
      <c r="C408" s="137"/>
      <c r="D408" s="2378"/>
      <c r="E408" s="2378"/>
      <c r="F408" s="2378"/>
      <c r="G408" s="2378"/>
      <c r="H408" s="2378"/>
      <c r="I408" s="2378"/>
      <c r="J408" s="2378"/>
      <c r="K408" s="2378"/>
      <c r="L408" s="2378"/>
      <c r="M408" s="2378"/>
      <c r="N408" s="2378"/>
      <c r="O408" s="2378"/>
      <c r="P408" s="2378"/>
      <c r="Q408" s="2378"/>
    </row>
    <row r="409" spans="1:31" ht="11.4" customHeight="1">
      <c r="A409" s="2701"/>
      <c r="B409" s="2702"/>
      <c r="C409" s="2702"/>
      <c r="D409" s="2702"/>
      <c r="E409" s="2702"/>
      <c r="F409" s="2702"/>
      <c r="G409" s="2702"/>
      <c r="H409" s="2702"/>
      <c r="I409" s="2702"/>
      <c r="J409" s="2702"/>
      <c r="K409" s="2702"/>
      <c r="L409" s="2702"/>
      <c r="M409" s="2702"/>
      <c r="N409" s="2702"/>
      <c r="O409" s="2702"/>
      <c r="P409" s="2702"/>
      <c r="Q409" s="2703"/>
    </row>
    <row r="410" spans="1:31" ht="3" customHeight="1">
      <c r="A410" s="2376"/>
      <c r="B410" s="2398"/>
      <c r="C410" s="2378"/>
      <c r="D410" s="2378"/>
      <c r="E410" s="2378"/>
      <c r="F410" s="2378"/>
      <c r="G410" s="2378"/>
      <c r="H410" s="2378"/>
      <c r="I410" s="2378"/>
      <c r="J410" s="2378"/>
      <c r="K410" s="2378"/>
      <c r="L410" s="2378"/>
      <c r="M410" s="2378"/>
      <c r="N410" s="2378"/>
      <c r="O410" s="2378"/>
      <c r="P410" s="2378"/>
      <c r="Q410" s="2376"/>
    </row>
    <row r="411" spans="1:31" ht="14.1" customHeight="1">
      <c r="A411" s="2371" t="s">
        <v>3792</v>
      </c>
      <c r="B411" s="4" t="s">
        <v>4532</v>
      </c>
      <c r="C411" s="4"/>
      <c r="D411" s="4"/>
      <c r="E411" s="4"/>
      <c r="F411" s="4"/>
      <c r="G411" s="4"/>
      <c r="H411" s="2378"/>
      <c r="I411" s="2378"/>
      <c r="J411" s="2378"/>
      <c r="K411" s="2378"/>
      <c r="L411" s="2378"/>
      <c r="M411" s="2378"/>
      <c r="O411" s="131" t="s">
        <v>1820</v>
      </c>
      <c r="P411" s="4146"/>
      <c r="Q411" s="4147"/>
    </row>
    <row r="412" spans="1:31" ht="12" customHeight="1">
      <c r="A412" s="47" t="s">
        <v>1935</v>
      </c>
      <c r="B412" s="86" t="s">
        <v>4531</v>
      </c>
      <c r="D412" s="42"/>
      <c r="E412" s="42"/>
      <c r="F412" s="42"/>
      <c r="G412" s="42"/>
      <c r="H412" s="42"/>
      <c r="I412" s="42"/>
      <c r="J412" s="42"/>
      <c r="K412" s="42"/>
      <c r="L412" s="42"/>
      <c r="M412" s="42"/>
      <c r="N412" s="42"/>
      <c r="O412" s="42"/>
      <c r="P412" s="42"/>
      <c r="Q412" s="42"/>
    </row>
    <row r="413" spans="1:31" ht="12" customHeight="1">
      <c r="A413" s="47"/>
      <c r="B413" s="1593" t="s">
        <v>1938</v>
      </c>
      <c r="C413" s="55" t="s">
        <v>734</v>
      </c>
      <c r="D413" s="42"/>
      <c r="E413" s="42"/>
      <c r="F413" s="42"/>
      <c r="G413" s="42"/>
      <c r="H413" s="42"/>
      <c r="I413" s="42"/>
      <c r="J413" s="42"/>
      <c r="K413" s="42"/>
      <c r="L413" s="42"/>
      <c r="M413" s="42"/>
      <c r="N413" s="42"/>
      <c r="O413" s="455">
        <v>1</v>
      </c>
      <c r="P413" s="2256" t="s">
        <v>2887</v>
      </c>
      <c r="Q413" s="518"/>
    </row>
    <row r="414" spans="1:31" ht="12" customHeight="1">
      <c r="C414" s="36" t="s">
        <v>4711</v>
      </c>
      <c r="D414" s="55" t="s">
        <v>4712</v>
      </c>
      <c r="E414" s="42"/>
      <c r="F414" s="42"/>
      <c r="G414" s="42"/>
      <c r="H414" s="42"/>
      <c r="I414" s="42"/>
      <c r="J414" s="42"/>
      <c r="K414" s="42"/>
      <c r="L414" s="42"/>
      <c r="M414" s="42"/>
      <c r="N414" s="42"/>
      <c r="O414" s="455" t="s">
        <v>2371</v>
      </c>
      <c r="P414" s="2257"/>
      <c r="Q414" s="519"/>
    </row>
    <row r="415" spans="1:31" ht="12" customHeight="1">
      <c r="B415" s="52"/>
      <c r="C415" s="52" t="s">
        <v>2372</v>
      </c>
      <c r="D415" s="55" t="s">
        <v>4713</v>
      </c>
      <c r="E415" s="42"/>
      <c r="F415" s="42"/>
      <c r="G415" s="42"/>
      <c r="H415" s="42"/>
      <c r="I415" s="42"/>
      <c r="J415" s="42"/>
      <c r="K415" s="42"/>
      <c r="L415" s="42"/>
      <c r="M415" s="42"/>
      <c r="N415" s="42"/>
      <c r="O415" s="64" t="s">
        <v>2372</v>
      </c>
      <c r="P415" s="2258"/>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4539</v>
      </c>
      <c r="D417" s="52" t="s">
        <v>3355</v>
      </c>
      <c r="E417" s="52"/>
      <c r="F417" s="52"/>
      <c r="G417" s="52"/>
      <c r="H417" s="52"/>
      <c r="I417" s="52"/>
      <c r="J417" s="52"/>
      <c r="K417" s="52"/>
      <c r="L417" s="52"/>
      <c r="M417" s="52"/>
      <c r="N417" s="42"/>
      <c r="O417" s="64" t="s">
        <v>2373</v>
      </c>
      <c r="P417" s="2256"/>
      <c r="Q417" s="518"/>
    </row>
    <row r="418" spans="1:32" s="147" customFormat="1" ht="12" customHeight="1">
      <c r="A418" s="47"/>
      <c r="C418" s="64" t="s">
        <v>2374</v>
      </c>
      <c r="D418" s="52" t="s">
        <v>3437</v>
      </c>
      <c r="E418" s="52"/>
      <c r="F418" s="52"/>
      <c r="G418" s="52"/>
      <c r="H418" s="52"/>
      <c r="I418" s="52"/>
      <c r="J418" s="52"/>
      <c r="K418" s="52"/>
      <c r="L418" s="52"/>
      <c r="M418" s="52"/>
      <c r="N418" s="94"/>
      <c r="O418" s="64" t="s">
        <v>2374</v>
      </c>
      <c r="P418" s="2257"/>
      <c r="Q418" s="519"/>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2257"/>
      <c r="Q419" s="519"/>
    </row>
    <row r="420" spans="1:32" ht="12" customHeight="1">
      <c r="A420" s="47"/>
      <c r="B420" s="1593" t="s">
        <v>2467</v>
      </c>
      <c r="C420" s="2710" t="s">
        <v>2718</v>
      </c>
      <c r="D420" s="2710"/>
      <c r="E420" s="2710"/>
      <c r="F420" s="2710"/>
      <c r="G420" s="134" t="s">
        <v>4540</v>
      </c>
      <c r="J420" s="2277"/>
      <c r="K420" s="4148"/>
      <c r="M420" s="134" t="s">
        <v>4541</v>
      </c>
      <c r="P420" s="2278"/>
      <c r="Q420" s="4149"/>
    </row>
    <row r="421" spans="1:32" ht="12" customHeight="1">
      <c r="A421" s="47"/>
      <c r="C421" s="2710"/>
      <c r="D421" s="2710"/>
      <c r="E421" s="2710"/>
      <c r="F421" s="2710"/>
      <c r="G421" s="134" t="s">
        <v>4542</v>
      </c>
      <c r="J421" s="2278"/>
      <c r="K421" s="4149"/>
      <c r="M421" s="134" t="s">
        <v>4543</v>
      </c>
      <c r="P421" s="2279"/>
      <c r="Q421" s="4150"/>
    </row>
    <row r="422" spans="1:32" ht="12" customHeight="1">
      <c r="A422" s="47"/>
      <c r="C422" s="2710"/>
      <c r="D422" s="2710"/>
      <c r="E422" s="2710"/>
      <c r="F422" s="2710"/>
      <c r="G422" s="134" t="s">
        <v>4544</v>
      </c>
      <c r="J422" s="2279"/>
      <c r="K422" s="4150"/>
      <c r="L422" s="856"/>
      <c r="M422" s="42"/>
      <c r="N422" s="455"/>
    </row>
    <row r="423" spans="1:32" ht="12" customHeight="1">
      <c r="A423" s="47"/>
      <c r="B423" s="1593" t="s">
        <v>1198</v>
      </c>
      <c r="C423" s="856" t="s">
        <v>4366</v>
      </c>
      <c r="E423" s="856"/>
      <c r="F423" s="856"/>
      <c r="G423" s="856"/>
      <c r="J423" s="42"/>
      <c r="K423" s="856"/>
      <c r="L423" s="856"/>
      <c r="M423" s="42"/>
      <c r="N423" s="455"/>
      <c r="P423" s="455"/>
      <c r="Q423" s="455"/>
    </row>
    <row r="424" spans="1:32" ht="12" customHeight="1">
      <c r="A424" s="47"/>
      <c r="B424" s="427"/>
      <c r="C424" s="856" t="s">
        <v>4545</v>
      </c>
      <c r="E424" s="856"/>
      <c r="G424" s="427" t="s">
        <v>4533</v>
      </c>
      <c r="H424" s="856"/>
      <c r="I424" s="856"/>
      <c r="J424" s="2256"/>
      <c r="K424" s="518"/>
      <c r="L424" s="856"/>
      <c r="M424" s="427" t="s">
        <v>4538</v>
      </c>
    </row>
    <row r="425" spans="1:32" ht="12" customHeight="1">
      <c r="A425" s="42"/>
      <c r="G425" s="427" t="s">
        <v>4534</v>
      </c>
      <c r="H425" s="856"/>
      <c r="I425" s="856"/>
      <c r="J425" s="2257"/>
      <c r="K425" s="519"/>
      <c r="M425" s="2756"/>
      <c r="N425" s="2757"/>
      <c r="O425" s="2757"/>
      <c r="P425" s="2757"/>
      <c r="Q425" s="2758"/>
    </row>
    <row r="426" spans="1:32" ht="12" customHeight="1">
      <c r="A426" s="42"/>
      <c r="G426" s="427" t="s">
        <v>4535</v>
      </c>
      <c r="H426" s="856"/>
      <c r="J426" s="2258"/>
      <c r="K426" s="520"/>
      <c r="M426" s="2759"/>
      <c r="N426" s="2760"/>
      <c r="O426" s="2760"/>
      <c r="P426" s="2760"/>
      <c r="Q426" s="2761"/>
    </row>
    <row r="427" spans="1:32" ht="12" customHeight="1">
      <c r="A427" s="47"/>
      <c r="B427" s="427"/>
      <c r="C427" s="856" t="s">
        <v>4546</v>
      </c>
      <c r="D427" s="147"/>
      <c r="E427" s="856"/>
      <c r="F427" s="856"/>
      <c r="L427" s="856"/>
      <c r="M427" s="856"/>
      <c r="O427" s="455" t="s">
        <v>1695</v>
      </c>
      <c r="P427" s="2259" t="s">
        <v>1727</v>
      </c>
      <c r="Q427" s="517" t="s">
        <v>1727</v>
      </c>
    </row>
    <row r="428" spans="1:32" ht="12" customHeight="1">
      <c r="A428" s="42"/>
      <c r="B428" s="147"/>
      <c r="D428" s="1438" t="s">
        <v>2394</v>
      </c>
      <c r="E428" s="427" t="s">
        <v>3643</v>
      </c>
      <c r="F428" s="856"/>
      <c r="G428" s="2768"/>
      <c r="H428" s="2769"/>
      <c r="I428" s="2769"/>
      <c r="J428" s="2769"/>
      <c r="K428" s="2770"/>
      <c r="L428" s="1438"/>
    </row>
    <row r="429" spans="1:32" ht="12" customHeight="1">
      <c r="B429" s="147"/>
      <c r="D429" s="1438" t="s">
        <v>4536</v>
      </c>
      <c r="E429" s="427" t="s">
        <v>4537</v>
      </c>
      <c r="F429" s="1438"/>
      <c r="G429" s="2771" t="s">
        <v>3521</v>
      </c>
      <c r="H429" s="2772"/>
      <c r="I429" s="2773"/>
      <c r="J429" s="427" t="s">
        <v>4274</v>
      </c>
      <c r="K429" s="147"/>
      <c r="M429" s="2768"/>
      <c r="N429" s="2769"/>
      <c r="O429" s="2769"/>
      <c r="P429" s="2769"/>
      <c r="Q429" s="2770"/>
    </row>
    <row r="430" spans="1:32" ht="12" customHeight="1">
      <c r="A430" s="42"/>
      <c r="B430" s="147"/>
      <c r="C430" s="427" t="s">
        <v>4413</v>
      </c>
      <c r="D430" s="147"/>
      <c r="E430" s="856"/>
      <c r="F430" s="856"/>
      <c r="G430" s="856"/>
      <c r="H430" s="856"/>
      <c r="I430" s="856"/>
      <c r="J430" s="856"/>
      <c r="K430" s="856"/>
      <c r="L430" s="856"/>
      <c r="M430" s="856"/>
      <c r="N430" s="856"/>
      <c r="O430" s="856"/>
      <c r="P430" s="856"/>
      <c r="Q430" s="856"/>
    </row>
    <row r="431" spans="1:32" ht="44.4" customHeight="1">
      <c r="B431" s="2748"/>
      <c r="C431" s="2749"/>
      <c r="D431" s="2749"/>
      <c r="E431" s="2749"/>
      <c r="F431" s="2749"/>
      <c r="G431" s="2749"/>
      <c r="H431" s="2749"/>
      <c r="I431" s="2749"/>
      <c r="J431" s="2749"/>
      <c r="K431" s="2749"/>
      <c r="L431" s="2749"/>
      <c r="M431" s="2749"/>
      <c r="N431" s="2749"/>
      <c r="O431" s="2749"/>
      <c r="P431" s="2749"/>
      <c r="Q431" s="2750"/>
      <c r="R431" s="440" t="s">
        <v>4269</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762" t="s">
        <v>4714</v>
      </c>
      <c r="C433" s="2710"/>
      <c r="D433" s="2710"/>
      <c r="E433" s="2710"/>
      <c r="F433" s="2710"/>
      <c r="G433" s="2710"/>
      <c r="H433" s="2710"/>
      <c r="I433" s="2710"/>
      <c r="J433" s="2710"/>
      <c r="K433" s="2710"/>
      <c r="L433" s="2710"/>
      <c r="M433" s="2710"/>
      <c r="N433" s="2710"/>
      <c r="T433" s="459"/>
      <c r="AE433" s="459"/>
      <c r="AF433" s="459"/>
    </row>
    <row r="434" spans="1:32" s="147" customFormat="1" ht="12" customHeight="1">
      <c r="A434" s="141"/>
      <c r="B434" s="842" t="s">
        <v>4547</v>
      </c>
      <c r="C434" s="2378"/>
      <c r="D434" s="2378"/>
      <c r="E434" s="2378"/>
      <c r="F434" s="2378"/>
      <c r="G434" s="2378"/>
      <c r="H434" s="2378"/>
      <c r="I434" s="2378"/>
      <c r="J434" s="2378"/>
      <c r="K434" s="2378"/>
      <c r="L434" s="2378"/>
      <c r="M434" s="2378"/>
      <c r="N434" s="2378"/>
      <c r="T434" s="459"/>
      <c r="AE434" s="459"/>
      <c r="AF434" s="459"/>
    </row>
    <row r="435" spans="1:32" s="147" customFormat="1" ht="48" customHeight="1">
      <c r="B435" s="2710" t="s">
        <v>4548</v>
      </c>
      <c r="C435" s="2710"/>
      <c r="D435" s="2710"/>
      <c r="E435" s="2710"/>
      <c r="F435" s="2710"/>
      <c r="G435" s="2710"/>
      <c r="H435" s="2710"/>
      <c r="I435" s="2710"/>
      <c r="J435" s="2710"/>
      <c r="K435" s="2710"/>
      <c r="L435" s="2710"/>
      <c r="M435" s="2710"/>
      <c r="N435" s="2710"/>
      <c r="O435" s="160" t="s">
        <v>1937</v>
      </c>
      <c r="P435" s="2280"/>
      <c r="Q435" s="4151"/>
      <c r="T435" s="459"/>
      <c r="AE435" s="459"/>
      <c r="AF435" s="459"/>
    </row>
    <row r="436" spans="1:32" ht="12" customHeight="1">
      <c r="B436" s="140" t="s">
        <v>3565</v>
      </c>
      <c r="D436" s="140"/>
      <c r="E436" s="140"/>
      <c r="F436" s="140"/>
      <c r="G436" s="140"/>
      <c r="H436" s="40"/>
      <c r="I436" s="2398"/>
      <c r="J436" s="2398"/>
      <c r="K436" s="2398"/>
    </row>
    <row r="437" spans="1:32" ht="33.6" customHeight="1">
      <c r="A437" s="2707" t="s">
        <v>7051</v>
      </c>
      <c r="B437" s="2708"/>
      <c r="C437" s="2708"/>
      <c r="D437" s="2708"/>
      <c r="E437" s="2708"/>
      <c r="F437" s="2708"/>
      <c r="G437" s="2708"/>
      <c r="H437" s="2708"/>
      <c r="I437" s="2708"/>
      <c r="J437" s="2708"/>
      <c r="K437" s="2708"/>
      <c r="L437" s="2708"/>
      <c r="M437" s="2708"/>
      <c r="N437" s="2708"/>
      <c r="O437" s="2708"/>
      <c r="P437" s="2708"/>
      <c r="Q437" s="2709"/>
      <c r="U437" s="135"/>
      <c r="V437" s="135"/>
      <c r="W437" s="135"/>
      <c r="X437" s="135"/>
      <c r="Y437" s="135"/>
      <c r="Z437" s="135"/>
      <c r="AA437" s="135"/>
      <c r="AB437" s="135"/>
      <c r="AC437" s="135"/>
      <c r="AD437" s="135"/>
      <c r="AE437" s="457"/>
    </row>
    <row r="438" spans="1:32" ht="12" customHeight="1">
      <c r="B438" s="136" t="s">
        <v>1819</v>
      </c>
      <c r="C438" s="137"/>
      <c r="D438" s="2378"/>
      <c r="E438" s="2378"/>
      <c r="F438" s="2378"/>
      <c r="G438" s="2378"/>
      <c r="H438" s="2378"/>
      <c r="I438" s="2378"/>
      <c r="J438" s="2378"/>
      <c r="K438" s="2378"/>
      <c r="L438" s="2378"/>
      <c r="M438" s="2378"/>
      <c r="N438" s="2378"/>
      <c r="O438" s="2378"/>
      <c r="P438" s="2378"/>
      <c r="Q438" s="2378"/>
    </row>
    <row r="439" spans="1:32" ht="33.6" customHeight="1">
      <c r="A439" s="2701"/>
      <c r="B439" s="2702"/>
      <c r="C439" s="2702"/>
      <c r="D439" s="2702"/>
      <c r="E439" s="2702"/>
      <c r="F439" s="2702"/>
      <c r="G439" s="2702"/>
      <c r="H439" s="2702"/>
      <c r="I439" s="2702"/>
      <c r="J439" s="2702"/>
      <c r="K439" s="2702"/>
      <c r="L439" s="2702"/>
      <c r="M439" s="2702"/>
      <c r="N439" s="2702"/>
      <c r="O439" s="2702"/>
      <c r="P439" s="2702"/>
      <c r="Q439" s="2703"/>
    </row>
    <row r="440" spans="1:32" ht="3" customHeight="1">
      <c r="A440" s="2376"/>
      <c r="B440" s="2398"/>
      <c r="C440" s="2378"/>
      <c r="D440" s="2378"/>
      <c r="E440" s="2378"/>
      <c r="F440" s="2378"/>
      <c r="G440" s="2378"/>
      <c r="H440" s="2378"/>
      <c r="I440" s="2378"/>
      <c r="J440" s="2378"/>
      <c r="K440" s="2378"/>
      <c r="L440" s="2378"/>
      <c r="M440" s="2378"/>
      <c r="Q440" s="855"/>
    </row>
    <row r="441" spans="1:32" ht="14.1" customHeight="1">
      <c r="A441" s="2371" t="s">
        <v>3793</v>
      </c>
      <c r="B441" s="4" t="s">
        <v>2719</v>
      </c>
      <c r="C441" s="4"/>
      <c r="D441" s="86"/>
      <c r="E441" s="2378"/>
      <c r="F441" s="2378"/>
      <c r="G441" s="2378"/>
      <c r="H441" s="2378"/>
      <c r="O441" s="131" t="s">
        <v>1820</v>
      </c>
      <c r="P441" s="2718"/>
      <c r="Q441" s="2719"/>
    </row>
    <row r="442" spans="1:32" ht="14.1" customHeight="1">
      <c r="B442" s="86" t="s">
        <v>4458</v>
      </c>
      <c r="C442" s="4"/>
      <c r="D442" s="86"/>
      <c r="E442" s="2378"/>
      <c r="F442" s="2378"/>
      <c r="G442" s="2378"/>
      <c r="H442" s="2378"/>
    </row>
    <row r="443" spans="1:32" s="132" customFormat="1" ht="21.75" customHeight="1">
      <c r="A443" s="141" t="s">
        <v>1935</v>
      </c>
      <c r="B443" s="2720" t="s">
        <v>3692</v>
      </c>
      <c r="C443" s="2720"/>
      <c r="D443" s="2720"/>
      <c r="E443" s="2720"/>
      <c r="F443" s="2720"/>
      <c r="G443" s="2720"/>
      <c r="H443" s="2720"/>
      <c r="I443" s="2720"/>
      <c r="J443" s="2720"/>
      <c r="K443" s="2720"/>
      <c r="L443" s="2720"/>
      <c r="M443" s="2720"/>
      <c r="N443" s="2720"/>
      <c r="O443" s="160" t="s">
        <v>1935</v>
      </c>
      <c r="P443" s="2268" t="s">
        <v>7035</v>
      </c>
      <c r="Q443" s="1088"/>
      <c r="AE443" s="458"/>
      <c r="AF443" s="458"/>
    </row>
    <row r="444" spans="1:32" s="132" customFormat="1" ht="22.5" customHeight="1">
      <c r="A444" s="141" t="s">
        <v>1937</v>
      </c>
      <c r="B444" s="2720" t="s">
        <v>3691</v>
      </c>
      <c r="C444" s="2720"/>
      <c r="D444" s="2720"/>
      <c r="E444" s="2720"/>
      <c r="F444" s="2720"/>
      <c r="G444" s="2720"/>
      <c r="H444" s="2720"/>
      <c r="I444" s="2720"/>
      <c r="J444" s="2720"/>
      <c r="K444" s="2720"/>
      <c r="L444" s="2720"/>
      <c r="M444" s="2720"/>
      <c r="N444" s="2720"/>
      <c r="O444" s="160" t="s">
        <v>1937</v>
      </c>
      <c r="P444" s="2381" t="s">
        <v>7035</v>
      </c>
      <c r="Q444" s="2380"/>
      <c r="AE444" s="458"/>
      <c r="AF444" s="458"/>
    </row>
    <row r="445" spans="1:32" s="132" customFormat="1" ht="22.5" customHeight="1">
      <c r="B445" s="1488" t="s">
        <v>1694</v>
      </c>
      <c r="C445" s="2720" t="s">
        <v>4414</v>
      </c>
      <c r="D445" s="2720"/>
      <c r="E445" s="2720"/>
      <c r="F445" s="2720"/>
      <c r="G445" s="2720"/>
      <c r="H445" s="2720"/>
      <c r="I445" s="2720"/>
      <c r="J445" s="2720"/>
      <c r="K445" s="2720"/>
      <c r="L445" s="2720"/>
      <c r="M445" s="2720"/>
      <c r="N445" s="2720"/>
      <c r="O445" s="160" t="s">
        <v>1694</v>
      </c>
      <c r="P445" s="2381" t="s">
        <v>7035</v>
      </c>
      <c r="Q445" s="2380"/>
      <c r="AE445" s="458"/>
      <c r="AF445" s="458"/>
    </row>
    <row r="446" spans="1:32" s="42" customFormat="1" ht="12" customHeight="1">
      <c r="B446" s="1488" t="s">
        <v>1695</v>
      </c>
      <c r="C446" s="36" t="s">
        <v>4415</v>
      </c>
      <c r="D446" s="1065"/>
      <c r="E446" s="1065"/>
      <c r="F446" s="1065"/>
      <c r="G446" s="1065"/>
      <c r="H446" s="1065"/>
      <c r="I446" s="1065"/>
      <c r="J446" s="1065"/>
      <c r="K446" s="1065"/>
      <c r="L446" s="1065"/>
      <c r="M446" s="1065"/>
      <c r="N446" s="1065"/>
      <c r="O446" s="455" t="s">
        <v>1695</v>
      </c>
      <c r="P446" s="2257" t="s">
        <v>7035</v>
      </c>
      <c r="Q446" s="519"/>
      <c r="AE446" s="50"/>
      <c r="AF446" s="50"/>
    </row>
    <row r="447" spans="1:32" s="132" customFormat="1" ht="33" customHeight="1">
      <c r="B447" s="468" t="s">
        <v>1696</v>
      </c>
      <c r="C447" s="2720" t="s">
        <v>4416</v>
      </c>
      <c r="D447" s="2720"/>
      <c r="E447" s="2720"/>
      <c r="F447" s="2720"/>
      <c r="G447" s="2720"/>
      <c r="H447" s="2720"/>
      <c r="I447" s="2720"/>
      <c r="J447" s="2720"/>
      <c r="K447" s="2720"/>
      <c r="L447" s="2720"/>
      <c r="M447" s="2720"/>
      <c r="N447" s="2720"/>
      <c r="O447" s="160" t="s">
        <v>1696</v>
      </c>
      <c r="P447" s="2381" t="s">
        <v>7035</v>
      </c>
      <c r="Q447" s="2380"/>
      <c r="AE447" s="458"/>
      <c r="AF447" s="458"/>
    </row>
    <row r="448" spans="1:32" s="132" customFormat="1" ht="22.5" customHeight="1">
      <c r="B448" s="468" t="s">
        <v>2304</v>
      </c>
      <c r="C448" s="2720" t="s">
        <v>4417</v>
      </c>
      <c r="D448" s="2720"/>
      <c r="E448" s="2720"/>
      <c r="F448" s="2720"/>
      <c r="G448" s="2720"/>
      <c r="H448" s="2720"/>
      <c r="I448" s="2720"/>
      <c r="J448" s="2720"/>
      <c r="K448" s="2720"/>
      <c r="L448" s="2720"/>
      <c r="M448" s="2720"/>
      <c r="N448" s="2720"/>
      <c r="O448" s="160" t="s">
        <v>2304</v>
      </c>
      <c r="P448" s="2381" t="s">
        <v>7035</v>
      </c>
      <c r="Q448" s="2380"/>
      <c r="AE448" s="458"/>
      <c r="AF448" s="458"/>
    </row>
    <row r="449" spans="1:32" s="132" customFormat="1" ht="22.5" customHeight="1">
      <c r="A449" s="141" t="s">
        <v>731</v>
      </c>
      <c r="B449" s="2720" t="s">
        <v>3693</v>
      </c>
      <c r="C449" s="2720"/>
      <c r="D449" s="2720"/>
      <c r="E449" s="2720"/>
      <c r="F449" s="2720"/>
      <c r="G449" s="2720"/>
      <c r="H449" s="2720"/>
      <c r="I449" s="2720"/>
      <c r="J449" s="2720"/>
      <c r="K449" s="2720"/>
      <c r="L449" s="2720"/>
      <c r="M449" s="2720"/>
      <c r="N449" s="2720"/>
      <c r="O449" s="160" t="s">
        <v>731</v>
      </c>
      <c r="P449" s="2381" t="s">
        <v>7035</v>
      </c>
      <c r="Q449" s="2380"/>
      <c r="AE449" s="458"/>
      <c r="AF449" s="458"/>
    </row>
    <row r="450" spans="1:32" s="132" customFormat="1" ht="22.5" customHeight="1">
      <c r="A450" s="141" t="s">
        <v>2064</v>
      </c>
      <c r="B450" s="2720" t="s">
        <v>4499</v>
      </c>
      <c r="C450" s="2720"/>
      <c r="D450" s="2720"/>
      <c r="E450" s="2720"/>
      <c r="F450" s="2720"/>
      <c r="G450" s="2720"/>
      <c r="H450" s="2720"/>
      <c r="I450" s="2720"/>
      <c r="J450" s="2720"/>
      <c r="K450" s="2720"/>
      <c r="L450" s="2720"/>
      <c r="M450" s="2720"/>
      <c r="N450" s="2720"/>
      <c r="O450" s="160" t="s">
        <v>2064</v>
      </c>
      <c r="P450" s="2381" t="s">
        <v>7035</v>
      </c>
      <c r="Q450" s="2380"/>
      <c r="AE450" s="458"/>
      <c r="AF450" s="458"/>
    </row>
    <row r="451" spans="1:32" s="132" customFormat="1" ht="21.75" customHeight="1">
      <c r="A451" s="141" t="s">
        <v>1692</v>
      </c>
      <c r="B451" s="2720" t="s">
        <v>4500</v>
      </c>
      <c r="C451" s="2720"/>
      <c r="D451" s="2720"/>
      <c r="E451" s="2720"/>
      <c r="F451" s="2720"/>
      <c r="G451" s="2720"/>
      <c r="H451" s="2720"/>
      <c r="I451" s="2720"/>
      <c r="J451" s="2720"/>
      <c r="K451" s="2720"/>
      <c r="L451" s="2720"/>
      <c r="M451" s="2720"/>
      <c r="N451" s="2720"/>
      <c r="O451" s="160" t="s">
        <v>1692</v>
      </c>
      <c r="P451" s="2381" t="s">
        <v>7035</v>
      </c>
      <c r="Q451" s="2380"/>
      <c r="AE451" s="458"/>
      <c r="AF451" s="458"/>
    </row>
    <row r="452" spans="1:32" s="411" customFormat="1" ht="21.75" customHeight="1">
      <c r="A452" s="141" t="s">
        <v>1693</v>
      </c>
      <c r="B452" s="2720" t="s">
        <v>4563</v>
      </c>
      <c r="C452" s="2720"/>
      <c r="D452" s="2720"/>
      <c r="E452" s="2720"/>
      <c r="F452" s="2720"/>
      <c r="G452" s="2720"/>
      <c r="H452" s="2720"/>
      <c r="I452" s="2720"/>
      <c r="J452" s="2720"/>
      <c r="K452" s="2720"/>
      <c r="L452" s="2720"/>
      <c r="M452" s="2720"/>
      <c r="N452" s="2720"/>
      <c r="O452" s="160" t="s">
        <v>1693</v>
      </c>
      <c r="P452" s="2389" t="s">
        <v>7035</v>
      </c>
      <c r="Q452" s="2253"/>
      <c r="AE452" s="460"/>
      <c r="AF452" s="460"/>
    </row>
    <row r="453" spans="1:32" ht="11.25" customHeight="1">
      <c r="B453" s="140" t="s">
        <v>3565</v>
      </c>
      <c r="D453" s="140"/>
      <c r="E453" s="140"/>
      <c r="F453" s="140"/>
      <c r="G453" s="140"/>
      <c r="H453" s="40"/>
      <c r="I453" s="2398"/>
      <c r="J453" s="2398"/>
      <c r="K453" s="2398"/>
      <c r="L453" s="2376"/>
      <c r="M453" s="2376"/>
      <c r="N453" s="2376"/>
      <c r="O453" s="2376"/>
      <c r="P453" s="2376"/>
      <c r="Q453" s="855"/>
    </row>
    <row r="454" spans="1:32" ht="33.6" customHeight="1">
      <c r="A454" s="2707" t="s">
        <v>7050</v>
      </c>
      <c r="B454" s="2708"/>
      <c r="C454" s="2708"/>
      <c r="D454" s="2708"/>
      <c r="E454" s="2708"/>
      <c r="F454" s="2708"/>
      <c r="G454" s="2708"/>
      <c r="H454" s="2708"/>
      <c r="I454" s="2708"/>
      <c r="J454" s="2708"/>
      <c r="K454" s="2708"/>
      <c r="L454" s="2708"/>
      <c r="M454" s="2708"/>
      <c r="N454" s="2708"/>
      <c r="O454" s="2708"/>
      <c r="P454" s="2708"/>
      <c r="Q454" s="2709"/>
      <c r="R454" s="440" t="s">
        <v>1228</v>
      </c>
      <c r="S454" s="441"/>
      <c r="U454" s="135"/>
      <c r="V454" s="135"/>
      <c r="W454" s="135"/>
      <c r="X454" s="135"/>
      <c r="Y454" s="135"/>
      <c r="Z454" s="135"/>
      <c r="AA454" s="135"/>
      <c r="AB454" s="135"/>
      <c r="AC454" s="135"/>
      <c r="AD454" s="135"/>
      <c r="AE454" s="457"/>
    </row>
    <row r="455" spans="1:32" ht="11.25" customHeight="1">
      <c r="B455" s="136" t="s">
        <v>1819</v>
      </c>
      <c r="C455" s="137"/>
      <c r="D455" s="2378"/>
      <c r="E455" s="2378"/>
      <c r="F455" s="2378"/>
      <c r="G455" s="2378"/>
      <c r="H455" s="2378"/>
      <c r="I455" s="2378"/>
      <c r="J455" s="2378"/>
      <c r="K455" s="2378"/>
      <c r="L455" s="2378"/>
      <c r="M455" s="2378"/>
      <c r="N455" s="2378"/>
      <c r="O455" s="2378"/>
      <c r="P455" s="2378"/>
      <c r="Q455" s="2378"/>
    </row>
    <row r="456" spans="1:32" ht="33.6" customHeight="1">
      <c r="A456" s="2701"/>
      <c r="B456" s="2702"/>
      <c r="C456" s="2702"/>
      <c r="D456" s="2702"/>
      <c r="E456" s="2702"/>
      <c r="F456" s="2702"/>
      <c r="G456" s="2702"/>
      <c r="H456" s="2702"/>
      <c r="I456" s="2702"/>
      <c r="J456" s="2702"/>
      <c r="K456" s="2702"/>
      <c r="L456" s="2702"/>
      <c r="M456" s="2702"/>
      <c r="N456" s="2702"/>
      <c r="O456" s="2702"/>
      <c r="P456" s="2702"/>
      <c r="Q456" s="2703"/>
    </row>
    <row r="457" spans="1:32" ht="3" customHeight="1">
      <c r="A457" s="2376"/>
      <c r="B457" s="2398"/>
      <c r="C457" s="2378"/>
      <c r="D457" s="2378"/>
      <c r="E457" s="2378"/>
      <c r="F457" s="2378"/>
      <c r="G457" s="2378"/>
      <c r="H457" s="2378"/>
      <c r="I457" s="2378"/>
      <c r="J457" s="2378"/>
      <c r="K457" s="2378"/>
      <c r="L457" s="2378"/>
      <c r="M457" s="2378"/>
      <c r="Q457" s="855"/>
    </row>
    <row r="458" spans="1:32" s="43" customFormat="1" ht="12.75" customHeight="1" thickBot="1">
      <c r="A458" s="2371" t="s">
        <v>3794</v>
      </c>
      <c r="C458" s="10" t="s">
        <v>2638</v>
      </c>
      <c r="D458" s="58"/>
      <c r="E458" s="52"/>
      <c r="J458" s="61"/>
      <c r="M458" s="2375"/>
      <c r="N458" s="6"/>
      <c r="O458" s="131" t="s">
        <v>1820</v>
      </c>
      <c r="P458" s="2718"/>
      <c r="Q458" s="2719"/>
    </row>
    <row r="459" spans="1:32" s="409" customFormat="1" ht="15" customHeight="1" thickBot="1">
      <c r="A459" s="141" t="s">
        <v>1935</v>
      </c>
      <c r="B459" s="2720" t="s">
        <v>4583</v>
      </c>
      <c r="C459" s="2720"/>
      <c r="D459" s="2720"/>
      <c r="E459" s="2720"/>
      <c r="F459" s="2720"/>
      <c r="G459" s="2720"/>
      <c r="H459" s="2720"/>
      <c r="I459" s="2720"/>
      <c r="J459" s="2740" t="s">
        <v>4454</v>
      </c>
      <c r="K459" s="2741"/>
      <c r="L459" s="1599" t="s">
        <v>4585</v>
      </c>
      <c r="M459" s="1517"/>
      <c r="N459" s="1513">
        <f>ROUNDUP('Part VI-Revenues &amp; Expenses'!$P$63*0.1,0)</f>
        <v>5</v>
      </c>
      <c r="O459" s="388" t="s">
        <v>1935</v>
      </c>
      <c r="P459" s="2755" t="s">
        <v>7035</v>
      </c>
      <c r="Q459" s="4152"/>
      <c r="R459" s="1512"/>
      <c r="S459" s="1512"/>
    </row>
    <row r="460" spans="1:32" s="409" customFormat="1" ht="15" customHeight="1">
      <c r="B460" s="2720"/>
      <c r="C460" s="2720"/>
      <c r="D460" s="2720"/>
      <c r="E460" s="2720"/>
      <c r="F460" s="2720"/>
      <c r="G460" s="2720"/>
      <c r="H460" s="2720"/>
      <c r="I460" s="2720"/>
      <c r="J460" s="2742">
        <f>'Part VI-Revenues &amp; Expenses'!$P$100</f>
        <v>0</v>
      </c>
      <c r="K460" s="2742"/>
      <c r="L460" s="1597" t="s">
        <v>4455</v>
      </c>
      <c r="M460" s="92"/>
      <c r="N460" s="1600">
        <f>'Part VI-Revenues &amp; Expenses'!$P$63</f>
        <v>50</v>
      </c>
      <c r="P460" s="2753"/>
      <c r="Q460" s="2903"/>
      <c r="R460" s="1512"/>
      <c r="S460" s="1512"/>
    </row>
    <row r="461" spans="1:32" s="409" customFormat="1" ht="15" customHeight="1">
      <c r="A461" s="141"/>
      <c r="B461" s="2720"/>
      <c r="C461" s="2720"/>
      <c r="D461" s="2720"/>
      <c r="E461" s="2720"/>
      <c r="F461" s="2720"/>
      <c r="G461" s="2720"/>
      <c r="H461" s="2720"/>
      <c r="I461" s="2720"/>
      <c r="J461" s="563"/>
      <c r="L461" s="856" t="s">
        <v>1749</v>
      </c>
      <c r="M461" s="92"/>
      <c r="N461" s="1602">
        <f>'Part VI-Revenues &amp; Expenses'!$P$67</f>
        <v>50</v>
      </c>
      <c r="P461" s="2753"/>
      <c r="Q461" s="2903"/>
    </row>
    <row r="462" spans="1:32" s="431" customFormat="1" ht="22.5" customHeight="1">
      <c r="A462" s="141" t="s">
        <v>1937</v>
      </c>
      <c r="B462" s="2720" t="s">
        <v>4589</v>
      </c>
      <c r="C462" s="2720"/>
      <c r="D462" s="2720"/>
      <c r="E462" s="2720"/>
      <c r="F462" s="2720"/>
      <c r="G462" s="2720"/>
      <c r="H462" s="2720"/>
      <c r="I462" s="2720"/>
      <c r="J462" s="2766" t="s">
        <v>4584</v>
      </c>
      <c r="K462" s="2697"/>
      <c r="L462" s="2763"/>
      <c r="M462" s="2764"/>
      <c r="N462" s="2765"/>
      <c r="O462" s="388" t="s">
        <v>1937</v>
      </c>
      <c r="P462" s="2381" t="s">
        <v>2884</v>
      </c>
      <c r="Q462" s="2380"/>
    </row>
    <row r="463" spans="1:32" s="431" customFormat="1" ht="12" customHeight="1" thickBot="1">
      <c r="A463" s="141" t="s">
        <v>731</v>
      </c>
      <c r="B463" s="2720" t="s">
        <v>4358</v>
      </c>
      <c r="C463" s="2720"/>
      <c r="D463" s="2720"/>
      <c r="E463" s="2720"/>
      <c r="F463" s="2720"/>
      <c r="G463" s="2720"/>
      <c r="H463" s="2720"/>
      <c r="I463" s="2720"/>
      <c r="J463" s="1065" t="s">
        <v>4278</v>
      </c>
      <c r="K463" s="1467">
        <f>'Part VI-Revenues &amp; Expenses'!$P$115</f>
        <v>50</v>
      </c>
      <c r="L463" s="1598" t="s">
        <v>4277</v>
      </c>
      <c r="M463" s="92"/>
      <c r="N463" s="1601">
        <f>ROUNDUP(N461*0.1,0)</f>
        <v>5</v>
      </c>
      <c r="O463" s="388" t="s">
        <v>731</v>
      </c>
      <c r="P463" s="2753" t="s">
        <v>2884</v>
      </c>
      <c r="Q463" s="2903"/>
      <c r="R463" s="1512"/>
      <c r="S463" s="1512"/>
    </row>
    <row r="464" spans="1:32" s="431" customFormat="1" ht="12" customHeight="1" thickBot="1">
      <c r="B464" s="2720"/>
      <c r="C464" s="2720"/>
      <c r="D464" s="2720"/>
      <c r="E464" s="2720"/>
      <c r="F464" s="2720"/>
      <c r="G464" s="2720"/>
      <c r="H464" s="2720"/>
      <c r="I464" s="2720"/>
      <c r="J464" s="1065" t="s">
        <v>4279</v>
      </c>
      <c r="K464" s="1468">
        <f>IF(N461=0,"",K463/N461)</f>
        <v>1</v>
      </c>
      <c r="L464" s="1515" t="s">
        <v>4453</v>
      </c>
      <c r="M464" s="1516"/>
      <c r="N464" s="1514">
        <f>'Part VI-Revenues &amp; Expenses'!$L$67/'Part VI-Revenues &amp; Expenses'!$P$67</f>
        <v>0.2</v>
      </c>
      <c r="O464" s="388" t="str">
        <f>IF(AND(N464&lt;0.1,P463="Yes"), "Check!","")</f>
        <v/>
      </c>
      <c r="P464" s="2754"/>
      <c r="Q464" s="4153"/>
      <c r="R464" s="1512"/>
      <c r="S464" s="1512"/>
    </row>
    <row r="465" spans="1:32" s="94" customFormat="1" ht="12" customHeight="1">
      <c r="A465" s="47" t="s">
        <v>2064</v>
      </c>
      <c r="B465" s="554" t="s">
        <v>1938</v>
      </c>
      <c r="C465" s="1596" t="s">
        <v>4280</v>
      </c>
      <c r="D465" s="1596"/>
      <c r="E465" s="1596"/>
      <c r="F465" s="1596"/>
      <c r="G465" s="1596"/>
      <c r="H465" s="1596"/>
      <c r="I465" s="1596"/>
      <c r="J465" s="1596"/>
      <c r="K465" s="1596"/>
      <c r="L465" s="1596"/>
      <c r="M465" s="1596"/>
      <c r="N465" s="1596"/>
      <c r="O465" s="1603" t="s">
        <v>4586</v>
      </c>
      <c r="P465" s="2256" t="s">
        <v>2887</v>
      </c>
      <c r="Q465" s="518"/>
      <c r="AE465" s="461"/>
      <c r="AF465" s="461"/>
    </row>
    <row r="466" spans="1:32" s="94" customFormat="1">
      <c r="B466" s="554" t="s">
        <v>1940</v>
      </c>
      <c r="C466" s="1596" t="s">
        <v>4587</v>
      </c>
      <c r="D466" s="1596"/>
      <c r="E466" s="1596"/>
      <c r="F466" s="1596"/>
      <c r="G466" s="1596"/>
      <c r="H466" s="1596"/>
      <c r="I466" s="1596"/>
      <c r="J466" s="1596"/>
      <c r="K466" s="1596"/>
      <c r="L466" s="1596"/>
      <c r="M466" s="1596"/>
      <c r="N466" s="1596"/>
      <c r="O466" s="1603" t="s">
        <v>4588</v>
      </c>
      <c r="P466" s="2258"/>
      <c r="Q466" s="520"/>
      <c r="AE466" s="461"/>
      <c r="AF466" s="461"/>
    </row>
    <row r="467" spans="1:32" s="43" customFormat="1" ht="11.25" customHeight="1">
      <c r="A467" s="42"/>
      <c r="B467" s="95" t="s">
        <v>3565</v>
      </c>
      <c r="C467" s="42"/>
      <c r="D467" s="48"/>
      <c r="E467" s="48"/>
      <c r="F467" s="48"/>
      <c r="G467" s="48"/>
      <c r="H467" s="36"/>
      <c r="I467" s="36"/>
      <c r="J467" s="36"/>
      <c r="K467" s="36"/>
      <c r="M467" s="46"/>
      <c r="N467" s="62"/>
      <c r="O467" s="3"/>
      <c r="P467" s="2377"/>
    </row>
    <row r="468" spans="1:32" s="43" customFormat="1" ht="37.5" customHeight="1">
      <c r="A468" s="2707" t="s">
        <v>7112</v>
      </c>
      <c r="B468" s="2708"/>
      <c r="C468" s="2708"/>
      <c r="D468" s="2708"/>
      <c r="E468" s="2708"/>
      <c r="F468" s="2708"/>
      <c r="G468" s="2708"/>
      <c r="H468" s="2708"/>
      <c r="I468" s="2708"/>
      <c r="J468" s="2708"/>
      <c r="K468" s="2708"/>
      <c r="L468" s="2708"/>
      <c r="M468" s="2708"/>
      <c r="N468" s="2708"/>
      <c r="O468" s="2708"/>
      <c r="P468" s="2708"/>
      <c r="Q468" s="2709"/>
      <c r="R468" s="1027" t="s">
        <v>1228</v>
      </c>
    </row>
    <row r="469" spans="1:32" s="43" customFormat="1" ht="10.5" customHeight="1">
      <c r="B469" s="85" t="s">
        <v>1819</v>
      </c>
      <c r="C469" s="98"/>
      <c r="D469" s="85"/>
      <c r="E469" s="99"/>
      <c r="F469" s="2378"/>
      <c r="G469" s="2378"/>
      <c r="H469" s="2378"/>
      <c r="I469" s="2378"/>
      <c r="J469" s="2378"/>
      <c r="K469" s="2378"/>
      <c r="L469" s="2378"/>
      <c r="M469" s="2378"/>
      <c r="N469" s="74"/>
      <c r="O469" s="70"/>
      <c r="P469" s="2375"/>
      <c r="Q469" s="422"/>
    </row>
    <row r="470" spans="1:32" s="43" customFormat="1" ht="11.25" customHeight="1">
      <c r="A470" s="2701"/>
      <c r="B470" s="2702"/>
      <c r="C470" s="2702"/>
      <c r="D470" s="2702"/>
      <c r="E470" s="2702"/>
      <c r="F470" s="2702"/>
      <c r="G470" s="2702"/>
      <c r="H470" s="2702"/>
      <c r="I470" s="2702"/>
      <c r="J470" s="2702"/>
      <c r="K470" s="2702"/>
      <c r="L470" s="2702"/>
      <c r="M470" s="2702"/>
      <c r="N470" s="2702"/>
      <c r="O470" s="2702"/>
      <c r="P470" s="2702"/>
      <c r="Q470" s="2703"/>
    </row>
    <row r="471" spans="1:32" ht="3" customHeight="1">
      <c r="A471" s="2376"/>
      <c r="B471" s="2398"/>
      <c r="C471" s="2378"/>
      <c r="D471" s="2378"/>
      <c r="E471" s="2378"/>
      <c r="F471" s="2378"/>
      <c r="G471" s="2378"/>
      <c r="H471" s="2378"/>
      <c r="I471" s="2378"/>
      <c r="J471" s="2378"/>
      <c r="K471" s="2378"/>
      <c r="L471" s="2378"/>
      <c r="M471" s="2378"/>
      <c r="N471" s="2378"/>
      <c r="O471" s="2378"/>
      <c r="P471" s="2378"/>
      <c r="Q471" s="2376"/>
    </row>
    <row r="472" spans="1:32" ht="14.1" customHeight="1">
      <c r="A472" s="2371" t="s">
        <v>4275</v>
      </c>
      <c r="B472" s="4"/>
      <c r="C472" s="4" t="s">
        <v>2593</v>
      </c>
      <c r="D472" s="86"/>
      <c r="E472" s="2378"/>
      <c r="F472" s="2378"/>
      <c r="G472" s="2378"/>
      <c r="H472" s="2378"/>
      <c r="J472" s="2378"/>
      <c r="K472" s="2378"/>
      <c r="L472" s="2378"/>
      <c r="M472" s="2378"/>
      <c r="O472" s="131" t="s">
        <v>1820</v>
      </c>
      <c r="P472" s="2718"/>
      <c r="Q472" s="2719"/>
    </row>
    <row r="473" spans="1:32" ht="11.25" customHeight="1">
      <c r="A473" s="2371"/>
      <c r="B473" s="140" t="s">
        <v>3565</v>
      </c>
      <c r="D473" s="140"/>
      <c r="E473" s="140"/>
      <c r="F473" s="140"/>
      <c r="G473" s="140"/>
      <c r="H473" s="40"/>
      <c r="I473" s="2398"/>
      <c r="J473" s="2398"/>
      <c r="K473" s="2398"/>
      <c r="L473" s="2376"/>
      <c r="M473" s="2376"/>
      <c r="N473" s="2376"/>
      <c r="O473" s="2376"/>
      <c r="P473" s="2376"/>
      <c r="Q473" s="855"/>
    </row>
    <row r="474" spans="1:32" ht="22.5" customHeight="1">
      <c r="A474" s="2707" t="s">
        <v>7052</v>
      </c>
      <c r="B474" s="2708"/>
      <c r="C474" s="2708"/>
      <c r="D474" s="2708"/>
      <c r="E474" s="2708"/>
      <c r="F474" s="2708"/>
      <c r="G474" s="2708"/>
      <c r="H474" s="2708"/>
      <c r="I474" s="2708"/>
      <c r="J474" s="2708"/>
      <c r="K474" s="2708"/>
      <c r="L474" s="2708"/>
      <c r="M474" s="2708"/>
      <c r="N474" s="2708"/>
      <c r="O474" s="2708"/>
      <c r="P474" s="2708"/>
      <c r="Q474" s="2709"/>
      <c r="R474" s="440" t="s">
        <v>1228</v>
      </c>
      <c r="S474" s="441"/>
      <c r="U474" s="135"/>
      <c r="V474" s="135"/>
      <c r="W474" s="135"/>
      <c r="X474" s="135"/>
      <c r="Y474" s="135"/>
      <c r="Z474" s="135"/>
      <c r="AA474" s="135"/>
      <c r="AB474" s="135"/>
      <c r="AC474" s="135"/>
      <c r="AD474" s="135"/>
      <c r="AE474" s="457"/>
    </row>
    <row r="475" spans="1:32" ht="11.25" customHeight="1">
      <c r="B475" s="136" t="s">
        <v>1819</v>
      </c>
      <c r="C475" s="137"/>
      <c r="D475" s="2378"/>
      <c r="E475" s="2378"/>
      <c r="F475" s="2378"/>
      <c r="G475" s="2378"/>
      <c r="H475" s="2378"/>
      <c r="I475" s="2378"/>
      <c r="J475" s="2378"/>
      <c r="K475" s="2378"/>
      <c r="L475" s="2378"/>
      <c r="M475" s="2378"/>
      <c r="N475" s="2378"/>
      <c r="O475" s="2378"/>
      <c r="P475" s="2378"/>
      <c r="Q475" s="2378"/>
    </row>
    <row r="476" spans="1:32" ht="22.5" customHeight="1">
      <c r="A476" s="2701"/>
      <c r="B476" s="2702"/>
      <c r="C476" s="2702"/>
      <c r="D476" s="2702"/>
      <c r="E476" s="2702"/>
      <c r="F476" s="2702"/>
      <c r="G476" s="2702"/>
      <c r="H476" s="2702"/>
      <c r="I476" s="2702"/>
      <c r="J476" s="2702"/>
      <c r="K476" s="2702"/>
      <c r="L476" s="2702"/>
      <c r="M476" s="2702"/>
      <c r="N476" s="2702"/>
      <c r="O476" s="2702"/>
      <c r="P476" s="2702"/>
      <c r="Q476" s="2703"/>
    </row>
    <row r="477" spans="1:32" ht="3" customHeight="1">
      <c r="A477" s="2376"/>
      <c r="B477" s="2398"/>
      <c r="C477" s="2378"/>
      <c r="D477" s="2378"/>
      <c r="E477" s="2378"/>
      <c r="F477" s="2378"/>
      <c r="G477" s="2378"/>
      <c r="H477" s="2378"/>
      <c r="I477" s="2378"/>
      <c r="J477" s="2378"/>
      <c r="K477" s="2378"/>
      <c r="L477" s="2378"/>
      <c r="M477" s="2378"/>
      <c r="N477" s="2378"/>
      <c r="O477" s="2378"/>
      <c r="P477" s="2378"/>
      <c r="Q477" s="2376"/>
    </row>
    <row r="478" spans="1:32" ht="3" customHeight="1">
      <c r="A478" s="2376"/>
      <c r="B478" s="2398"/>
      <c r="C478" s="2378"/>
      <c r="D478" s="2378"/>
      <c r="E478" s="2378"/>
      <c r="F478" s="2378"/>
      <c r="G478" s="2378"/>
      <c r="H478" s="2378"/>
      <c r="I478" s="2378"/>
      <c r="J478" s="2378"/>
      <c r="K478" s="2378"/>
      <c r="L478" s="2378"/>
      <c r="M478" s="2378"/>
      <c r="N478" s="2378"/>
      <c r="O478" s="2378"/>
      <c r="P478" s="2378"/>
      <c r="Q478" s="2376"/>
    </row>
    <row r="479" spans="1:32" ht="14.1" customHeight="1">
      <c r="A479" s="2371" t="s">
        <v>4276</v>
      </c>
      <c r="B479" s="4"/>
      <c r="C479" s="4" t="s">
        <v>4694</v>
      </c>
      <c r="D479" s="86"/>
      <c r="E479" s="2378"/>
      <c r="F479" s="2378"/>
      <c r="G479" s="2378"/>
      <c r="H479" s="2378"/>
      <c r="I479" s="2378"/>
      <c r="J479" s="2378"/>
      <c r="K479" s="2378"/>
      <c r="L479" s="2378"/>
      <c r="M479" s="2378"/>
      <c r="O479" s="131" t="s">
        <v>1820</v>
      </c>
      <c r="P479" s="2718"/>
      <c r="Q479" s="2719"/>
    </row>
    <row r="480" spans="1:32" s="102" customFormat="1" ht="11.25" customHeight="1">
      <c r="B480" s="179" t="s">
        <v>4281</v>
      </c>
      <c r="D480" s="61"/>
      <c r="E480" s="61"/>
      <c r="F480" s="44"/>
      <c r="G480" s="27"/>
      <c r="L480" s="374"/>
      <c r="M480" s="374"/>
      <c r="N480" s="374"/>
      <c r="O480" s="374"/>
      <c r="P480" s="374"/>
      <c r="Q480" s="374"/>
      <c r="R480" s="374"/>
      <c r="T480" s="1023"/>
      <c r="U480" s="1023"/>
    </row>
    <row r="481" spans="1:32" s="102" customFormat="1" ht="10.5" customHeight="1">
      <c r="A481" s="138"/>
      <c r="B481" s="40" t="s">
        <v>4359</v>
      </c>
      <c r="D481" s="61"/>
      <c r="E481" s="61"/>
      <c r="F481" s="44"/>
      <c r="G481" s="27"/>
      <c r="K481" s="455"/>
      <c r="M481" s="7"/>
      <c r="N481" s="455"/>
      <c r="P481" s="2259"/>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4730</v>
      </c>
      <c r="P483" s="1000"/>
      <c r="AE483" s="1721"/>
      <c r="AF483" s="1721"/>
    </row>
    <row r="484" spans="1:32" s="998" customFormat="1" ht="10.199999999999999">
      <c r="C484" s="1001" t="s">
        <v>1363</v>
      </c>
      <c r="D484" s="997"/>
      <c r="E484" s="997"/>
      <c r="F484" s="997"/>
      <c r="G484" s="997"/>
      <c r="H484" s="997"/>
      <c r="I484" s="997"/>
      <c r="J484" s="1469" t="s">
        <v>2055</v>
      </c>
      <c r="K484" s="997"/>
      <c r="N484" s="999"/>
      <c r="O484" s="1469" t="s">
        <v>4731</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4732</v>
      </c>
      <c r="P485" s="1000"/>
      <c r="AE485" s="1721"/>
      <c r="AF485" s="1721"/>
    </row>
    <row r="486" spans="1:32" s="998" customFormat="1" ht="10.199999999999999">
      <c r="C486" s="1470" t="s">
        <v>2082</v>
      </c>
      <c r="D486" s="997"/>
      <c r="E486" s="997"/>
      <c r="F486" s="997"/>
      <c r="G486" s="997"/>
      <c r="H486" s="997"/>
      <c r="I486" s="997"/>
      <c r="J486" s="1469" t="s">
        <v>1168</v>
      </c>
      <c r="K486" s="997"/>
      <c r="N486" s="999"/>
      <c r="O486" s="1469" t="s">
        <v>4736</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4733</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4734</v>
      </c>
      <c r="P488" s="1000"/>
      <c r="AE488" s="1721"/>
      <c r="AF488" s="1721"/>
    </row>
    <row r="489" spans="1:32" s="998" customFormat="1" ht="10.199999999999999">
      <c r="C489" s="1001" t="s">
        <v>2077</v>
      </c>
      <c r="D489" s="997"/>
      <c r="E489" s="997"/>
      <c r="F489" s="997"/>
      <c r="G489" s="997"/>
      <c r="H489" s="997"/>
      <c r="I489" s="997"/>
      <c r="J489" s="1469" t="s">
        <v>1163</v>
      </c>
      <c r="K489" s="997"/>
      <c r="N489" s="999"/>
      <c r="O489" s="1469" t="s">
        <v>4735</v>
      </c>
      <c r="P489" s="1000"/>
      <c r="AE489" s="1721"/>
      <c r="AF489" s="1721"/>
    </row>
    <row r="490" spans="1:32" s="998" customFormat="1" ht="10.199999999999999">
      <c r="C490" s="1001" t="s">
        <v>2078</v>
      </c>
      <c r="D490" s="997"/>
      <c r="E490" s="997"/>
      <c r="F490" s="997"/>
      <c r="G490" s="997"/>
      <c r="H490" s="997"/>
      <c r="I490" s="997"/>
      <c r="J490" s="1469" t="s">
        <v>1162</v>
      </c>
      <c r="N490" s="999"/>
      <c r="O490" s="998" t="s">
        <v>3625</v>
      </c>
      <c r="P490" s="1000"/>
      <c r="AE490" s="1721"/>
      <c r="AF490" s="1721"/>
    </row>
    <row r="491" spans="1:32" s="998" customFormat="1" ht="10.199999999999999">
      <c r="C491" s="1001" t="s">
        <v>2079</v>
      </c>
      <c r="J491" s="1469" t="s">
        <v>1682</v>
      </c>
      <c r="N491" s="999"/>
      <c r="O491" s="998" t="s">
        <v>3626</v>
      </c>
      <c r="P491" s="1000"/>
      <c r="AE491" s="1721"/>
      <c r="AF491" s="1721"/>
    </row>
    <row r="492" spans="1:32" s="998" customFormat="1" ht="10.199999999999999">
      <c r="C492" s="1001" t="s">
        <v>2080</v>
      </c>
      <c r="J492" s="1469" t="s">
        <v>1621</v>
      </c>
      <c r="N492" s="999"/>
      <c r="O492" s="1469"/>
      <c r="P492" s="1000"/>
      <c r="AE492" s="1721"/>
      <c r="AF492" s="1721"/>
    </row>
    <row r="493" spans="1:32" s="998" customFormat="1" ht="10.199999999999999">
      <c r="C493" s="1001" t="s">
        <v>2081</v>
      </c>
      <c r="J493" s="1469" t="s">
        <v>1613</v>
      </c>
      <c r="N493" s="999"/>
      <c r="O493" s="1000"/>
      <c r="P493" s="1000"/>
      <c r="AE493" s="1721"/>
      <c r="AF493" s="1721"/>
    </row>
    <row r="494" spans="1:32" s="998" customFormat="1" ht="10.199999999999999">
      <c r="C494" s="1001" t="s">
        <v>1362</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3587</v>
      </c>
      <c r="O497" s="1000"/>
      <c r="AE497" s="1006"/>
      <c r="AF497" s="1006"/>
    </row>
    <row r="498" spans="3:32" s="997" customFormat="1" ht="10.199999999999999">
      <c r="C498" s="997" t="s">
        <v>1727</v>
      </c>
      <c r="J498" s="997" t="s">
        <v>4268</v>
      </c>
      <c r="AE498" s="1006"/>
      <c r="AF498" s="1006"/>
    </row>
    <row r="499" spans="3:32" s="997" customFormat="1" ht="10.199999999999999">
      <c r="C499" s="997" t="s">
        <v>2040</v>
      </c>
      <c r="E499" s="998"/>
      <c r="F499" s="998"/>
      <c r="G499" s="998"/>
      <c r="H499" s="998"/>
      <c r="I499" s="998"/>
      <c r="J499" s="998" t="s">
        <v>3580</v>
      </c>
      <c r="K499" s="998"/>
      <c r="L499" s="998"/>
      <c r="M499" s="998"/>
      <c r="AE499" s="1006"/>
      <c r="AF499" s="1006"/>
    </row>
    <row r="500" spans="3:32" s="997" customFormat="1" ht="10.199999999999999">
      <c r="C500" s="997" t="s">
        <v>2477</v>
      </c>
      <c r="D500" s="998"/>
      <c r="E500" s="998"/>
      <c r="F500" s="998"/>
      <c r="G500" s="998"/>
      <c r="I500" s="998"/>
      <c r="J500" s="998" t="s">
        <v>3581</v>
      </c>
      <c r="K500" s="998"/>
      <c r="L500" s="998"/>
      <c r="M500" s="998"/>
      <c r="AE500" s="1006"/>
      <c r="AF500" s="1006"/>
    </row>
    <row r="501" spans="3:32" s="997" customFormat="1" ht="10.199999999999999">
      <c r="C501" s="997" t="s">
        <v>2041</v>
      </c>
      <c r="D501" s="998"/>
      <c r="E501" s="998"/>
      <c r="F501" s="998"/>
      <c r="G501" s="998"/>
      <c r="H501" s="998"/>
      <c r="I501" s="998"/>
      <c r="J501" s="998" t="s">
        <v>4266</v>
      </c>
      <c r="K501" s="998"/>
      <c r="L501" s="998"/>
      <c r="M501" s="998"/>
      <c r="AE501" s="1006"/>
      <c r="AF501" s="1006"/>
    </row>
    <row r="502" spans="3:32" s="997" customFormat="1" ht="10.199999999999999">
      <c r="C502" s="997" t="s">
        <v>1611</v>
      </c>
      <c r="D502" s="998"/>
      <c r="E502" s="998"/>
      <c r="F502" s="998"/>
      <c r="G502" s="998"/>
      <c r="I502" s="998"/>
      <c r="J502" s="997" t="s">
        <v>3720</v>
      </c>
      <c r="K502" s="998"/>
      <c r="L502" s="998"/>
      <c r="M502" s="998"/>
      <c r="AE502" s="1006"/>
      <c r="AF502" s="1006"/>
    </row>
    <row r="503" spans="3:32" s="997" customFormat="1" ht="10.199999999999999">
      <c r="C503" s="1005" t="s">
        <v>1963</v>
      </c>
      <c r="D503" s="998"/>
      <c r="E503" s="998"/>
      <c r="F503" s="998"/>
      <c r="G503" s="998"/>
      <c r="I503" s="998"/>
      <c r="J503" s="998" t="s">
        <v>4267</v>
      </c>
      <c r="K503" s="998"/>
      <c r="L503" s="998"/>
      <c r="M503" s="998"/>
      <c r="AE503" s="1006"/>
      <c r="AF503" s="1006"/>
    </row>
    <row r="504" spans="3:32" s="997" customFormat="1" ht="10.199999999999999">
      <c r="C504" s="997" t="s">
        <v>225</v>
      </c>
      <c r="D504" s="998"/>
      <c r="E504" s="998"/>
      <c r="F504" s="998"/>
      <c r="G504" s="998"/>
      <c r="I504" s="998"/>
      <c r="J504" s="998" t="s">
        <v>3721</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3575</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1" t="s">
        <v>4361</v>
      </c>
      <c r="AE543" s="1006"/>
      <c r="AF543" s="1006"/>
    </row>
    <row r="544" spans="3:32" s="997" customFormat="1" ht="10.199999999999999">
      <c r="C544" s="997" t="s">
        <v>1494</v>
      </c>
      <c r="K544" s="997" t="s">
        <v>3676</v>
      </c>
      <c r="AE544" s="1006"/>
      <c r="AF544" s="1006"/>
    </row>
    <row r="545" spans="3:32" s="997" customFormat="1" ht="10.199999999999999">
      <c r="C545" s="997" t="s">
        <v>2067</v>
      </c>
      <c r="K545" s="997" t="s">
        <v>4362</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4398</v>
      </c>
      <c r="AE554" s="1006"/>
      <c r="AF554" s="1006"/>
    </row>
    <row r="555" spans="3:32" s="997" customFormat="1" ht="10.199999999999999">
      <c r="C555" s="997" t="s">
        <v>992</v>
      </c>
      <c r="M555" s="997" t="s">
        <v>992</v>
      </c>
      <c r="AE555" s="1006"/>
      <c r="AF555" s="1006"/>
    </row>
    <row r="556" spans="3:32" s="997" customFormat="1" ht="10.199999999999999">
      <c r="C556" s="997" t="s">
        <v>2040</v>
      </c>
      <c r="M556" s="997" t="s">
        <v>4395</v>
      </c>
      <c r="AE556" s="1006"/>
      <c r="AF556" s="1006"/>
    </row>
    <row r="557" spans="3:32" s="997" customFormat="1" ht="10.199999999999999">
      <c r="C557" s="997" t="s">
        <v>2477</v>
      </c>
      <c r="M557" s="997" t="s">
        <v>4430</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4396</v>
      </c>
      <c r="AE559" s="1006"/>
      <c r="AF559" s="1006"/>
    </row>
    <row r="560" spans="3:32" s="997" customFormat="1" ht="10.199999999999999">
      <c r="C560" s="997" t="s">
        <v>573</v>
      </c>
      <c r="M560" s="1471" t="s">
        <v>4474</v>
      </c>
      <c r="AE560" s="1006"/>
      <c r="AF560" s="1006"/>
    </row>
    <row r="561" spans="3:32" s="997" customFormat="1" ht="10.199999999999999">
      <c r="C561" s="997" t="s">
        <v>2144</v>
      </c>
      <c r="M561" s="1471" t="s">
        <v>4475</v>
      </c>
      <c r="AE561" s="1006"/>
      <c r="AF561" s="1006"/>
    </row>
    <row r="562" spans="3:32" s="997" customFormat="1" ht="10.199999999999999">
      <c r="C562" s="1005" t="s">
        <v>31</v>
      </c>
      <c r="M562" s="997" t="s">
        <v>4397</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jDDSwfV+TQihzljMw/vH98Le1iPPXmRmtbxbjb4IN/FCFWjQqrxeSFQV1XYgg5nb1synvKTUzJoW1bYW9JTvSA==" saltValue="Us0Om/1v4pjBzFYlRRI8MA=="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3" zoomScale="90" zoomScaleNormal="90" workbookViewId="0">
      <selection activeCell="A423"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34" t="str">
        <f>CONCATENATE("PART NINE - SCORING CRITERIA","  -  ",'Part I-Project Information'!$O$6," ",'Part I-Project Information'!$F$34,", ",'Part I-Project Information'!F38,", ",'Part I-Project Information'!J39," County")</f>
        <v>PART NINE - SCORING CRITERIA  -  2020-079 Spring Creek Crossing, Montezuma, Macon County</v>
      </c>
      <c r="B1" s="2535"/>
      <c r="C1" s="2535"/>
      <c r="D1" s="2535"/>
      <c r="E1" s="2535"/>
      <c r="F1" s="2535"/>
      <c r="G1" s="2535"/>
      <c r="H1" s="2535"/>
      <c r="I1" s="2535"/>
      <c r="J1" s="2535"/>
      <c r="K1" s="2535"/>
      <c r="L1" s="2535"/>
      <c r="M1" s="2535"/>
      <c r="N1" s="2535"/>
      <c r="O1" s="2535"/>
      <c r="P1" s="2536"/>
      <c r="Q1" s="1485"/>
      <c r="R1" s="1485"/>
      <c r="S1" s="1485"/>
    </row>
    <row r="2" spans="1:22" s="35" customFormat="1" ht="4.3499999999999996" customHeight="1">
      <c r="A2" s="36"/>
      <c r="B2" s="36"/>
      <c r="C2" s="37"/>
      <c r="D2" s="36"/>
      <c r="E2" s="36"/>
      <c r="F2" s="36"/>
      <c r="G2" s="36"/>
      <c r="H2" s="36"/>
      <c r="I2" s="36"/>
      <c r="J2" s="36"/>
      <c r="K2" s="36"/>
      <c r="L2" s="36"/>
      <c r="M2" s="38"/>
      <c r="N2" s="72"/>
      <c r="O2" s="2375"/>
      <c r="P2" s="2375"/>
      <c r="Q2" s="1485"/>
      <c r="R2" s="1485"/>
      <c r="S2" s="1485"/>
    </row>
    <row r="3" spans="1:22" s="42" customFormat="1" ht="12" customHeight="1">
      <c r="A3" s="3060" t="s">
        <v>4378</v>
      </c>
      <c r="B3" s="3060"/>
      <c r="C3" s="3060"/>
      <c r="D3" s="3060"/>
      <c r="E3" s="3060"/>
      <c r="F3" s="3060"/>
      <c r="G3" s="3060"/>
      <c r="H3" s="3060"/>
      <c r="I3" s="3060"/>
      <c r="J3" s="3060"/>
      <c r="K3" s="3060"/>
      <c r="L3" s="3060"/>
      <c r="M3" s="1096" t="s">
        <v>2162</v>
      </c>
      <c r="N3" s="73"/>
      <c r="O3" s="83" t="s">
        <v>2161</v>
      </c>
      <c r="P3" s="1097" t="s">
        <v>251</v>
      </c>
      <c r="Q3" s="1485"/>
      <c r="R3" s="1485"/>
      <c r="S3" s="1485"/>
    </row>
    <row r="4" spans="1:22" s="44" customFormat="1" ht="12" customHeight="1">
      <c r="A4" s="3060"/>
      <c r="B4" s="3060"/>
      <c r="C4" s="3060"/>
      <c r="D4" s="3060"/>
      <c r="E4" s="3060"/>
      <c r="F4" s="3060"/>
      <c r="G4" s="3060"/>
      <c r="H4" s="3060"/>
      <c r="I4" s="3060"/>
      <c r="J4" s="3060"/>
      <c r="K4" s="3060"/>
      <c r="L4" s="3060"/>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82" t="str">
        <f>'Part I-Project Information'!$B$6</f>
        <v>May 26, 2020 Version</v>
      </c>
      <c r="C6" s="3082"/>
      <c r="D6" s="3082"/>
      <c r="E6" s="3082"/>
      <c r="F6" s="3082"/>
      <c r="G6" s="461"/>
      <c r="H6" s="42"/>
      <c r="I6" s="42"/>
      <c r="J6" s="42"/>
      <c r="L6" s="69" t="s">
        <v>1200</v>
      </c>
      <c r="M6" s="267">
        <f>M443</f>
        <v>95</v>
      </c>
      <c r="N6" s="9"/>
      <c r="O6" s="1084">
        <f>O443</f>
        <v>54</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4290</v>
      </c>
      <c r="D8" s="52"/>
      <c r="E8" s="52"/>
      <c r="F8" s="52"/>
      <c r="G8" s="66"/>
      <c r="H8" s="172" t="s">
        <v>4349</v>
      </c>
      <c r="I8" s="66"/>
      <c r="J8" s="66"/>
      <c r="K8" s="66"/>
      <c r="L8" s="66"/>
      <c r="M8" s="1426" t="s">
        <v>4348</v>
      </c>
      <c r="N8" s="66"/>
      <c r="O8" s="2281"/>
      <c r="P8" s="1424">
        <f>IF(P10&lt;2,0,IF(AND(P10&gt;1,P10&lt;5),1,IF(P10&gt;4,P10-3)))</f>
        <v>0</v>
      </c>
      <c r="Q8" s="36" t="s">
        <v>4350</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3809</v>
      </c>
      <c r="B10" s="1460" t="s">
        <v>3810</v>
      </c>
      <c r="C10" s="1130"/>
      <c r="D10" s="1130"/>
      <c r="E10" s="922" t="s">
        <v>3825</v>
      </c>
      <c r="F10" s="3079" t="s">
        <v>3824</v>
      </c>
      <c r="G10" s="3079"/>
      <c r="H10" s="3079"/>
      <c r="I10" s="3079"/>
      <c r="J10" s="3079"/>
      <c r="K10" s="3079"/>
      <c r="L10" s="3079"/>
      <c r="M10" s="3079"/>
      <c r="N10" s="3079"/>
      <c r="O10" s="1461" t="s">
        <v>4288</v>
      </c>
      <c r="P10" s="1462">
        <f>SUM(P11:P23)</f>
        <v>0</v>
      </c>
      <c r="Q10" s="3008" t="s">
        <v>4439</v>
      </c>
      <c r="R10" s="3008"/>
      <c r="S10" s="3008"/>
      <c r="T10" s="3008"/>
      <c r="U10" s="3008"/>
      <c r="V10" s="3008"/>
    </row>
    <row r="11" spans="1:22" s="42" customFormat="1" ht="11.25" customHeight="1">
      <c r="A11" s="1113" t="s">
        <v>724</v>
      </c>
      <c r="B11" s="1114" t="s">
        <v>3811</v>
      </c>
      <c r="C11" s="1115"/>
      <c r="D11" s="1116"/>
      <c r="E11" s="1452">
        <f>$O$64</f>
        <v>10</v>
      </c>
      <c r="F11" s="3080" t="str">
        <f>$A$70</f>
        <v>The project is eleigible for 10 desirables points. The property location is within two miles there is a grocery store, retail store, pharmacy, restaurant, hospital, medical care provider, public school, community center, FDIC bank and house of worship. Applicant is eligible for maximum 10 points. There are no undesirables.</v>
      </c>
      <c r="G11" s="3081"/>
      <c r="H11" s="3081"/>
      <c r="I11" s="3081"/>
      <c r="J11" s="3081"/>
      <c r="K11" s="3081"/>
      <c r="L11" s="3081"/>
      <c r="M11" s="3081"/>
      <c r="N11" s="3081"/>
      <c r="O11" s="3081"/>
      <c r="P11" s="4154"/>
      <c r="Q11" s="3008"/>
      <c r="R11" s="3008"/>
      <c r="S11" s="3008"/>
      <c r="T11" s="3008"/>
      <c r="U11" s="3008"/>
      <c r="V11" s="3008"/>
    </row>
    <row r="12" spans="1:22" s="42" customFormat="1" ht="11.25" customHeight="1">
      <c r="A12" s="1117" t="s">
        <v>1748</v>
      </c>
      <c r="B12" s="923" t="s">
        <v>4718</v>
      </c>
      <c r="C12" s="1036"/>
      <c r="D12" s="1118"/>
      <c r="E12" s="1453">
        <f>$O$74</f>
        <v>1</v>
      </c>
      <c r="F12" s="3036" t="str">
        <f>$A$107</f>
        <v>The proposed development is in the Rural pool and On-call public transportation service will be provided by Macon County Transit, which provides safe, reliable, accessible and affordable transportation for residents of Macon County. Please see Tab 28 for rural transportation documentation.</v>
      </c>
      <c r="G12" s="3037"/>
      <c r="H12" s="3037"/>
      <c r="I12" s="3037"/>
      <c r="J12" s="3037"/>
      <c r="K12" s="3037"/>
      <c r="L12" s="3037"/>
      <c r="M12" s="3037"/>
      <c r="N12" s="3037"/>
      <c r="O12" s="3038"/>
      <c r="P12" s="4155"/>
      <c r="Q12" s="2989" t="str">
        <f>IF(OR($A$70="",$A$107="",$A$146="",$A$189="",$A$228="",$A$261="",$A$281="",$A$297="",$A$312="",$A$329="",$A$375="",$A$411="",$A$431=""),"Some Applicant Scoring Justification boxes are empty! Check to see if points claimed.","")</f>
        <v/>
      </c>
      <c r="R12" s="2990"/>
      <c r="S12" s="2990"/>
    </row>
    <row r="13" spans="1:22" s="42" customFormat="1" ht="11.25" customHeight="1">
      <c r="A13" s="1117" t="s">
        <v>1750</v>
      </c>
      <c r="B13" s="923" t="s">
        <v>4719</v>
      </c>
      <c r="C13" s="1036"/>
      <c r="D13" s="1118"/>
      <c r="E13" s="1453">
        <f>$O$112</f>
        <v>4</v>
      </c>
      <c r="F13" s="3036" t="str">
        <f>$A$146</f>
        <v>The proposed development will provide Preventive Health Care services and education for the residents at Spring Creek Crossing at no charge. The preventive health care provider will also serve as the Health Services Coordinator (HSC) and will effectively assess residents' health needs, make appropriate referrals and track health outcomes. Additionally, the the applicant has agreed to provide a Healthy Eating Initiative that will include a community garden, which is outlined above. The costs associated with the Enriched Property Services have been accounted for in the property's operating expense budget.</v>
      </c>
      <c r="G13" s="3037"/>
      <c r="H13" s="3037"/>
      <c r="I13" s="3037"/>
      <c r="J13" s="3037"/>
      <c r="K13" s="3037"/>
      <c r="L13" s="3037"/>
      <c r="M13" s="3037"/>
      <c r="N13" s="3037"/>
      <c r="O13" s="3038"/>
      <c r="P13" s="4155"/>
      <c r="Q13" s="2989"/>
      <c r="R13" s="2990"/>
      <c r="S13" s="2990"/>
    </row>
    <row r="14" spans="1:22" s="42" customFormat="1" ht="11.25" customHeight="1">
      <c r="A14" s="1117" t="s">
        <v>516</v>
      </c>
      <c r="B14" s="923" t="s">
        <v>3812</v>
      </c>
      <c r="C14" s="1036"/>
      <c r="D14" s="1118"/>
      <c r="E14" s="1453">
        <f>$O$150</f>
        <v>0</v>
      </c>
      <c r="F14" s="3036" t="str">
        <f>$A$189</f>
        <v>N/A</v>
      </c>
      <c r="G14" s="3037"/>
      <c r="H14" s="3037"/>
      <c r="I14" s="3037"/>
      <c r="J14" s="3037"/>
      <c r="K14" s="3037"/>
      <c r="L14" s="3037"/>
      <c r="M14" s="3037"/>
      <c r="N14" s="3037"/>
      <c r="O14" s="3038"/>
      <c r="P14" s="4155"/>
      <c r="Q14" s="2989"/>
      <c r="R14" s="2990"/>
      <c r="S14" s="2990"/>
    </row>
    <row r="15" spans="1:22" s="42" customFormat="1" ht="11.25" customHeight="1">
      <c r="A15" s="1117" t="s">
        <v>754</v>
      </c>
      <c r="B15" s="923" t="s">
        <v>3813</v>
      </c>
      <c r="C15" s="1036"/>
      <c r="D15" s="1118"/>
      <c r="E15" s="1454">
        <f>$O$193</f>
        <v>7</v>
      </c>
      <c r="F15" s="3036" t="str">
        <f>$A$228</f>
        <v>The Montezuma, Georgia Community Revitalization Plan was developed through a joint effort of local entities in the Montezuma/Macon County community.  A CRP steering committee was formed to lead the formulation of the CRP by actively engaging local citizens to provide input and actively participate.  The CRP will be adopted by the Mayor and City Council at their July 14, 2020 city council meeting.  The July meeting is the first meeting scheduled since the covid-19 pandemic began in March 2020.  Please see Tab 31 for full Revitalization Plan, Qualified Census Tract (QCT) and Third-Party Capital Investment documentation.</v>
      </c>
      <c r="G15" s="3037"/>
      <c r="H15" s="3037"/>
      <c r="I15" s="3037"/>
      <c r="J15" s="3037"/>
      <c r="K15" s="3037"/>
      <c r="L15" s="3037"/>
      <c r="M15" s="3037"/>
      <c r="N15" s="3037"/>
      <c r="O15" s="3038"/>
      <c r="P15" s="4155"/>
      <c r="Q15" s="2989"/>
      <c r="R15" s="2990"/>
      <c r="S15" s="2990"/>
    </row>
    <row r="16" spans="1:22" s="42" customFormat="1" ht="11.25" customHeight="1">
      <c r="A16" s="1123" t="s">
        <v>287</v>
      </c>
      <c r="B16" s="1124" t="s">
        <v>3814</v>
      </c>
      <c r="C16" s="1125"/>
      <c r="D16" s="1126"/>
      <c r="E16" s="1455" t="s">
        <v>1690</v>
      </c>
      <c r="F16" s="3044" t="str">
        <f>$A$261</f>
        <v>N/A</v>
      </c>
      <c r="G16" s="3045"/>
      <c r="H16" s="3045"/>
      <c r="I16" s="3045"/>
      <c r="J16" s="3045"/>
      <c r="K16" s="3045"/>
      <c r="L16" s="3045"/>
      <c r="M16" s="3045"/>
      <c r="N16" s="3045"/>
      <c r="O16" s="3046"/>
      <c r="P16" s="4155"/>
      <c r="Q16" s="2989"/>
      <c r="R16" s="2990"/>
      <c r="S16" s="2990"/>
    </row>
    <row r="17" spans="1:19" s="42" customFormat="1" ht="11.25" customHeight="1">
      <c r="A17" s="1117" t="s">
        <v>418</v>
      </c>
      <c r="B17" s="923" t="s">
        <v>4720</v>
      </c>
      <c r="C17" s="1036"/>
      <c r="D17" s="1118"/>
      <c r="E17" s="1453">
        <f>$O$265</f>
        <v>0</v>
      </c>
      <c r="F17" s="3036" t="str">
        <f>$A$281</f>
        <v>N/A</v>
      </c>
      <c r="G17" s="3037"/>
      <c r="H17" s="3037"/>
      <c r="I17" s="3037"/>
      <c r="J17" s="3037"/>
      <c r="K17" s="3037"/>
      <c r="L17" s="3037"/>
      <c r="M17" s="3037"/>
      <c r="N17" s="3037"/>
      <c r="O17" s="3038"/>
      <c r="P17" s="4155"/>
      <c r="Q17" s="2989"/>
      <c r="R17" s="2990"/>
      <c r="S17" s="2990"/>
    </row>
    <row r="18" spans="1:19" s="42" customFormat="1" ht="11.25" customHeight="1">
      <c r="A18" s="1117" t="s">
        <v>4344</v>
      </c>
      <c r="B18" s="923" t="s">
        <v>3597</v>
      </c>
      <c r="C18" s="1036"/>
      <c r="D18" s="1118"/>
      <c r="E18" s="1453">
        <f>$O$293</f>
        <v>0</v>
      </c>
      <c r="F18" s="3036" t="str">
        <f>$A$297</f>
        <v>N/A</v>
      </c>
      <c r="G18" s="3037"/>
      <c r="H18" s="3037"/>
      <c r="I18" s="3037"/>
      <c r="J18" s="3037"/>
      <c r="K18" s="3037"/>
      <c r="L18" s="3037"/>
      <c r="M18" s="3037"/>
      <c r="N18" s="3037"/>
      <c r="O18" s="3038"/>
      <c r="P18" s="4155"/>
      <c r="Q18" s="2989"/>
      <c r="R18" s="2990"/>
      <c r="S18" s="2990"/>
    </row>
    <row r="19" spans="1:19" s="42" customFormat="1" ht="11.25" customHeight="1">
      <c r="A19" s="1117" t="s">
        <v>4722</v>
      </c>
      <c r="B19" s="923" t="s">
        <v>4723</v>
      </c>
      <c r="C19" s="1036"/>
      <c r="D19" s="1118"/>
      <c r="E19" s="1455">
        <f>$O$301</f>
        <v>0</v>
      </c>
      <c r="F19" s="3036" t="str">
        <f>$A$312</f>
        <v>N/A</v>
      </c>
      <c r="G19" s="3037"/>
      <c r="H19" s="3037"/>
      <c r="I19" s="3037"/>
      <c r="J19" s="3037"/>
      <c r="K19" s="3037"/>
      <c r="L19" s="3037"/>
      <c r="M19" s="3037"/>
      <c r="N19" s="3037"/>
      <c r="O19" s="3038"/>
      <c r="P19" s="4155"/>
      <c r="Q19" s="2989"/>
      <c r="R19" s="2990"/>
      <c r="S19" s="2990"/>
    </row>
    <row r="20" spans="1:19" s="42" customFormat="1" ht="11.25" customHeight="1">
      <c r="A20" s="1117" t="s">
        <v>4737</v>
      </c>
      <c r="B20" s="923" t="s">
        <v>4724</v>
      </c>
      <c r="C20" s="1036"/>
      <c r="D20" s="1118"/>
      <c r="E20" s="1453">
        <f>$O$316</f>
        <v>5</v>
      </c>
      <c r="F20" s="3039" t="str">
        <f>$A$329</f>
        <v>The City of Montezuma has not received a competitive 9% award within the City boundries in the last 15 years and is therefore eligible for 5 points in this category.</v>
      </c>
      <c r="G20" s="3040"/>
      <c r="H20" s="3040"/>
      <c r="I20" s="3040"/>
      <c r="J20" s="3040"/>
      <c r="K20" s="3040"/>
      <c r="L20" s="3040"/>
      <c r="M20" s="3040"/>
      <c r="N20" s="3040"/>
      <c r="O20" s="3041"/>
      <c r="P20" s="4155"/>
      <c r="Q20" s="2989"/>
      <c r="R20" s="2990"/>
      <c r="S20" s="2990"/>
    </row>
    <row r="21" spans="1:19" s="42" customFormat="1" ht="11.25" customHeight="1">
      <c r="A21" s="1123" t="s">
        <v>3783</v>
      </c>
      <c r="B21" s="1124" t="s">
        <v>3815</v>
      </c>
      <c r="C21" s="1125"/>
      <c r="D21" s="1126"/>
      <c r="E21" s="1456">
        <f>$O$364</f>
        <v>0</v>
      </c>
      <c r="F21" s="3036" t="str">
        <f>$A$375</f>
        <v>N/A The City of Montezuma is not a GICH community.</v>
      </c>
      <c r="G21" s="3037"/>
      <c r="H21" s="3037"/>
      <c r="I21" s="3037"/>
      <c r="J21" s="3037"/>
      <c r="K21" s="3037"/>
      <c r="L21" s="3037"/>
      <c r="M21" s="3037"/>
      <c r="N21" s="3037"/>
      <c r="O21" s="3038"/>
      <c r="P21" s="4155"/>
      <c r="Q21" s="2989"/>
      <c r="R21" s="2990"/>
      <c r="S21" s="2990"/>
    </row>
    <row r="22" spans="1:19" s="42" customFormat="1" ht="11.25" customHeight="1">
      <c r="A22" s="1117" t="s">
        <v>3784</v>
      </c>
      <c r="B22" s="923" t="s">
        <v>3816</v>
      </c>
      <c r="C22" s="1036"/>
      <c r="D22" s="1118"/>
      <c r="E22" s="1453">
        <f>$O$379</f>
        <v>0</v>
      </c>
      <c r="F22" s="3036" t="str">
        <f>$A$411</f>
        <v>N/A</v>
      </c>
      <c r="G22" s="3037"/>
      <c r="H22" s="3037"/>
      <c r="I22" s="3037"/>
      <c r="J22" s="3037"/>
      <c r="K22" s="3037"/>
      <c r="L22" s="3037"/>
      <c r="M22" s="3037"/>
      <c r="N22" s="3037"/>
      <c r="O22" s="3038"/>
      <c r="P22" s="4155"/>
      <c r="Q22" s="2989"/>
      <c r="R22" s="2990"/>
      <c r="S22" s="2990"/>
    </row>
    <row r="23" spans="1:19" s="42" customFormat="1" ht="11.25" customHeight="1">
      <c r="A23" s="1119" t="s">
        <v>3782</v>
      </c>
      <c r="B23" s="1120" t="s">
        <v>3817</v>
      </c>
      <c r="C23" s="1121"/>
      <c r="D23" s="1122"/>
      <c r="E23" s="1457">
        <f>$O$415</f>
        <v>0</v>
      </c>
      <c r="F23" s="3076" t="str">
        <f>$A$431</f>
        <v>N/A</v>
      </c>
      <c r="G23" s="3077"/>
      <c r="H23" s="3077"/>
      <c r="I23" s="3077"/>
      <c r="J23" s="3077"/>
      <c r="K23" s="3077"/>
      <c r="L23" s="3077"/>
      <c r="M23" s="3077"/>
      <c r="N23" s="3077"/>
      <c r="O23" s="3078"/>
      <c r="P23" s="4156"/>
      <c r="Q23" s="2989"/>
      <c r="R23" s="2990"/>
      <c r="S23" s="2990"/>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90"/>
      <c r="H25" s="172" t="s">
        <v>4347</v>
      </c>
      <c r="M25" s="2375">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4283</v>
      </c>
      <c r="D27" s="48"/>
      <c r="E27" s="48"/>
      <c r="F27" s="2390"/>
      <c r="M27" s="6"/>
      <c r="N27" s="64" t="s">
        <v>1935</v>
      </c>
    </row>
    <row r="28" spans="1:19" s="43" customFormat="1" ht="11.25" customHeight="1">
      <c r="A28" s="178"/>
      <c r="B28" s="1429" t="s">
        <v>1938</v>
      </c>
      <c r="C28" s="110" t="s">
        <v>4286</v>
      </c>
      <c r="D28" s="48"/>
      <c r="E28" s="48"/>
      <c r="F28" s="2390"/>
      <c r="H28" s="172" t="s">
        <v>3480</v>
      </c>
      <c r="J28" s="49"/>
      <c r="M28" s="6"/>
      <c r="N28" s="388" t="s">
        <v>1938</v>
      </c>
      <c r="O28" s="2282"/>
      <c r="P28" s="1085">
        <f>F36</f>
        <v>0</v>
      </c>
    </row>
    <row r="29" spans="1:19" s="43" customFormat="1" ht="11.25" customHeight="1">
      <c r="A29" s="178"/>
      <c r="B29" s="1429" t="s">
        <v>1940</v>
      </c>
      <c r="C29" s="110" t="s">
        <v>4482</v>
      </c>
      <c r="D29" s="48"/>
      <c r="E29" s="48"/>
      <c r="F29" s="2390"/>
      <c r="H29" s="172" t="s">
        <v>4284</v>
      </c>
      <c r="J29" s="49"/>
      <c r="M29" s="6"/>
      <c r="N29" s="388" t="s">
        <v>1940</v>
      </c>
      <c r="O29" s="2283"/>
      <c r="P29" s="1422">
        <f>J36</f>
        <v>0</v>
      </c>
    </row>
    <row r="30" spans="1:19" s="43" customFormat="1" ht="11.25" customHeight="1">
      <c r="A30" s="178"/>
      <c r="B30" s="1429" t="s">
        <v>2467</v>
      </c>
      <c r="C30" s="110" t="s">
        <v>4285</v>
      </c>
      <c r="D30" s="48"/>
      <c r="E30" s="48"/>
      <c r="F30" s="2390"/>
      <c r="H30" s="172" t="s">
        <v>4289</v>
      </c>
      <c r="J30" s="49"/>
      <c r="M30" s="6"/>
      <c r="N30" s="388" t="s">
        <v>2467</v>
      </c>
      <c r="O30" s="2284"/>
      <c r="P30" s="4157"/>
    </row>
    <row r="31" spans="1:19" s="43" customFormat="1" ht="11.25" customHeight="1">
      <c r="C31" s="4158" t="s">
        <v>4456</v>
      </c>
      <c r="D31" s="4159"/>
      <c r="E31" s="4159"/>
      <c r="F31" s="4159"/>
      <c r="G31" s="4159"/>
      <c r="H31" s="4159"/>
      <c r="I31" s="4159"/>
      <c r="J31" s="4159"/>
      <c r="K31" s="4159"/>
      <c r="L31" s="4159"/>
      <c r="M31" s="4159"/>
      <c r="N31" s="4159"/>
      <c r="O31" s="4159"/>
      <c r="P31" s="4160"/>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90"/>
      <c r="H33" s="172" t="s">
        <v>2645</v>
      </c>
      <c r="J33" s="49"/>
      <c r="M33" s="6"/>
      <c r="N33" s="64" t="s">
        <v>1937</v>
      </c>
      <c r="O33" s="2285"/>
      <c r="P33" s="1425">
        <f>O36</f>
        <v>0</v>
      </c>
    </row>
    <row r="34" spans="1:20" s="422" customFormat="1" ht="3" customHeight="1">
      <c r="A34" s="560"/>
      <c r="B34" s="554"/>
      <c r="C34" s="555"/>
      <c r="D34" s="139"/>
      <c r="K34" s="863"/>
      <c r="L34" s="863"/>
      <c r="M34" s="995"/>
      <c r="N34" s="388"/>
      <c r="O34" s="868"/>
      <c r="P34" s="868"/>
    </row>
    <row r="35" spans="1:20" s="42" customFormat="1" ht="11.1" customHeight="1">
      <c r="A35" s="2782" t="s">
        <v>6979</v>
      </c>
      <c r="B35" s="2782"/>
      <c r="C35" s="2782"/>
      <c r="D35" s="2782"/>
      <c r="E35" s="2782"/>
      <c r="F35" s="1420" t="s">
        <v>3808</v>
      </c>
      <c r="G35" s="3068" t="s">
        <v>6981</v>
      </c>
      <c r="H35" s="3068"/>
      <c r="I35" s="3068"/>
      <c r="J35" s="1420" t="s">
        <v>3808</v>
      </c>
      <c r="K35" s="3072" t="s">
        <v>6980</v>
      </c>
      <c r="L35" s="3072"/>
      <c r="M35" s="3072"/>
      <c r="N35" s="3072"/>
      <c r="O35" s="3066" t="s">
        <v>3808</v>
      </c>
      <c r="P35" s="3067"/>
      <c r="R35" s="442"/>
      <c r="S35" s="157"/>
    </row>
    <row r="36" spans="1:20" s="42" customFormat="1" ht="11.25" customHeight="1">
      <c r="A36" s="3065"/>
      <c r="B36" s="3065"/>
      <c r="C36" s="3065"/>
      <c r="D36" s="3065"/>
      <c r="E36" s="3065"/>
      <c r="F36" s="76">
        <f>SUM(F37:F48)</f>
        <v>0</v>
      </c>
      <c r="G36" s="3069"/>
      <c r="H36" s="3070"/>
      <c r="I36" s="3071"/>
      <c r="J36" s="76">
        <f>SUM(J37:J48)</f>
        <v>0</v>
      </c>
      <c r="K36" s="3073"/>
      <c r="L36" s="3074"/>
      <c r="M36" s="3074"/>
      <c r="N36" s="3075"/>
      <c r="O36" s="3061">
        <f>SUM(O37:O48)</f>
        <v>0</v>
      </c>
      <c r="P36" s="3062"/>
      <c r="Q36" s="442"/>
      <c r="R36" s="157"/>
    </row>
    <row r="37" spans="1:20" s="42" customFormat="1" ht="24.75" customHeight="1">
      <c r="A37" s="4161">
        <v>1</v>
      </c>
      <c r="B37" s="4162"/>
      <c r="C37" s="4162"/>
      <c r="D37" s="4162"/>
      <c r="E37" s="4163"/>
      <c r="F37" s="4164"/>
      <c r="G37" s="4161">
        <v>1</v>
      </c>
      <c r="H37" s="4162"/>
      <c r="I37" s="4163"/>
      <c r="J37" s="844" t="s">
        <v>1690</v>
      </c>
      <c r="K37" s="4165">
        <v>1</v>
      </c>
      <c r="L37" s="4166"/>
      <c r="M37" s="4166"/>
      <c r="N37" s="4166"/>
      <c r="O37" s="3063" t="s">
        <v>1690</v>
      </c>
      <c r="P37" s="3064"/>
      <c r="Q37" s="440" t="s">
        <v>1228</v>
      </c>
      <c r="R37" s="157"/>
    </row>
    <row r="38" spans="1:20" s="42" customFormat="1" ht="24.75" customHeight="1">
      <c r="A38" s="4167">
        <v>2</v>
      </c>
      <c r="B38" s="4168"/>
      <c r="C38" s="4168"/>
      <c r="D38" s="4168"/>
      <c r="E38" s="4169"/>
      <c r="F38" s="4170"/>
      <c r="G38" s="4167">
        <v>2</v>
      </c>
      <c r="H38" s="4168"/>
      <c r="I38" s="4169"/>
      <c r="J38" s="4170"/>
      <c r="K38" s="4171">
        <v>2</v>
      </c>
      <c r="L38" s="4172"/>
      <c r="M38" s="4172"/>
      <c r="N38" s="4172"/>
      <c r="O38" s="4173"/>
      <c r="P38" s="4174"/>
      <c r="Q38" s="441"/>
      <c r="R38" s="157"/>
    </row>
    <row r="39" spans="1:20" s="42" customFormat="1" ht="24.75" customHeight="1">
      <c r="A39" s="4167">
        <v>3</v>
      </c>
      <c r="B39" s="4168"/>
      <c r="C39" s="4168"/>
      <c r="D39" s="4168"/>
      <c r="E39" s="4169"/>
      <c r="F39" s="4170"/>
      <c r="G39" s="4167">
        <v>3</v>
      </c>
      <c r="H39" s="4168"/>
      <c r="I39" s="4169"/>
      <c r="J39" s="1127" t="s">
        <v>2800</v>
      </c>
      <c r="K39" s="4171">
        <v>3</v>
      </c>
      <c r="L39" s="4172"/>
      <c r="M39" s="4172"/>
      <c r="N39" s="4172"/>
      <c r="O39" s="3034" t="s">
        <v>2800</v>
      </c>
      <c r="P39" s="3035"/>
      <c r="Q39" s="3148" t="s">
        <v>4287</v>
      </c>
      <c r="R39" s="3149"/>
      <c r="S39" s="1423"/>
      <c r="T39" s="1423"/>
    </row>
    <row r="40" spans="1:20" s="42" customFormat="1" ht="24.75" customHeight="1">
      <c r="A40" s="4167">
        <v>4</v>
      </c>
      <c r="B40" s="4168"/>
      <c r="C40" s="4168"/>
      <c r="D40" s="4168"/>
      <c r="E40" s="4169"/>
      <c r="F40" s="4170"/>
      <c r="G40" s="4167">
        <v>4</v>
      </c>
      <c r="H40" s="4168"/>
      <c r="I40" s="4169"/>
      <c r="J40" s="4170"/>
      <c r="K40" s="4171">
        <v>4</v>
      </c>
      <c r="L40" s="4172"/>
      <c r="M40" s="4172"/>
      <c r="N40" s="4172"/>
      <c r="O40" s="3034" t="s">
        <v>2800</v>
      </c>
      <c r="P40" s="3035"/>
      <c r="Q40" s="3148"/>
      <c r="R40" s="3149"/>
      <c r="S40" s="1423"/>
      <c r="T40" s="1423"/>
    </row>
    <row r="41" spans="1:20" s="42" customFormat="1" ht="24.75" customHeight="1">
      <c r="A41" s="4167">
        <v>5</v>
      </c>
      <c r="B41" s="4168"/>
      <c r="C41" s="4168"/>
      <c r="D41" s="4168"/>
      <c r="E41" s="4169"/>
      <c r="F41" s="4170"/>
      <c r="G41" s="4167">
        <v>5</v>
      </c>
      <c r="H41" s="4168"/>
      <c r="I41" s="4169"/>
      <c r="J41" s="1127" t="s">
        <v>3444</v>
      </c>
      <c r="K41" s="4171">
        <v>5</v>
      </c>
      <c r="L41" s="4172"/>
      <c r="M41" s="4172"/>
      <c r="N41" s="4172"/>
      <c r="O41" s="4173"/>
      <c r="P41" s="4174"/>
      <c r="Q41" s="3148"/>
      <c r="R41" s="3149"/>
      <c r="S41" s="1423"/>
      <c r="T41" s="1423"/>
    </row>
    <row r="42" spans="1:20" s="42" customFormat="1" ht="24" customHeight="1">
      <c r="A42" s="4167">
        <v>6</v>
      </c>
      <c r="B42" s="4168"/>
      <c r="C42" s="4168"/>
      <c r="D42" s="4168"/>
      <c r="E42" s="4169"/>
      <c r="F42" s="4170"/>
      <c r="G42" s="4167">
        <v>6</v>
      </c>
      <c r="H42" s="4168"/>
      <c r="I42" s="4169"/>
      <c r="J42" s="4170"/>
      <c r="K42" s="4171">
        <v>6</v>
      </c>
      <c r="L42" s="4172"/>
      <c r="M42" s="4172"/>
      <c r="N42" s="4172"/>
      <c r="O42" s="4173"/>
      <c r="P42" s="4174"/>
      <c r="Q42" s="3148"/>
      <c r="R42" s="3149"/>
    </row>
    <row r="43" spans="1:20" s="42" customFormat="1" ht="10.5" customHeight="1">
      <c r="A43" s="4167">
        <v>7</v>
      </c>
      <c r="B43" s="4168"/>
      <c r="C43" s="4168"/>
      <c r="D43" s="4168"/>
      <c r="E43" s="4169"/>
      <c r="F43" s="4170"/>
      <c r="G43" s="4167">
        <v>7</v>
      </c>
      <c r="H43" s="4168"/>
      <c r="I43" s="4169"/>
      <c r="J43" s="1127" t="s">
        <v>3445</v>
      </c>
      <c r="K43" s="4171">
        <v>7</v>
      </c>
      <c r="L43" s="4172"/>
      <c r="M43" s="4172"/>
      <c r="N43" s="4172"/>
      <c r="O43" s="4173"/>
      <c r="P43" s="4174"/>
      <c r="Q43" s="157"/>
      <c r="R43" s="157"/>
    </row>
    <row r="44" spans="1:20" s="42" customFormat="1" ht="10.5" customHeight="1">
      <c r="A44" s="4167">
        <v>8</v>
      </c>
      <c r="B44" s="4168"/>
      <c r="C44" s="4168"/>
      <c r="D44" s="4168"/>
      <c r="E44" s="4169"/>
      <c r="F44" s="4170"/>
      <c r="G44" s="4167">
        <v>8</v>
      </c>
      <c r="H44" s="4168"/>
      <c r="I44" s="4169"/>
      <c r="J44" s="4170"/>
      <c r="K44" s="4171">
        <v>8</v>
      </c>
      <c r="L44" s="4172"/>
      <c r="M44" s="4172"/>
      <c r="N44" s="4172"/>
      <c r="O44" s="4173"/>
      <c r="P44" s="4174"/>
      <c r="Q44" s="157"/>
      <c r="R44" s="157"/>
    </row>
    <row r="45" spans="1:20" s="42" customFormat="1" ht="11.25" customHeight="1">
      <c r="A45" s="4167">
        <v>9</v>
      </c>
      <c r="B45" s="4168"/>
      <c r="C45" s="4168"/>
      <c r="D45" s="4168"/>
      <c r="E45" s="4169"/>
      <c r="F45" s="4170"/>
      <c r="G45" s="4167">
        <v>9</v>
      </c>
      <c r="H45" s="4168"/>
      <c r="I45" s="4169"/>
      <c r="J45" s="1127" t="s">
        <v>3446</v>
      </c>
      <c r="K45" s="4171">
        <v>9</v>
      </c>
      <c r="L45" s="4172"/>
      <c r="M45" s="4172"/>
      <c r="N45" s="4172"/>
      <c r="O45" s="4173"/>
      <c r="P45" s="4174"/>
      <c r="Q45" s="157"/>
      <c r="R45" s="157"/>
    </row>
    <row r="46" spans="1:20" s="42" customFormat="1" ht="11.25" customHeight="1">
      <c r="A46" s="4167">
        <v>10</v>
      </c>
      <c r="B46" s="4168"/>
      <c r="C46" s="4168"/>
      <c r="D46" s="4168"/>
      <c r="E46" s="4169"/>
      <c r="F46" s="4170"/>
      <c r="G46" s="4167">
        <v>10</v>
      </c>
      <c r="H46" s="4168"/>
      <c r="I46" s="4169"/>
      <c r="J46" s="4170"/>
      <c r="K46" s="4171">
        <v>10</v>
      </c>
      <c r="L46" s="4172"/>
      <c r="M46" s="4172"/>
      <c r="N46" s="4172"/>
      <c r="O46" s="4173"/>
      <c r="P46" s="4174"/>
      <c r="Q46" s="157"/>
    </row>
    <row r="47" spans="1:20" s="42" customFormat="1" ht="11.25" customHeight="1">
      <c r="A47" s="4167">
        <v>11</v>
      </c>
      <c r="B47" s="4168"/>
      <c r="C47" s="4168"/>
      <c r="D47" s="4168"/>
      <c r="E47" s="4169"/>
      <c r="F47" s="4170"/>
      <c r="G47" s="4167">
        <v>11</v>
      </c>
      <c r="H47" s="4168"/>
      <c r="I47" s="4169"/>
      <c r="J47" s="1127" t="s">
        <v>3447</v>
      </c>
      <c r="K47" s="4167">
        <v>11</v>
      </c>
      <c r="L47" s="4168"/>
      <c r="M47" s="4168"/>
      <c r="N47" s="4169"/>
      <c r="O47" s="4173"/>
      <c r="P47" s="4174"/>
      <c r="Q47" s="157"/>
      <c r="R47" s="157"/>
    </row>
    <row r="48" spans="1:20" s="42" customFormat="1" ht="11.25" customHeight="1">
      <c r="A48" s="4175">
        <v>12</v>
      </c>
      <c r="B48" s="4176"/>
      <c r="C48" s="4176"/>
      <c r="D48" s="4176"/>
      <c r="E48" s="4177"/>
      <c r="F48" s="4178"/>
      <c r="G48" s="4175">
        <v>12</v>
      </c>
      <c r="H48" s="4176"/>
      <c r="I48" s="4177"/>
      <c r="J48" s="4178"/>
      <c r="K48" s="4175">
        <v>12</v>
      </c>
      <c r="L48" s="4176"/>
      <c r="M48" s="4176"/>
      <c r="N48" s="4177"/>
      <c r="O48" s="4179"/>
      <c r="P48" s="4180"/>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3448</v>
      </c>
      <c r="E50" s="57"/>
      <c r="G50" s="213"/>
      <c r="H50" s="52"/>
      <c r="I50" s="45" t="s">
        <v>3365</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4297</v>
      </c>
      <c r="G51" s="87"/>
      <c r="H51" s="52"/>
      <c r="I51" s="45"/>
      <c r="K51" s="509"/>
      <c r="L51" s="845"/>
      <c r="M51" s="846"/>
      <c r="N51" s="7"/>
      <c r="O51" s="3"/>
      <c r="P51" s="3"/>
      <c r="Q51" s="109"/>
      <c r="R51" s="374"/>
    </row>
    <row r="52" spans="1:18" s="43" customFormat="1" ht="13.5" customHeight="1">
      <c r="A52" s="138" t="s">
        <v>1935</v>
      </c>
      <c r="B52" s="864" t="s">
        <v>2556</v>
      </c>
      <c r="E52" s="57"/>
      <c r="G52" s="87"/>
      <c r="H52" s="55" t="s">
        <v>4437</v>
      </c>
      <c r="J52" s="1500"/>
      <c r="K52" s="1500" t="str">
        <f>'Part I-Project Information'!$K$94</f>
        <v>Income Averaging</v>
      </c>
      <c r="M52" s="846"/>
      <c r="N52" s="7"/>
      <c r="Q52" s="7"/>
      <c r="R52" s="374"/>
    </row>
    <row r="53" spans="1:18" s="102" customFormat="1" ht="9" customHeight="1">
      <c r="A53" s="138"/>
      <c r="B53" s="3150" t="s">
        <v>4291</v>
      </c>
      <c r="C53" s="3150"/>
      <c r="D53" s="3150"/>
      <c r="E53" s="3150"/>
      <c r="F53" s="3150"/>
      <c r="G53" s="3150"/>
      <c r="H53" s="3150"/>
      <c r="I53" s="3150"/>
      <c r="J53" s="3150"/>
      <c r="K53" s="3150"/>
      <c r="L53" s="3150"/>
      <c r="M53" s="846"/>
      <c r="N53" s="7"/>
      <c r="Q53" s="7"/>
      <c r="R53" s="374"/>
    </row>
    <row r="54" spans="1:18" s="102" customFormat="1" ht="13.5" customHeight="1">
      <c r="B54" s="3150"/>
      <c r="C54" s="3150"/>
      <c r="D54" s="3150"/>
      <c r="E54" s="3150"/>
      <c r="F54" s="3150"/>
      <c r="G54" s="3150"/>
      <c r="H54" s="3150"/>
      <c r="I54" s="3150"/>
      <c r="J54" s="3150"/>
      <c r="K54" s="3150"/>
      <c r="L54" s="3150"/>
      <c r="M54" s="855">
        <v>2</v>
      </c>
      <c r="N54" s="388" t="s">
        <v>1935</v>
      </c>
      <c r="O54" s="869">
        <f>MIN($M54, O55+O56)</f>
        <v>2</v>
      </c>
      <c r="P54" s="869">
        <f>MIN($M54, P55+P56)</f>
        <v>0</v>
      </c>
    </row>
    <row r="55" spans="1:18" s="102" customFormat="1" ht="13.5" customHeight="1">
      <c r="A55" s="138"/>
      <c r="B55" s="1145" t="s">
        <v>1938</v>
      </c>
      <c r="C55" s="1430" t="s">
        <v>4292</v>
      </c>
      <c r="D55" s="52"/>
      <c r="H55" s="52" t="s">
        <v>4293</v>
      </c>
      <c r="I55" s="1427"/>
      <c r="K55" s="1502">
        <f>'Part VI-Revenues &amp; Expenses'!B49</f>
        <v>58</v>
      </c>
      <c r="L55" s="3059" t="str">
        <f>IF(AND(O55&gt;0,O56&gt;0), "CHOOSE EITHER A OR B, NOT BOTH!", "")</f>
        <v/>
      </c>
      <c r="M55" s="995">
        <v>2</v>
      </c>
      <c r="N55" s="174" t="s">
        <v>1938</v>
      </c>
      <c r="O55" s="2286">
        <v>2</v>
      </c>
      <c r="P55" s="4181"/>
      <c r="Q55" s="1477" t="str">
        <f>IF(OR($O55=$M55,$O55=0,$O55=""),"","*CHECK!*")</f>
        <v/>
      </c>
      <c r="R55" s="974" t="s">
        <v>4765</v>
      </c>
    </row>
    <row r="56" spans="1:18" s="102" customFormat="1" ht="13.5" customHeight="1">
      <c r="A56" s="1428" t="s">
        <v>3236</v>
      </c>
      <c r="B56" s="1145" t="s">
        <v>1940</v>
      </c>
      <c r="C56" s="1430" t="s">
        <v>4294</v>
      </c>
      <c r="D56" s="52"/>
      <c r="I56" s="1427"/>
      <c r="K56" s="52"/>
      <c r="L56" s="3059"/>
      <c r="M56" s="995">
        <v>2</v>
      </c>
      <c r="N56" s="174" t="s">
        <v>1940</v>
      </c>
      <c r="O56" s="2287"/>
      <c r="P56" s="4182"/>
      <c r="Q56" s="1477" t="str">
        <f>IF(OR($O56=$M56,$O56=0,$O56=""),"","*CHECK!*")</f>
        <v/>
      </c>
      <c r="R56" s="974" t="s">
        <v>4765</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3481</v>
      </c>
      <c r="E58" s="423"/>
      <c r="H58" s="3057" t="s">
        <v>4295</v>
      </c>
      <c r="I58" s="3058"/>
      <c r="J58" s="1433" t="s">
        <v>4296</v>
      </c>
      <c r="M58" s="855">
        <v>3</v>
      </c>
      <c r="N58" s="160" t="s">
        <v>1937</v>
      </c>
      <c r="O58" s="869">
        <f>IF(AND(O59="Yes", O60="Yes"),$M$58,0)</f>
        <v>0</v>
      </c>
      <c r="P58" s="869">
        <f>IF(AND(P59="Yes", P60="Yes"),$M$58,0)</f>
        <v>0</v>
      </c>
    </row>
    <row r="59" spans="1:18" s="422" customFormat="1" ht="13.5" customHeight="1">
      <c r="A59" s="421"/>
      <c r="B59" s="1145" t="s">
        <v>1938</v>
      </c>
      <c r="C59" s="1431">
        <v>0.3</v>
      </c>
      <c r="D59" s="923" t="s">
        <v>3482</v>
      </c>
      <c r="E59" s="423"/>
      <c r="F59" s="843"/>
      <c r="H59" s="2288"/>
      <c r="I59" s="4183"/>
      <c r="J59" s="1432">
        <f>'Part VI-Revenues &amp; Expenses'!P65</f>
        <v>50</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3705</v>
      </c>
      <c r="E60" s="899"/>
      <c r="F60" s="843"/>
      <c r="I60" s="867"/>
      <c r="J60" s="867"/>
      <c r="K60" s="867"/>
      <c r="L60" s="867"/>
      <c r="M60" s="867"/>
      <c r="N60" s="388" t="s">
        <v>1940</v>
      </c>
      <c r="O60" s="2258"/>
      <c r="P60" s="520"/>
    </row>
    <row r="61" spans="1:18" s="43" customFormat="1" ht="10.5" customHeight="1">
      <c r="A61" s="42"/>
      <c r="B61" s="97" t="s">
        <v>1819</v>
      </c>
      <c r="C61" s="422"/>
      <c r="D61" s="85"/>
      <c r="E61" s="2378"/>
      <c r="F61" s="2378"/>
      <c r="G61" s="2378"/>
      <c r="H61" s="2378"/>
      <c r="I61" s="2378"/>
      <c r="J61" s="2378"/>
      <c r="K61" s="2378"/>
      <c r="L61" s="2378"/>
      <c r="M61" s="2378"/>
      <c r="N61" s="74"/>
      <c r="O61" s="70"/>
      <c r="P61" s="2375"/>
      <c r="Q61" s="422"/>
    </row>
    <row r="62" spans="1:18" s="43" customFormat="1" ht="22.5" customHeight="1">
      <c r="A62" s="2701"/>
      <c r="B62" s="2702"/>
      <c r="C62" s="2702"/>
      <c r="D62" s="2702"/>
      <c r="E62" s="2702"/>
      <c r="F62" s="2702"/>
      <c r="G62" s="2702"/>
      <c r="H62" s="2702"/>
      <c r="I62" s="2702"/>
      <c r="J62" s="2702"/>
      <c r="K62" s="2702"/>
      <c r="L62" s="2702"/>
      <c r="M62" s="2702"/>
      <c r="N62" s="2702"/>
      <c r="O62" s="2702"/>
      <c r="P62" s="2703"/>
      <c r="Q62" s="440"/>
    </row>
    <row r="63" spans="1:18" ht="7.5" customHeight="1" thickBot="1"/>
    <row r="64" spans="1:18" s="43" customFormat="1" ht="12.6" customHeight="1" thickBot="1">
      <c r="A64" s="152" t="s">
        <v>724</v>
      </c>
      <c r="B64" s="105" t="s">
        <v>3779</v>
      </c>
      <c r="D64" s="41"/>
      <c r="I64" s="2550" t="s">
        <v>3579</v>
      </c>
      <c r="J64" s="2550"/>
      <c r="K64" s="2550"/>
      <c r="L64" s="980"/>
      <c r="M64" s="2375">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3636</v>
      </c>
      <c r="D66" s="33"/>
      <c r="N66" s="455"/>
      <c r="O66" s="2256" t="s">
        <v>2884</v>
      </c>
      <c r="P66" s="518"/>
    </row>
    <row r="67" spans="1:21" s="102" customFormat="1" ht="12" customHeight="1">
      <c r="A67" s="138" t="s">
        <v>1935</v>
      </c>
      <c r="B67" s="165" t="s">
        <v>1826</v>
      </c>
      <c r="C67" s="4"/>
      <c r="D67" s="4"/>
      <c r="F67" s="295"/>
      <c r="H67" s="821" t="s">
        <v>2637</v>
      </c>
      <c r="I67" s="3047" t="s">
        <v>4725</v>
      </c>
      <c r="J67" s="3048"/>
      <c r="K67" s="3048"/>
      <c r="L67" s="3049"/>
      <c r="M67" s="72">
        <v>10</v>
      </c>
      <c r="N67" s="174" t="s">
        <v>1935</v>
      </c>
      <c r="O67" s="2286">
        <v>10</v>
      </c>
      <c r="P67" s="4181"/>
      <c r="Q67" s="1477" t="str">
        <f>IF(OR($O67=$M67,$O67=0,$O67=""),"","*CHECK!*")</f>
        <v/>
      </c>
      <c r="R67" s="974" t="s">
        <v>4765</v>
      </c>
    </row>
    <row r="68" spans="1:21" s="102" customFormat="1" ht="12.6" customHeight="1">
      <c r="A68" s="138" t="s">
        <v>1937</v>
      </c>
      <c r="B68" s="165" t="s">
        <v>3628</v>
      </c>
      <c r="D68" s="1063"/>
      <c r="F68" s="1501"/>
      <c r="H68" s="821" t="s">
        <v>3727</v>
      </c>
      <c r="I68" s="3050"/>
      <c r="J68" s="3051"/>
      <c r="K68" s="3051"/>
      <c r="L68" s="3052"/>
      <c r="M68" s="2398" t="s">
        <v>1212</v>
      </c>
      <c r="N68" s="455" t="s">
        <v>1937</v>
      </c>
      <c r="O68" s="2287"/>
      <c r="P68" s="4182"/>
      <c r="R68" s="974" t="s">
        <v>4765</v>
      </c>
    </row>
    <row r="69" spans="1:21" s="43" customFormat="1" ht="11.25" customHeight="1" thickBot="1">
      <c r="A69" s="42"/>
      <c r="B69" s="1132" t="s">
        <v>3566</v>
      </c>
      <c r="C69" s="42"/>
      <c r="D69" s="48"/>
      <c r="E69" s="48"/>
      <c r="F69" s="48"/>
      <c r="G69" s="48"/>
      <c r="H69" s="36"/>
      <c r="I69" s="3053"/>
      <c r="J69" s="3054"/>
      <c r="K69" s="3054"/>
      <c r="L69" s="3055"/>
      <c r="M69" s="46"/>
      <c r="N69" s="62"/>
      <c r="O69" s="3"/>
      <c r="P69" s="2377"/>
    </row>
    <row r="70" spans="1:21" s="43" customFormat="1" ht="90" customHeight="1" thickTop="1" thickBot="1">
      <c r="A70" s="2940" t="s">
        <v>7123</v>
      </c>
      <c r="B70" s="2941"/>
      <c r="C70" s="2941"/>
      <c r="D70" s="2941"/>
      <c r="E70" s="2941"/>
      <c r="F70" s="2941"/>
      <c r="G70" s="2941"/>
      <c r="H70" s="2941"/>
      <c r="I70" s="2941"/>
      <c r="J70" s="2941"/>
      <c r="K70" s="2941"/>
      <c r="L70" s="2941"/>
      <c r="M70" s="2941"/>
      <c r="N70" s="2941"/>
      <c r="O70" s="2941"/>
      <c r="P70" s="2942"/>
      <c r="Q70" s="1027" t="s">
        <v>1228</v>
      </c>
      <c r="R70" s="441"/>
    </row>
    <row r="71" spans="1:21" s="43" customFormat="1" ht="11.4" customHeight="1" thickTop="1">
      <c r="A71" s="42"/>
      <c r="B71" s="66" t="s">
        <v>1819</v>
      </c>
      <c r="C71" s="42"/>
      <c r="D71" s="136"/>
      <c r="E71" s="2378"/>
      <c r="F71" s="2378"/>
      <c r="G71" s="2378"/>
      <c r="H71" s="2378"/>
      <c r="I71" s="2378"/>
      <c r="J71" s="2378"/>
      <c r="K71" s="2378"/>
      <c r="L71" s="2378"/>
      <c r="M71" s="2378"/>
      <c r="N71" s="74"/>
      <c r="O71" s="70"/>
      <c r="P71" s="2375"/>
      <c r="Q71" s="422"/>
      <c r="R71" s="422"/>
    </row>
    <row r="72" spans="1:21" s="43" customFormat="1" ht="90" customHeight="1">
      <c r="A72" s="2701"/>
      <c r="B72" s="2702"/>
      <c r="C72" s="2702"/>
      <c r="D72" s="2702"/>
      <c r="E72" s="2702"/>
      <c r="F72" s="2702"/>
      <c r="G72" s="2702"/>
      <c r="H72" s="2702"/>
      <c r="I72" s="2702"/>
      <c r="J72" s="2702"/>
      <c r="K72" s="2702"/>
      <c r="L72" s="2702"/>
      <c r="M72" s="2702"/>
      <c r="N72" s="2702"/>
      <c r="O72" s="2702"/>
      <c r="P72" s="2703"/>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75">
        <v>6</v>
      </c>
      <c r="N74" s="455"/>
      <c r="O74" s="1041">
        <f>IF($J$75="Flexible",MIN($M74,MAX(O89,O95)),IF(AND($J$75="Rural",O103&gt;0),MIN($M103,O103),0))</f>
        <v>1</v>
      </c>
      <c r="P74" s="1041">
        <f>IF($J$75="Flexible",MIN($M74,MAX(P89,P95)),IF(AND($J$75="Rural",P103&gt;0),MIN($M103,P103),0))</f>
        <v>0</v>
      </c>
      <c r="Q74" s="109" t="s">
        <v>433</v>
      </c>
      <c r="R74" s="3009" t="s">
        <v>4518</v>
      </c>
      <c r="S74" s="3009"/>
      <c r="T74" s="3009"/>
      <c r="U74" s="3009"/>
    </row>
    <row r="75" spans="1:21" s="43" customFormat="1" ht="17.25" customHeight="1">
      <c r="A75" s="152"/>
      <c r="B75" s="110" t="s">
        <v>3706</v>
      </c>
      <c r="D75" s="41"/>
      <c r="H75" s="165" t="s">
        <v>2702</v>
      </c>
      <c r="I75" s="505"/>
      <c r="J75" s="503" t="str">
        <f>'Part I-Project Information'!$H$105</f>
        <v>Rural</v>
      </c>
      <c r="K75" s="48"/>
      <c r="M75" s="2375"/>
      <c r="N75" s="455"/>
      <c r="O75" s="973" t="s">
        <v>3449</v>
      </c>
      <c r="P75" s="973" t="s">
        <v>3450</v>
      </c>
      <c r="Q75" s="109"/>
      <c r="R75" s="3009"/>
      <c r="S75" s="3009"/>
      <c r="T75" s="3009"/>
      <c r="U75" s="3009"/>
    </row>
    <row r="76" spans="1:21" s="43" customFormat="1" ht="11.25" customHeight="1">
      <c r="A76" s="152"/>
      <c r="B76" s="372" t="s">
        <v>1938</v>
      </c>
      <c r="C76" s="36" t="s">
        <v>4302</v>
      </c>
      <c r="D76" s="1063"/>
      <c r="E76" s="102"/>
      <c r="F76" s="102"/>
      <c r="G76" s="102"/>
      <c r="H76" s="45"/>
      <c r="I76" s="49"/>
      <c r="J76" s="48"/>
      <c r="K76" s="48"/>
      <c r="L76" s="102"/>
      <c r="M76" s="2375"/>
      <c r="N76" s="455"/>
      <c r="O76" s="2256" t="s">
        <v>2884</v>
      </c>
      <c r="P76" s="518"/>
      <c r="Q76" s="109"/>
      <c r="R76" s="3009"/>
      <c r="S76" s="3009"/>
      <c r="T76" s="3009"/>
      <c r="U76" s="3009"/>
    </row>
    <row r="77" spans="1:21" s="43" customFormat="1" ht="11.25" customHeight="1">
      <c r="A77" s="152"/>
      <c r="B77" s="372" t="s">
        <v>1940</v>
      </c>
      <c r="C77" s="36" t="s">
        <v>4303</v>
      </c>
      <c r="D77" s="1063"/>
      <c r="E77" s="102"/>
      <c r="F77" s="102"/>
      <c r="G77" s="102"/>
      <c r="H77" s="45"/>
      <c r="I77" s="49"/>
      <c r="J77" s="48"/>
      <c r="K77" s="48"/>
      <c r="L77" s="102"/>
      <c r="M77" s="102"/>
      <c r="N77" s="455"/>
      <c r="O77" s="2257" t="s">
        <v>2884</v>
      </c>
      <c r="P77" s="519"/>
      <c r="Q77" s="109"/>
      <c r="R77" s="3009"/>
      <c r="S77" s="3009"/>
      <c r="T77" s="3009"/>
      <c r="U77" s="3009"/>
    </row>
    <row r="78" spans="1:21" s="43" customFormat="1" ht="11.25" customHeight="1">
      <c r="A78" s="152"/>
      <c r="B78" s="372" t="s">
        <v>2467</v>
      </c>
      <c r="C78" s="36" t="s">
        <v>4304</v>
      </c>
      <c r="D78" s="1063"/>
      <c r="E78" s="102"/>
      <c r="F78" s="102"/>
      <c r="G78" s="102"/>
      <c r="H78" s="45"/>
      <c r="I78" s="49"/>
      <c r="J78" s="48"/>
      <c r="K78" s="48"/>
      <c r="L78" s="102"/>
      <c r="M78" s="102"/>
      <c r="N78" s="455"/>
      <c r="O78" s="2257" t="s">
        <v>2884</v>
      </c>
      <c r="P78" s="519"/>
      <c r="Q78" s="109"/>
      <c r="R78" s="3009"/>
      <c r="S78" s="3009"/>
      <c r="T78" s="3009"/>
      <c r="U78" s="3009"/>
    </row>
    <row r="79" spans="1:21" s="43" customFormat="1" ht="11.25" customHeight="1">
      <c r="A79" s="152"/>
      <c r="B79" s="372" t="s">
        <v>1198</v>
      </c>
      <c r="C79" s="36" t="s">
        <v>4298</v>
      </c>
      <c r="D79" s="1063"/>
      <c r="E79" s="102"/>
      <c r="F79" s="102"/>
      <c r="G79" s="102"/>
      <c r="H79" s="45"/>
      <c r="I79" s="49"/>
      <c r="J79" s="48"/>
      <c r="K79" s="48"/>
      <c r="L79" s="102"/>
      <c r="M79" s="102"/>
      <c r="N79" s="455"/>
      <c r="O79" s="2258" t="s">
        <v>6992</v>
      </c>
      <c r="P79" s="520"/>
      <c r="Q79" s="109"/>
      <c r="R79" s="3009"/>
      <c r="S79" s="3009"/>
      <c r="T79" s="3009"/>
      <c r="U79" s="3009"/>
    </row>
    <row r="80" spans="1:21" s="43" customFormat="1" ht="3" customHeight="1">
      <c r="A80" s="152"/>
      <c r="B80" s="105"/>
      <c r="D80" s="41"/>
      <c r="H80" s="45"/>
      <c r="I80" s="49"/>
      <c r="J80" s="48"/>
      <c r="K80" s="48"/>
      <c r="M80" s="2375"/>
      <c r="N80" s="455"/>
      <c r="O80" s="3"/>
      <c r="P80" s="3"/>
      <c r="Q80" s="109"/>
      <c r="R80" s="3009"/>
      <c r="S80" s="3009"/>
      <c r="T80" s="3009"/>
      <c r="U80" s="3009"/>
    </row>
    <row r="81" spans="1:21" s="43" customFormat="1" ht="13.5" customHeight="1">
      <c r="A81" s="152"/>
      <c r="B81" s="110" t="s">
        <v>3712</v>
      </c>
      <c r="D81" s="41"/>
      <c r="F81" s="3029" t="s">
        <v>3535</v>
      </c>
      <c r="G81" s="3029"/>
      <c r="H81" s="3029"/>
      <c r="I81" s="3029"/>
      <c r="J81" s="3029" t="s">
        <v>3536</v>
      </c>
      <c r="K81" s="3029"/>
      <c r="L81" s="3029"/>
      <c r="M81" s="3029"/>
      <c r="N81" s="455"/>
      <c r="O81" s="3032" t="s">
        <v>4438</v>
      </c>
      <c r="P81" s="3033"/>
      <c r="Q81" s="109"/>
      <c r="R81" s="3009"/>
      <c r="S81" s="3009"/>
      <c r="T81" s="3009"/>
      <c r="U81" s="3009"/>
    </row>
    <row r="82" spans="1:21" s="43" customFormat="1" ht="12.75" customHeight="1">
      <c r="A82" s="152"/>
      <c r="C82" s="480" t="s">
        <v>3711</v>
      </c>
      <c r="D82" s="582"/>
      <c r="E82" s="268"/>
      <c r="F82" s="3010">
        <v>32.293562999999999</v>
      </c>
      <c r="G82" s="3011"/>
      <c r="H82" s="4184"/>
      <c r="I82" s="4185"/>
      <c r="J82" s="3010">
        <v>-84.016007999999999</v>
      </c>
      <c r="K82" s="3011"/>
      <c r="L82" s="4184"/>
      <c r="M82" s="4185"/>
      <c r="N82" s="455"/>
      <c r="Q82" s="109"/>
      <c r="R82" s="3009"/>
      <c r="S82" s="3009"/>
      <c r="T82" s="3009"/>
      <c r="U82" s="3009"/>
    </row>
    <row r="83" spans="1:21" s="43" customFormat="1" ht="12.75" customHeight="1">
      <c r="A83" s="3119" t="s">
        <v>3807</v>
      </c>
      <c r="B83" s="3119"/>
      <c r="D83" s="1099" t="s">
        <v>3713</v>
      </c>
      <c r="E83" s="268"/>
      <c r="F83" s="3122">
        <v>32.293562999999999</v>
      </c>
      <c r="G83" s="3123"/>
      <c r="H83" s="4186"/>
      <c r="I83" s="4187"/>
      <c r="J83" s="3122">
        <v>-84.016007999999999</v>
      </c>
      <c r="K83" s="3123"/>
      <c r="L83" s="4186"/>
      <c r="M83" s="4187"/>
      <c r="N83" s="455"/>
      <c r="O83" s="2289">
        <v>0</v>
      </c>
      <c r="P83" s="4188"/>
      <c r="Q83" s="109"/>
      <c r="R83" s="3009"/>
      <c r="S83" s="3009"/>
      <c r="T83" s="3009"/>
      <c r="U83" s="3009"/>
    </row>
    <row r="84" spans="1:21" s="43" customFormat="1" ht="12.75" customHeight="1">
      <c r="A84" s="3119"/>
      <c r="B84" s="3119"/>
      <c r="C84" s="480" t="s">
        <v>3777</v>
      </c>
      <c r="D84" s="582"/>
      <c r="E84" s="268"/>
      <c r="F84" s="3024"/>
      <c r="G84" s="3025"/>
      <c r="H84" s="4189"/>
      <c r="I84" s="4190"/>
      <c r="J84" s="3024"/>
      <c r="K84" s="3025"/>
      <c r="L84" s="4189"/>
      <c r="M84" s="4190"/>
      <c r="N84" s="455"/>
      <c r="O84" s="455"/>
      <c r="P84" s="455"/>
      <c r="Q84" s="109"/>
      <c r="R84" s="3009"/>
      <c r="S84" s="3009"/>
      <c r="T84" s="3009"/>
      <c r="U84" s="3009"/>
    </row>
    <row r="85" spans="1:21" s="43" customFormat="1" ht="12.75" customHeight="1">
      <c r="A85" s="3119"/>
      <c r="B85" s="3119"/>
      <c r="E85" s="1410" t="s">
        <v>3776</v>
      </c>
      <c r="F85" s="3030"/>
      <c r="G85" s="3031"/>
      <c r="H85" s="4191"/>
      <c r="I85" s="4192"/>
      <c r="J85" s="3030"/>
      <c r="K85" s="3031"/>
      <c r="L85" s="4191"/>
      <c r="M85" s="4192"/>
      <c r="N85" s="455"/>
      <c r="O85" s="2289"/>
      <c r="P85" s="4188"/>
      <c r="Q85" s="109"/>
      <c r="R85" s="3009"/>
      <c r="S85" s="3009"/>
      <c r="T85" s="3009"/>
      <c r="U85" s="3009"/>
    </row>
    <row r="86" spans="1:21" s="43" customFormat="1" ht="9" customHeight="1">
      <c r="A86" s="152"/>
      <c r="B86" s="105"/>
      <c r="D86" s="41"/>
      <c r="H86" s="45"/>
      <c r="I86" s="49"/>
      <c r="J86" s="48"/>
      <c r="K86" s="48"/>
      <c r="M86" s="2375"/>
      <c r="N86" s="455"/>
      <c r="O86" s="3"/>
      <c r="P86" s="3"/>
      <c r="Q86" s="109"/>
      <c r="R86" s="1062"/>
      <c r="S86" s="1062"/>
      <c r="T86" s="1062"/>
      <c r="U86" s="1062"/>
    </row>
    <row r="87" spans="1:21" s="43" customFormat="1" ht="12.6" customHeight="1">
      <c r="A87" s="504" t="s">
        <v>2693</v>
      </c>
      <c r="B87" s="105"/>
      <c r="D87" s="41"/>
      <c r="F87" s="61" t="s">
        <v>3567</v>
      </c>
      <c r="M87" s="2375"/>
      <c r="N87" s="2375"/>
      <c r="O87" s="2375"/>
      <c r="P87" s="2375"/>
      <c r="Q87" s="109"/>
      <c r="R87" s="1062"/>
      <c r="S87" s="1062"/>
      <c r="T87" s="1062"/>
      <c r="U87" s="1062"/>
    </row>
    <row r="88" spans="1:21" s="43" customFormat="1" ht="2.25" customHeight="1">
      <c r="A88" s="504"/>
      <c r="B88" s="105"/>
      <c r="D88" s="41"/>
      <c r="F88" s="61"/>
      <c r="M88" s="2375"/>
      <c r="N88" s="2375"/>
      <c r="O88" s="2375"/>
      <c r="P88" s="2375"/>
      <c r="Q88" s="109"/>
      <c r="R88" s="1062"/>
      <c r="S88" s="1062"/>
      <c r="T88" s="1062"/>
      <c r="U88" s="1062"/>
    </row>
    <row r="89" spans="1:21" s="43" customFormat="1" ht="12.6" customHeight="1">
      <c r="A89" s="143" t="s">
        <v>1935</v>
      </c>
      <c r="B89" s="165" t="s">
        <v>3559</v>
      </c>
      <c r="D89" s="41"/>
      <c r="F89" s="45" t="s">
        <v>3638</v>
      </c>
      <c r="M89" s="2375">
        <v>6</v>
      </c>
      <c r="N89" s="388" t="s">
        <v>1935</v>
      </c>
      <c r="O89" s="976">
        <f>IF($J$75="Flexible",MIN($M89,O90+O91+O92),0)</f>
        <v>0</v>
      </c>
      <c r="P89" s="976">
        <f>IF($J$75="Flexible",MIN($M89,P90+P91+P92),0)</f>
        <v>0</v>
      </c>
      <c r="Q89" s="109"/>
    </row>
    <row r="90" spans="1:21" s="409" customFormat="1" ht="23.25" customHeight="1">
      <c r="B90" s="435" t="s">
        <v>1938</v>
      </c>
      <c r="C90" s="2720" t="s">
        <v>4299</v>
      </c>
      <c r="D90" s="2720"/>
      <c r="E90" s="2720"/>
      <c r="F90" s="2720"/>
      <c r="G90" s="2720"/>
      <c r="H90" s="2720"/>
      <c r="I90" s="3124" t="s">
        <v>3774</v>
      </c>
      <c r="J90" s="3125"/>
      <c r="K90" s="3125"/>
      <c r="L90" s="3126"/>
      <c r="M90" s="500">
        <v>5</v>
      </c>
      <c r="N90" s="469" t="s">
        <v>1938</v>
      </c>
      <c r="O90" s="2290"/>
      <c r="P90" s="4193"/>
      <c r="Q90" s="1477" t="str">
        <f>IF(OR($O90=$M90,$O90=0,$O90=""),"","*CHECK!*")</f>
        <v/>
      </c>
      <c r="R90" s="974" t="s">
        <v>4765</v>
      </c>
    </row>
    <row r="91" spans="1:21" s="409" customFormat="1" ht="12" customHeight="1">
      <c r="A91" s="560" t="s">
        <v>1326</v>
      </c>
      <c r="B91" s="435" t="s">
        <v>1940</v>
      </c>
      <c r="C91" s="389" t="s">
        <v>3707</v>
      </c>
      <c r="D91" s="389"/>
      <c r="E91" s="389"/>
      <c r="F91" s="389"/>
      <c r="G91" s="389"/>
      <c r="H91" s="2398" t="str">
        <f>IF(AND(O91&gt;0,O90&gt;0),"Pick A1 or A2!","")</f>
        <v/>
      </c>
      <c r="I91" s="3127"/>
      <c r="J91" s="3128"/>
      <c r="K91" s="3128"/>
      <c r="L91" s="3129"/>
      <c r="M91" s="72">
        <v>4</v>
      </c>
      <c r="N91" s="430" t="s">
        <v>1940</v>
      </c>
      <c r="O91" s="2286"/>
      <c r="P91" s="4181"/>
      <c r="Q91" s="1477" t="str">
        <f>IF(OR($O91=$M91,$O91=0,$O91=""),"","*CHECK!*")</f>
        <v/>
      </c>
      <c r="R91" s="974" t="s">
        <v>4765</v>
      </c>
    </row>
    <row r="92" spans="1:21" s="409" customFormat="1" ht="12" customHeight="1">
      <c r="B92" s="435" t="s">
        <v>2467</v>
      </c>
      <c r="C92" s="389" t="s">
        <v>3560</v>
      </c>
      <c r="D92" s="389"/>
      <c r="E92" s="389"/>
      <c r="F92" s="389"/>
      <c r="I92" s="3127"/>
      <c r="J92" s="3128"/>
      <c r="K92" s="3128"/>
      <c r="L92" s="3129"/>
      <c r="M92" s="72">
        <v>1</v>
      </c>
      <c r="N92" s="430" t="s">
        <v>2467</v>
      </c>
      <c r="O92" s="2287"/>
      <c r="P92" s="4182"/>
      <c r="Q92" s="1477" t="str">
        <f>IF(OR($O92=$M92,$O92=0,$O92=""),"","*CHECK!*")</f>
        <v/>
      </c>
      <c r="R92" s="974" t="s">
        <v>4765</v>
      </c>
    </row>
    <row r="93" spans="1:21" s="409" customFormat="1" ht="12" customHeight="1">
      <c r="B93" s="435"/>
      <c r="C93" s="821" t="s">
        <v>3775</v>
      </c>
      <c r="D93" s="389"/>
      <c r="E93" s="389"/>
      <c r="F93" s="1434" t="str">
        <f>'Part I-Project Information'!$H$82</f>
        <v>Family</v>
      </c>
      <c r="G93" s="821"/>
      <c r="H93" s="1434"/>
      <c r="I93" s="3127"/>
      <c r="J93" s="3128"/>
      <c r="K93" s="3128"/>
      <c r="L93" s="3129"/>
      <c r="M93" s="102"/>
      <c r="N93" s="102"/>
      <c r="O93" s="102"/>
      <c r="P93" s="102"/>
      <c r="Q93" s="978"/>
      <c r="R93" s="1079"/>
    </row>
    <row r="94" spans="1:21" s="409" customFormat="1" ht="12" customHeight="1">
      <c r="B94" s="435"/>
      <c r="C94" s="821"/>
      <c r="D94" s="389"/>
      <c r="E94" s="389"/>
      <c r="F94" s="1434"/>
      <c r="G94" s="821"/>
      <c r="H94" s="1434"/>
      <c r="I94" s="3130"/>
      <c r="J94" s="3131"/>
      <c r="K94" s="3131"/>
      <c r="L94" s="3132"/>
      <c r="M94" s="102"/>
      <c r="N94" s="102"/>
      <c r="O94" s="102"/>
      <c r="P94" s="102"/>
      <c r="Q94" s="978"/>
      <c r="R94" s="1079"/>
    </row>
    <row r="95" spans="1:21" s="409" customFormat="1" ht="12" customHeight="1">
      <c r="A95" s="143" t="s">
        <v>1937</v>
      </c>
      <c r="B95" s="1078" t="s">
        <v>3561</v>
      </c>
      <c r="C95" s="603"/>
      <c r="D95" s="603"/>
      <c r="E95" s="603"/>
      <c r="F95" s="1060" t="s">
        <v>3637</v>
      </c>
      <c r="I95" s="3133" t="s">
        <v>7073</v>
      </c>
      <c r="J95" s="3134"/>
      <c r="K95" s="3134"/>
      <c r="L95" s="3042">
        <v>4784729613</v>
      </c>
      <c r="M95" s="2375">
        <v>3</v>
      </c>
      <c r="N95" s="455" t="s">
        <v>1937</v>
      </c>
      <c r="O95" s="976">
        <f>IF($J$75="Flexible",MIN($M95,O98+O99+O100),0)</f>
        <v>0</v>
      </c>
      <c r="P95" s="976">
        <f>IF($J$75="Flexible",MIN($M95,P98+P99+P100),0)</f>
        <v>0</v>
      </c>
      <c r="Q95" s="501"/>
      <c r="R95" s="387"/>
    </row>
    <row r="96" spans="1:21" s="43" customFormat="1" ht="11.25" customHeight="1">
      <c r="A96" s="152"/>
      <c r="B96" s="385" t="s">
        <v>3589</v>
      </c>
      <c r="C96" s="172" t="s">
        <v>4301</v>
      </c>
      <c r="D96" s="1063"/>
      <c r="E96" s="102"/>
      <c r="F96" s="102"/>
      <c r="G96" s="102"/>
      <c r="H96" s="45"/>
      <c r="I96" s="3135"/>
      <c r="J96" s="3136"/>
      <c r="K96" s="3136"/>
      <c r="L96" s="3043"/>
      <c r="M96" s="102"/>
      <c r="N96" s="385" t="s">
        <v>3589</v>
      </c>
      <c r="O96" s="2266"/>
      <c r="P96" s="898"/>
      <c r="Q96" s="109"/>
      <c r="R96" s="387"/>
      <c r="S96" s="409"/>
      <c r="T96" s="409"/>
      <c r="U96" s="409"/>
    </row>
    <row r="97" spans="1:21" s="43" customFormat="1" ht="11.25" customHeight="1">
      <c r="A97" s="152"/>
      <c r="B97" s="385" t="s">
        <v>3590</v>
      </c>
      <c r="C97" s="172" t="s">
        <v>4300</v>
      </c>
      <c r="D97" s="1063"/>
      <c r="E97" s="102"/>
      <c r="F97" s="102"/>
      <c r="G97" s="102"/>
      <c r="H97" s="45"/>
      <c r="I97" s="3026" t="s">
        <v>7113</v>
      </c>
      <c r="J97" s="3027"/>
      <c r="K97" s="3027"/>
      <c r="L97" s="3028"/>
      <c r="M97" s="102"/>
      <c r="N97" s="385" t="s">
        <v>3590</v>
      </c>
      <c r="O97" s="2258"/>
      <c r="P97" s="520"/>
      <c r="Q97" s="109"/>
      <c r="R97" s="387"/>
      <c r="S97" s="409"/>
      <c r="T97" s="409"/>
      <c r="U97" s="409"/>
    </row>
    <row r="98" spans="1:21" s="409" customFormat="1" ht="12" customHeight="1">
      <c r="A98" s="138"/>
      <c r="B98" s="1503" t="s">
        <v>1938</v>
      </c>
      <c r="C98" s="2723" t="s">
        <v>3708</v>
      </c>
      <c r="D98" s="2723"/>
      <c r="E98" s="2723"/>
      <c r="F98" s="2723"/>
      <c r="G98" s="2723"/>
      <c r="H98" s="3023"/>
      <c r="I98" s="3020"/>
      <c r="J98" s="3021"/>
      <c r="K98" s="3021"/>
      <c r="L98" s="3022"/>
      <c r="M98" s="72">
        <v>3</v>
      </c>
      <c r="N98" s="430" t="s">
        <v>1938</v>
      </c>
      <c r="O98" s="2286"/>
      <c r="P98" s="4194"/>
      <c r="Q98" s="978" t="str">
        <f>IF(OR($O98=$M98,$O98=0,$O98=""),"","*CHECK!*")</f>
        <v/>
      </c>
      <c r="R98" s="974" t="s">
        <v>4765</v>
      </c>
    </row>
    <row r="99" spans="1:21" s="43" customFormat="1" ht="12" customHeight="1">
      <c r="A99" s="560" t="s">
        <v>1326</v>
      </c>
      <c r="B99" s="1503" t="s">
        <v>1940</v>
      </c>
      <c r="C99" s="2723" t="s">
        <v>3709</v>
      </c>
      <c r="D99" s="2723"/>
      <c r="E99" s="2723"/>
      <c r="F99" s="2723"/>
      <c r="G99" s="2723"/>
      <c r="H99" s="3023"/>
      <c r="I99" s="3026" t="s">
        <v>7074</v>
      </c>
      <c r="J99" s="3027"/>
      <c r="K99" s="3027"/>
      <c r="L99" s="3028"/>
      <c r="M99" s="72">
        <v>2</v>
      </c>
      <c r="N99" s="430" t="s">
        <v>1940</v>
      </c>
      <c r="O99" s="2286"/>
      <c r="P99" s="4181"/>
      <c r="Q99" s="978" t="str">
        <f>IF(OR($O99=$M99,$O99=0,$O99=""),"","*CHECK!*")</f>
        <v/>
      </c>
      <c r="R99" s="974" t="s">
        <v>4765</v>
      </c>
    </row>
    <row r="100" spans="1:21" s="43" customFormat="1" ht="14.25" customHeight="1">
      <c r="A100" s="560" t="s">
        <v>1326</v>
      </c>
      <c r="B100" s="1503" t="s">
        <v>2467</v>
      </c>
      <c r="C100" s="2723" t="s">
        <v>3710</v>
      </c>
      <c r="D100" s="2723"/>
      <c r="E100" s="2723"/>
      <c r="F100" s="2723"/>
      <c r="G100" s="2723"/>
      <c r="H100" s="3023"/>
      <c r="I100" s="3020"/>
      <c r="J100" s="3021"/>
      <c r="K100" s="3021"/>
      <c r="L100" s="3022"/>
      <c r="M100" s="72">
        <v>1</v>
      </c>
      <c r="N100" s="430" t="s">
        <v>2467</v>
      </c>
      <c r="O100" s="2287"/>
      <c r="P100" s="4182"/>
      <c r="Q100" s="978" t="str">
        <f>IF(OR($O100=$M100,$O100=0,$O100=""),"","*CHECK!*")</f>
        <v/>
      </c>
      <c r="R100" s="974" t="s">
        <v>4765</v>
      </c>
    </row>
    <row r="101" spans="1:21" s="43" customFormat="1" ht="14.25" customHeight="1">
      <c r="A101" s="1061"/>
      <c r="B101" s="1421"/>
      <c r="C101" s="2384"/>
      <c r="D101" s="2384"/>
      <c r="E101" s="2384"/>
      <c r="F101" s="3120" t="str">
        <f>IF(OR(AND(O98&gt;0,O99&gt;0,O100&gt;0),AND(O98&gt;0,O99&gt;0),AND(O98&gt;0,O100&gt;0),AND(O99&gt;0,O100&gt;0)),"Choose only one option: B1 or B2 or B3!","")</f>
        <v/>
      </c>
      <c r="G101" s="3120"/>
      <c r="H101" s="3121"/>
      <c r="I101" s="3026" t="s">
        <v>7074</v>
      </c>
      <c r="J101" s="3027"/>
      <c r="K101" s="3027"/>
      <c r="L101" s="3028"/>
      <c r="M101" s="102"/>
      <c r="N101" s="102"/>
      <c r="O101" s="102"/>
      <c r="P101" s="102"/>
      <c r="Q101" s="978"/>
      <c r="R101" s="1079"/>
    </row>
    <row r="102" spans="1:21" s="43" customFormat="1" ht="12.6" customHeight="1">
      <c r="A102" s="504" t="s">
        <v>2695</v>
      </c>
      <c r="B102" s="165"/>
      <c r="E102" s="41"/>
      <c r="I102" s="3141"/>
      <c r="J102" s="3142"/>
      <c r="K102" s="3142"/>
      <c r="L102" s="3143"/>
      <c r="M102" s="72"/>
      <c r="N102" s="72"/>
      <c r="O102" s="72"/>
      <c r="P102" s="72"/>
      <c r="Q102" s="374"/>
      <c r="R102" s="374"/>
    </row>
    <row r="103" spans="1:21" s="102" customFormat="1" ht="12" customHeight="1">
      <c r="A103" s="138"/>
      <c r="B103" s="435" t="s">
        <v>1198</v>
      </c>
      <c r="C103" s="3056" t="s">
        <v>4365</v>
      </c>
      <c r="D103" s="3056"/>
      <c r="E103" s="3056"/>
      <c r="F103" s="3056"/>
      <c r="G103" s="3056"/>
      <c r="H103" s="3056"/>
      <c r="I103" s="165"/>
      <c r="J103" s="165"/>
      <c r="K103" s="165"/>
      <c r="L103" s="165"/>
      <c r="M103" s="72">
        <v>1</v>
      </c>
      <c r="N103" s="430" t="s">
        <v>1198</v>
      </c>
      <c r="O103" s="2291">
        <v>1</v>
      </c>
      <c r="P103" s="4195"/>
      <c r="Q103" s="978" t="str">
        <f>IF(OR($O103=$M103,$O103=0,$O103=""),"","*CHECK!*")</f>
        <v/>
      </c>
      <c r="R103" s="974" t="s">
        <v>4765</v>
      </c>
    </row>
    <row r="104" spans="1:21" s="102" customFormat="1" ht="12" customHeight="1">
      <c r="A104" s="138"/>
      <c r="B104" s="435"/>
      <c r="C104" s="3056"/>
      <c r="D104" s="3056"/>
      <c r="E104" s="3056"/>
      <c r="F104" s="3056"/>
      <c r="G104" s="3056"/>
      <c r="H104" s="3056"/>
      <c r="I104" s="165"/>
      <c r="J104" s="165"/>
      <c r="K104" s="165"/>
      <c r="L104" s="165"/>
      <c r="M104" s="165"/>
      <c r="N104" s="165"/>
      <c r="O104" s="165"/>
      <c r="P104" s="165"/>
      <c r="Q104" s="978"/>
      <c r="R104" s="1079"/>
    </row>
    <row r="105" spans="1:21" s="43" customFormat="1" ht="12.6" customHeight="1">
      <c r="A105" s="36" t="s">
        <v>3778</v>
      </c>
      <c r="B105" s="165"/>
      <c r="E105" s="41"/>
      <c r="K105" s="48"/>
      <c r="M105" s="72"/>
      <c r="N105" s="72"/>
      <c r="O105" s="72"/>
      <c r="P105" s="72"/>
      <c r="Q105" s="374"/>
      <c r="R105" s="374"/>
    </row>
    <row r="106" spans="1:21" s="43" customFormat="1" ht="11.25" customHeight="1" thickBot="1">
      <c r="A106" s="42"/>
      <c r="B106" s="1132" t="s">
        <v>3566</v>
      </c>
      <c r="C106" s="42"/>
      <c r="D106" s="48"/>
      <c r="E106" s="48"/>
      <c r="F106" s="48"/>
      <c r="G106" s="48"/>
      <c r="H106" s="36"/>
      <c r="K106" s="48"/>
      <c r="M106" s="46"/>
      <c r="N106" s="62"/>
      <c r="O106" s="3"/>
      <c r="P106" s="2377"/>
    </row>
    <row r="107" spans="1:21" s="43" customFormat="1" ht="29.25" customHeight="1" thickTop="1" thickBot="1">
      <c r="A107" s="2940" t="s">
        <v>7124</v>
      </c>
      <c r="B107" s="2941"/>
      <c r="C107" s="2941"/>
      <c r="D107" s="2941"/>
      <c r="E107" s="2941"/>
      <c r="F107" s="2941"/>
      <c r="G107" s="2941"/>
      <c r="H107" s="2941"/>
      <c r="I107" s="2941"/>
      <c r="J107" s="2941"/>
      <c r="K107" s="2941"/>
      <c r="L107" s="2941"/>
      <c r="M107" s="2941"/>
      <c r="N107" s="2941"/>
      <c r="O107" s="2941"/>
      <c r="P107" s="2942"/>
      <c r="Q107" s="1027" t="s">
        <v>1228</v>
      </c>
      <c r="R107" s="441"/>
    </row>
    <row r="108" spans="1:21" s="102" customFormat="1" ht="11.4" customHeight="1" thickTop="1">
      <c r="A108" s="42"/>
      <c r="B108" s="97" t="s">
        <v>1819</v>
      </c>
      <c r="C108" s="42"/>
      <c r="D108" s="97"/>
      <c r="E108" s="2382"/>
      <c r="F108" s="2382"/>
      <c r="G108" s="2382"/>
      <c r="H108" s="2382"/>
      <c r="I108" s="2382"/>
      <c r="J108" s="2382"/>
      <c r="K108" s="2382"/>
      <c r="L108" s="2382"/>
      <c r="M108" s="2382"/>
      <c r="N108" s="93"/>
      <c r="O108" s="836"/>
      <c r="P108" s="2375"/>
      <c r="Q108" s="422"/>
    </row>
    <row r="109" spans="1:21" s="43" customFormat="1" ht="11.25" customHeight="1">
      <c r="A109" s="2701"/>
      <c r="B109" s="2702"/>
      <c r="C109" s="2702"/>
      <c r="D109" s="2702"/>
      <c r="E109" s="2702"/>
      <c r="F109" s="2702"/>
      <c r="G109" s="2702"/>
      <c r="H109" s="2702"/>
      <c r="I109" s="2702"/>
      <c r="J109" s="2702"/>
      <c r="K109" s="2702"/>
      <c r="L109" s="2702"/>
      <c r="M109" s="2702"/>
      <c r="N109" s="2702"/>
      <c r="O109" s="2702"/>
      <c r="P109" s="2703"/>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3725</v>
      </c>
      <c r="D112" s="39"/>
      <c r="E112" s="36"/>
      <c r="F112" s="846"/>
      <c r="G112" s="846"/>
      <c r="H112" s="846"/>
      <c r="I112" s="61" t="s">
        <v>3567</v>
      </c>
      <c r="J112" s="856"/>
      <c r="K112" s="856"/>
      <c r="L112" s="856"/>
      <c r="M112" s="2375">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1935</v>
      </c>
      <c r="B114" s="833" t="s">
        <v>3726</v>
      </c>
      <c r="C114" s="92"/>
      <c r="D114" s="1038"/>
      <c r="E114" s="52" t="s">
        <v>3781</v>
      </c>
      <c r="G114" s="113"/>
      <c r="I114" s="455" t="s">
        <v>3775</v>
      </c>
      <c r="J114" s="1105" t="str">
        <f>'Part I-Project Information'!$H$82</f>
        <v>Family</v>
      </c>
      <c r="K114" s="1063"/>
      <c r="L114" s="374" t="str">
        <f>IF(OR($O114=$M114,$O114=0,$O114=""),"","* * Check Score! * *")</f>
        <v/>
      </c>
      <c r="M114" s="72">
        <v>3</v>
      </c>
      <c r="N114" s="455" t="s">
        <v>1935</v>
      </c>
      <c r="O114" s="2292"/>
      <c r="P114" s="4196"/>
      <c r="Q114" s="1477" t="str">
        <f>IF(OR($O114=$M114,$O114=0,$O114=""),"","*CHECK!*")</f>
        <v/>
      </c>
      <c r="R114" s="974" t="s">
        <v>4765</v>
      </c>
    </row>
    <row r="115" spans="1:20" s="43" customFormat="1" ht="11.25" customHeight="1">
      <c r="A115" s="42"/>
      <c r="B115" s="55" t="s">
        <v>4590</v>
      </c>
      <c r="D115" s="39"/>
      <c r="E115" s="36"/>
      <c r="F115" s="846"/>
      <c r="G115" s="846"/>
      <c r="H115" s="846"/>
      <c r="I115" s="846"/>
      <c r="J115" s="856"/>
      <c r="K115" s="856"/>
      <c r="L115" s="856"/>
      <c r="M115" s="60"/>
      <c r="N115" s="846"/>
      <c r="O115" s="2293"/>
      <c r="P115" s="4197"/>
    </row>
    <row r="116" spans="1:20" s="36" customFormat="1" ht="21.6" customHeight="1">
      <c r="A116" s="63"/>
      <c r="B116" s="2720" t="s">
        <v>4726</v>
      </c>
      <c r="C116" s="2720"/>
      <c r="D116" s="3145"/>
      <c r="E116" s="3145"/>
      <c r="F116" s="3145"/>
      <c r="G116" s="3145"/>
      <c r="H116" s="3145"/>
      <c r="I116" s="3145"/>
      <c r="J116" s="3145"/>
      <c r="K116" s="3145"/>
      <c r="L116" s="3145"/>
      <c r="M116" s="3145"/>
      <c r="N116" s="3145"/>
      <c r="O116" s="3145"/>
      <c r="P116" s="3145"/>
      <c r="Q116" s="1023"/>
      <c r="R116" s="1023"/>
      <c r="S116" s="1023"/>
      <c r="T116" s="1023"/>
    </row>
    <row r="117" spans="1:20" s="102" customFormat="1" ht="21.6" customHeight="1">
      <c r="A117" s="178"/>
      <c r="B117" s="2710" t="s">
        <v>4305</v>
      </c>
      <c r="C117" s="2710"/>
      <c r="D117" s="2710"/>
      <c r="E117" s="3146"/>
      <c r="F117" s="3146"/>
      <c r="G117" s="3146"/>
      <c r="H117" s="3146"/>
      <c r="I117" s="3146"/>
      <c r="J117" s="3146"/>
      <c r="K117" s="3146"/>
      <c r="L117" s="3146"/>
      <c r="M117" s="3146"/>
      <c r="N117" s="3146"/>
      <c r="O117" s="3146"/>
      <c r="P117" s="3146"/>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1937</v>
      </c>
      <c r="B119" s="165" t="s">
        <v>3728</v>
      </c>
      <c r="D119" s="92"/>
      <c r="I119" s="92"/>
      <c r="J119" s="92"/>
      <c r="L119" s="374" t="str">
        <f>IF(OR($O119=$M119,$O119=0,$O119=""),"","* * Check Score! * *")</f>
        <v/>
      </c>
      <c r="M119" s="995">
        <v>3</v>
      </c>
      <c r="N119" s="455" t="s">
        <v>1937</v>
      </c>
      <c r="O119" s="2292">
        <v>3</v>
      </c>
      <c r="P119" s="4196"/>
      <c r="Q119" s="1477" t="str">
        <f>IF(OR($O119=$M119,$O119=0,$O119=""),"","*CHECK!*")</f>
        <v/>
      </c>
      <c r="R119" s="974" t="s">
        <v>4765</v>
      </c>
      <c r="S119" s="1023"/>
      <c r="T119" s="1023"/>
    </row>
    <row r="120" spans="1:20" s="102" customFormat="1" ht="10.5" customHeight="1">
      <c r="A120" s="178"/>
      <c r="B120" s="52" t="s">
        <v>4501</v>
      </c>
      <c r="D120" s="92"/>
      <c r="E120" s="52"/>
      <c r="F120" s="52"/>
      <c r="G120" s="52"/>
      <c r="H120" s="92"/>
      <c r="I120" s="92"/>
      <c r="J120" s="92"/>
      <c r="K120" s="92"/>
      <c r="L120" s="92"/>
      <c r="M120" s="995"/>
      <c r="N120" s="995"/>
      <c r="O120" s="2387" t="s">
        <v>2884</v>
      </c>
      <c r="P120" s="2393"/>
      <c r="Q120" s="1023"/>
      <c r="R120" s="1023"/>
      <c r="S120" s="1023"/>
      <c r="T120" s="1023"/>
    </row>
    <row r="121" spans="1:20" s="409" customFormat="1" ht="21" customHeight="1">
      <c r="A121" s="1780"/>
      <c r="B121" s="1421" t="s">
        <v>1938</v>
      </c>
      <c r="C121" s="136" t="s">
        <v>4610</v>
      </c>
      <c r="D121" s="3147" t="s">
        <v>4305</v>
      </c>
      <c r="E121" s="3147"/>
      <c r="F121" s="3147"/>
      <c r="G121" s="3145" t="s">
        <v>7111</v>
      </c>
      <c r="H121" s="3145"/>
      <c r="I121" s="3145"/>
      <c r="J121" s="3145"/>
      <c r="K121" s="3145"/>
      <c r="L121" s="3145"/>
      <c r="M121" s="3145"/>
      <c r="N121" s="3145"/>
      <c r="O121" s="3145"/>
      <c r="P121" s="3145"/>
      <c r="Q121" s="1729"/>
      <c r="R121" s="1729"/>
      <c r="S121" s="1729"/>
      <c r="T121" s="1729"/>
    </row>
    <row r="122" spans="1:20" s="102" customFormat="1" ht="10.5" customHeight="1">
      <c r="A122" s="178"/>
      <c r="B122" s="52"/>
      <c r="C122" s="36" t="s">
        <v>4614</v>
      </c>
      <c r="D122" s="92"/>
      <c r="E122" s="52"/>
      <c r="F122" s="52"/>
      <c r="G122" s="52"/>
      <c r="H122" s="92"/>
      <c r="I122" s="92"/>
      <c r="J122" s="92"/>
      <c r="K122" s="92"/>
      <c r="L122" s="92"/>
      <c r="M122" s="426"/>
      <c r="N122" s="986" t="s">
        <v>4806</v>
      </c>
      <c r="O122" s="2266" t="s">
        <v>2884</v>
      </c>
      <c r="P122" s="898"/>
      <c r="Q122" s="1023"/>
      <c r="R122" s="1023"/>
      <c r="S122" s="1023"/>
      <c r="T122" s="1023"/>
    </row>
    <row r="123" spans="1:20" s="36" customFormat="1" ht="10.5" customHeight="1">
      <c r="A123" s="63"/>
      <c r="B123" s="372"/>
      <c r="C123" s="36" t="s">
        <v>4615</v>
      </c>
      <c r="D123" s="52"/>
      <c r="E123" s="52"/>
      <c r="F123" s="52"/>
      <c r="G123" s="52"/>
      <c r="H123" s="52"/>
      <c r="I123" s="52"/>
      <c r="J123" s="52"/>
      <c r="K123" s="52"/>
      <c r="L123" s="52"/>
      <c r="M123" s="2390"/>
      <c r="N123" s="385" t="s">
        <v>2372</v>
      </c>
      <c r="O123" s="2257" t="s">
        <v>2884</v>
      </c>
      <c r="P123" s="519"/>
      <c r="Q123" s="1023"/>
      <c r="R123" s="1023"/>
      <c r="S123" s="1023"/>
      <c r="T123" s="1023"/>
    </row>
    <row r="124" spans="1:20" s="55" customFormat="1" ht="10.5" customHeight="1">
      <c r="A124" s="63"/>
      <c r="C124" s="55" t="s">
        <v>3803</v>
      </c>
      <c r="D124" s="412"/>
      <c r="E124" s="52"/>
      <c r="F124" s="52"/>
      <c r="G124" s="52"/>
      <c r="H124" s="412"/>
      <c r="J124" s="412"/>
      <c r="L124" s="2902" t="s">
        <v>3616</v>
      </c>
      <c r="M124" s="2902"/>
      <c r="N124" s="2902"/>
      <c r="O124" s="3140" t="s">
        <v>3615</v>
      </c>
      <c r="P124" s="3140"/>
      <c r="Q124" s="52"/>
    </row>
    <row r="125" spans="1:20" s="55" customFormat="1" ht="10.95" customHeight="1">
      <c r="A125" s="63"/>
      <c r="B125" s="373"/>
      <c r="C125" s="3014" t="s">
        <v>7125</v>
      </c>
      <c r="D125" s="3015"/>
      <c r="E125" s="3015"/>
      <c r="F125" s="3015"/>
      <c r="G125" s="3015"/>
      <c r="H125" s="3015"/>
      <c r="I125" s="3015"/>
      <c r="J125" s="3015"/>
      <c r="K125" s="3016"/>
      <c r="L125" s="3017" t="s">
        <v>7075</v>
      </c>
      <c r="M125" s="3017"/>
      <c r="N125" s="3017"/>
      <c r="O125" s="3018">
        <v>0</v>
      </c>
      <c r="P125" s="3018"/>
      <c r="Q125" s="1055" t="str">
        <f>IF(O125&gt;15, "Too much!","")</f>
        <v/>
      </c>
    </row>
    <row r="126" spans="1:20" s="55" customFormat="1" ht="10.95" customHeight="1">
      <c r="A126" s="63"/>
      <c r="B126" s="386"/>
      <c r="C126" s="3020" t="s">
        <v>7126</v>
      </c>
      <c r="D126" s="3021"/>
      <c r="E126" s="3021"/>
      <c r="F126" s="3021"/>
      <c r="G126" s="3021"/>
      <c r="H126" s="3021"/>
      <c r="I126" s="3021"/>
      <c r="J126" s="3021"/>
      <c r="K126" s="3022"/>
      <c r="L126" s="3012" t="s">
        <v>7075</v>
      </c>
      <c r="M126" s="3012"/>
      <c r="N126" s="3012"/>
      <c r="O126" s="3019">
        <v>0</v>
      </c>
      <c r="P126" s="3019"/>
      <c r="Q126" s="1055" t="str">
        <f>IF(O126&gt;15, "Too much!","")</f>
        <v/>
      </c>
    </row>
    <row r="127" spans="1:20" s="55" customFormat="1" ht="10.95" customHeight="1">
      <c r="A127" s="63"/>
      <c r="B127" s="373"/>
      <c r="C127" s="3020" t="s">
        <v>7127</v>
      </c>
      <c r="D127" s="3021"/>
      <c r="E127" s="3021"/>
      <c r="F127" s="3021"/>
      <c r="G127" s="3021"/>
      <c r="H127" s="3021"/>
      <c r="I127" s="3021"/>
      <c r="J127" s="3021"/>
      <c r="K127" s="3022"/>
      <c r="L127" s="3012" t="s">
        <v>7075</v>
      </c>
      <c r="M127" s="3012"/>
      <c r="N127" s="3012"/>
      <c r="O127" s="3019">
        <v>0</v>
      </c>
      <c r="P127" s="3019"/>
      <c r="Q127" s="1055" t="str">
        <f>IF(O127&gt;15, "Too much!","")</f>
        <v/>
      </c>
    </row>
    <row r="128" spans="1:20" s="55" customFormat="1" ht="10.95" customHeight="1">
      <c r="A128" s="63"/>
      <c r="B128" s="385"/>
      <c r="C128" s="3141"/>
      <c r="D128" s="3142"/>
      <c r="E128" s="3142"/>
      <c r="F128" s="3142"/>
      <c r="G128" s="3142"/>
      <c r="H128" s="3142"/>
      <c r="I128" s="3142"/>
      <c r="J128" s="3142"/>
      <c r="K128" s="3143"/>
      <c r="L128" s="3144"/>
      <c r="M128" s="3144"/>
      <c r="N128" s="3144"/>
      <c r="O128" s="3013"/>
      <c r="P128" s="3013"/>
      <c r="Q128" s="1055" t="str">
        <f>IF(O128&gt;15, "Too much!","")</f>
        <v/>
      </c>
    </row>
    <row r="129" spans="1:21" s="102" customFormat="1" ht="10.5" customHeight="1">
      <c r="B129" s="1503" t="s">
        <v>1940</v>
      </c>
      <c r="C129" s="66" t="s">
        <v>4611</v>
      </c>
      <c r="D129" s="36" t="s">
        <v>4616</v>
      </c>
      <c r="E129" s="52"/>
      <c r="F129" s="52"/>
      <c r="G129" s="52"/>
      <c r="H129" s="92"/>
      <c r="I129" s="92"/>
      <c r="J129" s="92"/>
      <c r="K129" s="92"/>
      <c r="L129" s="92"/>
      <c r="M129" s="92"/>
      <c r="N129" s="986" t="s">
        <v>4807</v>
      </c>
      <c r="O129" s="2256" t="s">
        <v>2884</v>
      </c>
      <c r="P129" s="518"/>
      <c r="Q129" s="483"/>
      <c r="R129" s="55"/>
      <c r="S129" s="55"/>
      <c r="T129" s="55"/>
      <c r="U129" s="55"/>
    </row>
    <row r="130" spans="1:21" s="102" customFormat="1" ht="10.5" customHeight="1" thickBot="1">
      <c r="A130" s="178"/>
      <c r="B130" s="52"/>
      <c r="D130" s="36" t="s">
        <v>4617</v>
      </c>
      <c r="E130" s="52"/>
      <c r="F130" s="52"/>
      <c r="G130" s="52"/>
      <c r="H130" s="92"/>
      <c r="I130" s="92"/>
      <c r="J130" s="92"/>
      <c r="K130" s="92"/>
      <c r="L130" s="92"/>
      <c r="M130" s="426"/>
      <c r="N130" s="385" t="s">
        <v>2372</v>
      </c>
      <c r="O130" s="2258" t="s">
        <v>2884</v>
      </c>
      <c r="P130" s="520"/>
      <c r="Q130" s="483"/>
      <c r="R130" s="55"/>
      <c r="S130" s="55"/>
      <c r="T130" s="55"/>
      <c r="U130" s="55"/>
    </row>
    <row r="131" spans="1:21" s="102" customFormat="1" ht="12.75" customHeight="1" thickBot="1">
      <c r="A131" s="178" t="s">
        <v>731</v>
      </c>
      <c r="B131" s="833" t="s">
        <v>3617</v>
      </c>
      <c r="D131" s="52"/>
      <c r="F131" s="52"/>
      <c r="G131" s="52"/>
      <c r="H131" s="52"/>
      <c r="I131" s="52"/>
      <c r="J131" s="52"/>
      <c r="K131" s="52"/>
      <c r="L131" s="374" t="str">
        <f>IF(OR($O131=$M131,$O131=0,$O131=""),"","* * Check Score! * *")</f>
        <v/>
      </c>
      <c r="M131" s="995">
        <v>1</v>
      </c>
      <c r="N131" s="1037" t="s">
        <v>731</v>
      </c>
      <c r="O131" s="2292">
        <v>1</v>
      </c>
      <c r="P131" s="4196"/>
      <c r="Q131" s="1477" t="str">
        <f>IF(OR($O131=$M131,$O131=0,$O131=""),"","*CHECK!*")</f>
        <v/>
      </c>
      <c r="R131" s="974" t="s">
        <v>4765</v>
      </c>
      <c r="S131" s="1023"/>
      <c r="T131" s="1023"/>
      <c r="U131" s="1023"/>
    </row>
    <row r="132" spans="1:21" s="36" customFormat="1" ht="10.5" customHeight="1">
      <c r="A132" s="63"/>
      <c r="C132" s="52" t="s">
        <v>4805</v>
      </c>
      <c r="D132" s="1135"/>
      <c r="E132" s="1135"/>
      <c r="F132" s="1135"/>
      <c r="G132" s="1135"/>
      <c r="H132" s="1135"/>
      <c r="I132" s="1135"/>
      <c r="J132" s="1135"/>
      <c r="K132" s="1135"/>
      <c r="L132" s="1135"/>
      <c r="M132" s="2390"/>
      <c r="N132" s="52"/>
      <c r="O132" s="2387" t="s">
        <v>7035</v>
      </c>
      <c r="P132" s="2393"/>
      <c r="Q132" s="52"/>
      <c r="R132" s="1023"/>
      <c r="S132" s="1023"/>
      <c r="T132" s="1023"/>
      <c r="U132" s="1023"/>
    </row>
    <row r="133" spans="1:21" s="36" customFormat="1" ht="10.5" customHeight="1">
      <c r="A133" s="63"/>
      <c r="B133" s="1503" t="s">
        <v>1938</v>
      </c>
      <c r="C133" s="2710" t="s">
        <v>4612</v>
      </c>
      <c r="D133" s="2710"/>
      <c r="E133" s="2710"/>
      <c r="F133" s="1135"/>
      <c r="G133" s="856" t="s">
        <v>4811</v>
      </c>
      <c r="I133" s="1135"/>
      <c r="J133" s="1135"/>
      <c r="K133" s="1135"/>
      <c r="L133" s="1135"/>
      <c r="M133" s="64"/>
      <c r="N133" s="986" t="s">
        <v>4806</v>
      </c>
      <c r="O133" s="2266" t="s">
        <v>2884</v>
      </c>
      <c r="P133" s="898"/>
      <c r="Q133" s="52"/>
      <c r="R133" s="1023"/>
      <c r="S133" s="1023"/>
      <c r="T133" s="1023"/>
      <c r="U133" s="1023"/>
    </row>
    <row r="134" spans="1:21" s="36" customFormat="1" ht="10.5" customHeight="1">
      <c r="A134" s="63"/>
      <c r="B134" s="372"/>
      <c r="C134" s="2710"/>
      <c r="D134" s="2710"/>
      <c r="E134" s="2710"/>
      <c r="F134" s="1135"/>
      <c r="G134" s="856" t="s">
        <v>4808</v>
      </c>
      <c r="I134" s="1135"/>
      <c r="J134" s="1135"/>
      <c r="K134" s="1135"/>
      <c r="L134" s="1135"/>
      <c r="M134" s="2390"/>
      <c r="N134" s="385" t="s">
        <v>2372</v>
      </c>
      <c r="O134" s="2257" t="s">
        <v>2884</v>
      </c>
      <c r="P134" s="519"/>
      <c r="Q134" s="52"/>
      <c r="R134" s="1023"/>
      <c r="S134" s="1023"/>
      <c r="T134" s="1023"/>
      <c r="U134" s="1023"/>
    </row>
    <row r="135" spans="1:21" s="36" customFormat="1" ht="10.5" customHeight="1">
      <c r="A135" s="64"/>
      <c r="B135" s="372"/>
      <c r="C135" s="2710"/>
      <c r="D135" s="2710"/>
      <c r="E135" s="2710"/>
      <c r="F135" s="1135"/>
      <c r="G135" s="856" t="s">
        <v>4809</v>
      </c>
      <c r="I135" s="1135"/>
      <c r="J135" s="1135"/>
      <c r="K135" s="1135"/>
      <c r="L135" s="1135"/>
      <c r="M135" s="2390"/>
      <c r="N135" s="385" t="s">
        <v>2373</v>
      </c>
      <c r="O135" s="2257" t="s">
        <v>2884</v>
      </c>
      <c r="P135" s="519"/>
      <c r="Q135" s="52"/>
      <c r="R135" s="1023"/>
      <c r="S135" s="1023"/>
      <c r="T135" s="1023"/>
      <c r="U135" s="1023"/>
    </row>
    <row r="136" spans="1:21" s="36" customFormat="1" ht="10.5" customHeight="1">
      <c r="A136" s="63"/>
      <c r="B136" s="372"/>
      <c r="D136" s="1135"/>
      <c r="E136" s="1135"/>
      <c r="F136" s="1135"/>
      <c r="G136" s="856" t="s">
        <v>4810</v>
      </c>
      <c r="I136" s="1135"/>
      <c r="J136" s="1135"/>
      <c r="K136" s="1135"/>
      <c r="L136" s="1135"/>
      <c r="M136" s="2390"/>
      <c r="N136" s="385" t="s">
        <v>2374</v>
      </c>
      <c r="O136" s="2257" t="s">
        <v>2884</v>
      </c>
      <c r="P136" s="519"/>
      <c r="Q136" s="52"/>
      <c r="R136" s="1023"/>
      <c r="S136" s="1023"/>
      <c r="T136" s="1023"/>
      <c r="U136" s="1023"/>
    </row>
    <row r="137" spans="1:21" s="36" customFormat="1" ht="10.5" customHeight="1">
      <c r="A137" s="63"/>
      <c r="B137" s="372"/>
      <c r="D137" s="1135"/>
      <c r="E137" s="1135"/>
      <c r="F137" s="1135"/>
      <c r="G137" s="856" t="s">
        <v>4812</v>
      </c>
      <c r="I137" s="1135"/>
      <c r="J137" s="1135"/>
      <c r="K137" s="1135"/>
      <c r="L137" s="1135"/>
      <c r="M137" s="2390"/>
      <c r="N137" s="385" t="s">
        <v>2375</v>
      </c>
      <c r="O137" s="2258" t="s">
        <v>2884</v>
      </c>
      <c r="P137" s="520"/>
      <c r="Q137" s="52"/>
    </row>
    <row r="138" spans="1:21" s="36" customFormat="1" ht="10.5" customHeight="1">
      <c r="A138" s="63"/>
      <c r="C138" s="52" t="s">
        <v>4813</v>
      </c>
      <c r="D138" s="1135"/>
      <c r="E138" s="1135"/>
      <c r="F138" s="1135"/>
      <c r="G138" s="1135"/>
      <c r="H138" s="1135"/>
      <c r="I138" s="1135"/>
      <c r="J138" s="1135"/>
      <c r="K138" s="1135"/>
      <c r="L138" s="1135"/>
      <c r="M138" s="2390"/>
      <c r="N138" s="52"/>
      <c r="O138" s="2387" t="s">
        <v>7035</v>
      </c>
      <c r="P138" s="2393"/>
      <c r="Q138" s="52"/>
      <c r="R138" s="1023"/>
      <c r="S138" s="1023"/>
      <c r="T138" s="1023"/>
      <c r="U138" s="1023"/>
    </row>
    <row r="139" spans="1:21" s="36" customFormat="1" ht="10.5" customHeight="1">
      <c r="A139" s="63"/>
      <c r="B139" s="1503" t="s">
        <v>1940</v>
      </c>
      <c r="C139" s="856" t="s">
        <v>4613</v>
      </c>
      <c r="D139" s="1135"/>
      <c r="E139" s="1135"/>
      <c r="F139" s="1135"/>
      <c r="G139" s="1135"/>
      <c r="H139" s="1135"/>
      <c r="I139" s="1135"/>
      <c r="J139" s="1135"/>
      <c r="K139" s="1135"/>
      <c r="L139" s="1135"/>
      <c r="M139" s="64"/>
      <c r="N139" s="1037" t="s">
        <v>1940</v>
      </c>
      <c r="O139" s="2259" t="s">
        <v>2884</v>
      </c>
      <c r="P139" s="517"/>
      <c r="Q139" s="52"/>
    </row>
    <row r="140" spans="1:21" s="55" customFormat="1" ht="10.5" customHeight="1">
      <c r="A140" s="63"/>
      <c r="B140" s="435"/>
      <c r="C140" s="55" t="s">
        <v>3624</v>
      </c>
      <c r="D140" s="412"/>
      <c r="E140" s="52"/>
      <c r="F140" s="52"/>
      <c r="G140" s="55" t="s">
        <v>3805</v>
      </c>
      <c r="H140" s="412"/>
      <c r="M140" s="58"/>
      <c r="N140" s="58"/>
      <c r="O140" s="58"/>
      <c r="P140" s="58"/>
      <c r="Q140" s="52"/>
    </row>
    <row r="141" spans="1:21" s="55" customFormat="1" ht="21" customHeight="1">
      <c r="B141" s="373"/>
      <c r="C141" s="3014" t="s">
        <v>7079</v>
      </c>
      <c r="D141" s="3015"/>
      <c r="E141" s="3015"/>
      <c r="F141" s="3016"/>
      <c r="G141" s="3137" t="s">
        <v>7080</v>
      </c>
      <c r="H141" s="3138"/>
      <c r="I141" s="3138"/>
      <c r="J141" s="3138"/>
      <c r="K141" s="3138"/>
      <c r="L141" s="3138"/>
      <c r="M141" s="3138"/>
      <c r="N141" s="3138"/>
      <c r="O141" s="3138"/>
      <c r="P141" s="3139"/>
      <c r="Q141" s="52"/>
    </row>
    <row r="142" spans="1:21" s="55" customFormat="1" ht="21" customHeight="1">
      <c r="A142" s="63"/>
      <c r="B142" s="386"/>
      <c r="C142" s="3020" t="s">
        <v>7078</v>
      </c>
      <c r="D142" s="3021"/>
      <c r="E142" s="3021"/>
      <c r="F142" s="3022"/>
      <c r="G142" s="3020" t="s">
        <v>7081</v>
      </c>
      <c r="H142" s="3021"/>
      <c r="I142" s="3021"/>
      <c r="J142" s="3021"/>
      <c r="K142" s="3021"/>
      <c r="L142" s="3021"/>
      <c r="M142" s="3021"/>
      <c r="N142" s="3021"/>
      <c r="O142" s="3021"/>
      <c r="P142" s="3022"/>
      <c r="Q142" s="52"/>
    </row>
    <row r="143" spans="1:21" s="55" customFormat="1" ht="21" customHeight="1">
      <c r="B143" s="1604"/>
      <c r="C143" s="3020" t="s">
        <v>7077</v>
      </c>
      <c r="D143" s="3021"/>
      <c r="E143" s="3021"/>
      <c r="F143" s="3022"/>
      <c r="G143" s="3020" t="s">
        <v>7076</v>
      </c>
      <c r="H143" s="3021"/>
      <c r="I143" s="3021"/>
      <c r="J143" s="3021"/>
      <c r="K143" s="3021"/>
      <c r="L143" s="3021"/>
      <c r="M143" s="3021"/>
      <c r="N143" s="3021"/>
      <c r="O143" s="3021"/>
      <c r="P143" s="3022"/>
      <c r="Q143" s="52"/>
    </row>
    <row r="144" spans="1:21" s="55" customFormat="1" ht="21" customHeight="1">
      <c r="A144" s="1604"/>
      <c r="B144" s="1604"/>
      <c r="C144" s="3141"/>
      <c r="D144" s="3142"/>
      <c r="E144" s="3142"/>
      <c r="F144" s="3143"/>
      <c r="G144" s="3141"/>
      <c r="H144" s="3142"/>
      <c r="I144" s="3142"/>
      <c r="J144" s="3142"/>
      <c r="K144" s="3142"/>
      <c r="L144" s="3142"/>
      <c r="M144" s="3142"/>
      <c r="N144" s="3142"/>
      <c r="O144" s="3142"/>
      <c r="P144" s="3143"/>
      <c r="Q144" s="52"/>
    </row>
    <row r="145" spans="1:27" s="43" customFormat="1" ht="11.25" customHeight="1" thickBot="1">
      <c r="A145" s="42"/>
      <c r="B145" s="1132" t="s">
        <v>3566</v>
      </c>
      <c r="C145" s="42"/>
      <c r="D145" s="48"/>
      <c r="E145" s="48"/>
      <c r="F145" s="48"/>
      <c r="G145" s="48"/>
      <c r="H145" s="36"/>
      <c r="K145" s="48"/>
      <c r="M145" s="46"/>
      <c r="N145" s="62"/>
      <c r="O145" s="3"/>
      <c r="P145" s="2377"/>
    </row>
    <row r="146" spans="1:27" s="43" customFormat="1" ht="47.25" customHeight="1" thickTop="1" thickBot="1">
      <c r="A146" s="2940" t="s">
        <v>7128</v>
      </c>
      <c r="B146" s="2941"/>
      <c r="C146" s="2941"/>
      <c r="D146" s="2941"/>
      <c r="E146" s="2941"/>
      <c r="F146" s="2941"/>
      <c r="G146" s="2941"/>
      <c r="H146" s="2941"/>
      <c r="I146" s="2941"/>
      <c r="J146" s="2941"/>
      <c r="K146" s="2941"/>
      <c r="L146" s="2941"/>
      <c r="M146" s="2941"/>
      <c r="N146" s="2941"/>
      <c r="O146" s="2941"/>
      <c r="P146" s="2942"/>
      <c r="Q146" s="1027" t="s">
        <v>1228</v>
      </c>
      <c r="R146" s="441"/>
    </row>
    <row r="147" spans="1:27" s="43" customFormat="1" ht="10.199999999999999" customHeight="1" thickTop="1">
      <c r="B147" s="1605" t="s">
        <v>3818</v>
      </c>
      <c r="C147" s="98"/>
      <c r="D147" s="85"/>
      <c r="E147" s="99"/>
      <c r="F147" s="2378"/>
      <c r="G147" s="2378"/>
      <c r="H147" s="2378"/>
      <c r="I147" s="2378"/>
      <c r="J147" s="2378"/>
      <c r="K147" s="2378"/>
      <c r="L147" s="2378"/>
      <c r="M147" s="2378"/>
      <c r="N147" s="74"/>
      <c r="O147" s="70"/>
      <c r="P147" s="2375"/>
      <c r="Q147" s="422"/>
    </row>
    <row r="148" spans="1:27" s="43" customFormat="1" ht="11.25" customHeight="1">
      <c r="A148" s="2877"/>
      <c r="B148" s="2878"/>
      <c r="C148" s="2878"/>
      <c r="D148" s="2878"/>
      <c r="E148" s="2878"/>
      <c r="F148" s="2878"/>
      <c r="G148" s="2878"/>
      <c r="H148" s="2878"/>
      <c r="I148" s="2878"/>
      <c r="J148" s="2878"/>
      <c r="K148" s="2878"/>
      <c r="L148" s="2878"/>
      <c r="M148" s="2878"/>
      <c r="N148" s="2878"/>
      <c r="O148" s="2878"/>
      <c r="P148" s="2879"/>
      <c r="Q148" s="440"/>
    </row>
    <row r="149" spans="1:27" s="43" customFormat="1" ht="3" customHeight="1" thickBot="1">
      <c r="A149" s="42"/>
      <c r="C149" s="2378"/>
      <c r="D149" s="2378"/>
      <c r="E149" s="2378"/>
      <c r="F149" s="2378"/>
      <c r="G149" s="2378"/>
      <c r="H149" s="2378"/>
      <c r="I149" s="2378"/>
      <c r="J149" s="2378"/>
      <c r="K149" s="2378"/>
      <c r="L149" s="2378"/>
      <c r="M149" s="2378"/>
      <c r="N149" s="74"/>
      <c r="O149" s="70"/>
      <c r="P149" s="846"/>
    </row>
    <row r="150" spans="1:27" s="43" customFormat="1" ht="13.5" customHeight="1" thickBot="1">
      <c r="A150" s="152" t="s">
        <v>516</v>
      </c>
      <c r="B150" s="106" t="s">
        <v>3714</v>
      </c>
      <c r="C150" s="2378"/>
      <c r="D150" s="2378"/>
      <c r="E150" s="2378"/>
      <c r="F150" s="2378"/>
      <c r="G150" s="2378"/>
      <c r="H150" s="2378"/>
      <c r="I150" s="2378"/>
      <c r="J150" s="2378"/>
      <c r="K150" s="2378"/>
      <c r="L150" s="2378"/>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78"/>
      <c r="D151" s="2378"/>
      <c r="E151" s="2378"/>
      <c r="F151" s="2378"/>
      <c r="G151" s="2378"/>
      <c r="H151" s="2378"/>
      <c r="I151" s="2378"/>
      <c r="J151" s="2378"/>
      <c r="K151" s="2378"/>
      <c r="L151" s="2378"/>
      <c r="M151" s="2378"/>
      <c r="N151" s="74"/>
      <c r="O151" s="70"/>
      <c r="P151" s="846"/>
    </row>
    <row r="152" spans="1:27" s="102" customFormat="1" ht="13.5" customHeight="1">
      <c r="A152" s="178" t="s">
        <v>1935</v>
      </c>
      <c r="B152" s="10" t="s">
        <v>3729</v>
      </c>
      <c r="C152" s="92"/>
      <c r="D152" s="1038"/>
      <c r="E152" s="1038"/>
      <c r="G152" s="1063"/>
      <c r="H152" s="1063"/>
      <c r="I152" s="1063"/>
      <c r="J152" s="1063"/>
      <c r="K152" s="1063"/>
      <c r="L152" s="1063"/>
      <c r="M152" s="426">
        <v>3</v>
      </c>
      <c r="N152" s="174"/>
      <c r="O152" s="2294"/>
      <c r="P152" s="4198"/>
      <c r="Q152" s="1477" t="str">
        <f>IF(OR($O152=$M152,$O152=0,$O152=""),"","*CHECK!*")</f>
        <v/>
      </c>
      <c r="R152" s="974" t="s">
        <v>4765</v>
      </c>
    </row>
    <row r="153" spans="1:27" s="43" customFormat="1" ht="12" customHeight="1">
      <c r="B153" s="40" t="s">
        <v>3620</v>
      </c>
      <c r="C153" s="424"/>
      <c r="D153" s="424"/>
      <c r="E153" s="424"/>
      <c r="F153" s="424"/>
      <c r="G153" s="424"/>
      <c r="H153" s="424"/>
      <c r="I153" s="424"/>
      <c r="J153" s="424"/>
      <c r="K153" s="424"/>
      <c r="L153" s="424"/>
      <c r="M153" s="424"/>
      <c r="N153" s="424"/>
      <c r="O153" s="2254"/>
      <c r="P153" s="516"/>
      <c r="Q153" s="3180" t="s">
        <v>4591</v>
      </c>
      <c r="R153" s="3180"/>
      <c r="S153" s="3180"/>
      <c r="T153" s="3180"/>
      <c r="U153" s="3180"/>
      <c r="V153" s="3180"/>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180"/>
      <c r="R154" s="3180"/>
      <c r="S154" s="3180"/>
      <c r="T154" s="3180"/>
      <c r="U154" s="3180"/>
      <c r="V154" s="3180"/>
      <c r="W154" s="1731"/>
    </row>
    <row r="155" spans="1:27" s="43" customFormat="1" ht="11.25" customHeight="1">
      <c r="A155" s="138"/>
      <c r="B155" s="3096" t="s">
        <v>4502</v>
      </c>
      <c r="C155" s="3096"/>
      <c r="D155" s="3096"/>
      <c r="E155" s="52" t="s">
        <v>3619</v>
      </c>
      <c r="F155" s="102"/>
      <c r="G155" s="52"/>
      <c r="H155" s="102"/>
      <c r="I155" s="2763"/>
      <c r="J155" s="2764"/>
      <c r="K155" s="2764"/>
      <c r="L155" s="2765"/>
      <c r="Q155" s="3180"/>
      <c r="R155" s="3180"/>
      <c r="S155" s="3180"/>
      <c r="T155" s="3180"/>
      <c r="U155" s="3180"/>
      <c r="V155" s="3180"/>
      <c r="W155" s="1731"/>
    </row>
    <row r="156" spans="1:27" s="43" customFormat="1" ht="11.25" customHeight="1">
      <c r="A156" s="138"/>
      <c r="B156" s="3096"/>
      <c r="C156" s="3096"/>
      <c r="D156" s="3096"/>
      <c r="E156" s="40" t="s">
        <v>4307</v>
      </c>
      <c r="F156" s="374"/>
      <c r="G156" s="102"/>
      <c r="H156" s="102"/>
      <c r="I156" s="40"/>
      <c r="J156" s="2392"/>
      <c r="K156" s="2392"/>
      <c r="L156" s="2392"/>
      <c r="M156" s="102"/>
      <c r="N156" s="1065"/>
      <c r="O156" s="2254"/>
      <c r="P156" s="516"/>
      <c r="Q156" s="3180"/>
      <c r="R156" s="3180"/>
      <c r="S156" s="3180"/>
      <c r="T156" s="3180"/>
      <c r="U156" s="3180"/>
      <c r="V156" s="3180"/>
      <c r="W156" s="1731"/>
    </row>
    <row r="157" spans="1:27" s="43" customFormat="1" ht="12" customHeight="1">
      <c r="A157" s="42"/>
      <c r="C157" s="2378"/>
      <c r="D157" s="2378"/>
      <c r="E157" s="52" t="s">
        <v>4308</v>
      </c>
      <c r="F157" s="1506" t="str">
        <f>'Part I-Project Information'!$H$82</f>
        <v>Family</v>
      </c>
      <c r="H157" s="1505"/>
      <c r="I157" s="2378"/>
      <c r="J157" s="2378"/>
      <c r="M157" s="2378"/>
      <c r="N157" s="74"/>
      <c r="O157" s="3153" t="s">
        <v>4760</v>
      </c>
      <c r="P157" s="3153"/>
      <c r="Q157" s="3180"/>
      <c r="R157" s="3180"/>
      <c r="S157" s="3180"/>
      <c r="T157" s="3180"/>
      <c r="U157" s="3180"/>
      <c r="V157" s="3180"/>
      <c r="W157" s="1731"/>
    </row>
    <row r="158" spans="1:27" s="55" customFormat="1" ht="3" customHeight="1">
      <c r="A158" s="861"/>
      <c r="B158" s="424"/>
      <c r="O158" s="3154"/>
      <c r="P158" s="3154"/>
      <c r="Q158" s="3180"/>
      <c r="R158" s="3180"/>
      <c r="S158" s="3180"/>
      <c r="T158" s="3180"/>
      <c r="U158" s="3180"/>
      <c r="V158" s="3180"/>
      <c r="W158" s="1731"/>
    </row>
    <row r="159" spans="1:27" s="43" customFormat="1" ht="12" customHeight="1">
      <c r="A159" s="373" t="s">
        <v>2371</v>
      </c>
      <c r="B159" s="110" t="s">
        <v>4503</v>
      </c>
      <c r="C159" s="2378"/>
      <c r="D159" s="2378"/>
      <c r="E159" s="52"/>
      <c r="F159" s="1419"/>
      <c r="G159" s="1419"/>
      <c r="I159" s="2378"/>
      <c r="J159" s="2378"/>
      <c r="K159" s="2378"/>
      <c r="L159" s="2378"/>
      <c r="M159" s="3166" t="s">
        <v>4306</v>
      </c>
      <c r="N159" s="74"/>
      <c r="O159" s="3154"/>
      <c r="P159" s="3154"/>
      <c r="Q159" s="3180"/>
      <c r="R159" s="3180"/>
      <c r="S159" s="3180"/>
      <c r="T159" s="3180"/>
      <c r="U159" s="3180"/>
      <c r="V159" s="3180"/>
      <c r="Y159" s="3179" t="s">
        <v>4781</v>
      </c>
      <c r="Z159" s="3179"/>
      <c r="AA159" s="3179"/>
    </row>
    <row r="160" spans="1:27" s="55" customFormat="1" ht="3" customHeight="1">
      <c r="A160" s="861"/>
      <c r="B160" s="424"/>
      <c r="M160" s="3166"/>
      <c r="O160" s="3154"/>
      <c r="P160" s="3154"/>
      <c r="R160" s="1730"/>
      <c r="S160" s="412"/>
      <c r="T160" s="1730"/>
      <c r="U160" s="412"/>
      <c r="V160" s="43"/>
      <c r="W160" s="43"/>
    </row>
    <row r="161" spans="1:36" s="43" customFormat="1" ht="13.5" customHeight="1">
      <c r="A161" s="3190" t="s">
        <v>4761</v>
      </c>
      <c r="B161" s="3190"/>
      <c r="C161" s="3190"/>
      <c r="D161" s="3190"/>
      <c r="E161" s="3190"/>
      <c r="F161" s="3190"/>
      <c r="G161" s="3191"/>
      <c r="H161" s="3163" t="s">
        <v>3646</v>
      </c>
      <c r="I161" s="3164"/>
      <c r="J161" s="3165"/>
      <c r="K161" s="3166" t="s">
        <v>3618</v>
      </c>
      <c r="L161" s="2697" t="s">
        <v>4752</v>
      </c>
      <c r="M161" s="3166"/>
      <c r="N161" s="1436"/>
      <c r="O161" s="3154"/>
      <c r="P161" s="3154"/>
      <c r="Q161" s="3181" t="s">
        <v>4748</v>
      </c>
      <c r="R161" s="3181" t="s">
        <v>4751</v>
      </c>
      <c r="S161" s="3181" t="s">
        <v>4749</v>
      </c>
      <c r="T161" s="3181" t="s">
        <v>4750</v>
      </c>
      <c r="U161" s="3181" t="s">
        <v>4467</v>
      </c>
      <c r="V161" s="3181" t="s">
        <v>4466</v>
      </c>
      <c r="X161" s="102"/>
      <c r="Y161" s="1742" t="s">
        <v>4780</v>
      </c>
      <c r="Z161" s="1743" t="s">
        <v>4782</v>
      </c>
      <c r="AA161" s="1743" t="s">
        <v>4783</v>
      </c>
    </row>
    <row r="162" spans="1:36" s="43" customFormat="1" ht="15" customHeight="1">
      <c r="B162" s="481" t="s">
        <v>4784</v>
      </c>
      <c r="C162" s="2392"/>
      <c r="E162" s="1744" t="s">
        <v>4785</v>
      </c>
      <c r="F162" s="1726" t="s">
        <v>4759</v>
      </c>
      <c r="G162" s="1726" t="s">
        <v>3282</v>
      </c>
      <c r="H162" s="2385">
        <v>2017</v>
      </c>
      <c r="I162" s="2385">
        <v>2018</v>
      </c>
      <c r="J162" s="2385">
        <v>2019</v>
      </c>
      <c r="K162" s="2475"/>
      <c r="L162" s="3186"/>
      <c r="M162" s="2475"/>
      <c r="N162" s="1436"/>
      <c r="O162" s="3070"/>
      <c r="P162" s="3070"/>
      <c r="Q162" s="3181"/>
      <c r="R162" s="3181"/>
      <c r="S162" s="3181"/>
      <c r="T162" s="3181"/>
      <c r="U162" s="3181"/>
      <c r="V162" s="3181"/>
      <c r="X162" s="1742" t="s">
        <v>4778</v>
      </c>
      <c r="Y162" s="1128">
        <v>75.930000000000007</v>
      </c>
      <c r="Z162" s="1128">
        <v>73.77</v>
      </c>
      <c r="AA162" s="1128">
        <v>76.430000000000007</v>
      </c>
      <c r="AB162" s="2395"/>
      <c r="AD162" s="2395"/>
      <c r="AE162" s="2395"/>
      <c r="AF162" s="2395"/>
      <c r="AG162" s="2395"/>
      <c r="AH162" s="2395"/>
      <c r="AI162" s="2395"/>
      <c r="AJ162" s="2395"/>
    </row>
    <row r="163" spans="1:36" s="43" customFormat="1" ht="12" customHeight="1">
      <c r="A163" s="1733" t="str">
        <f>IF(OR(M163="Yes", O163="Yes", AND(B163="",F163="",G163="",H163="",I163="",J163="",L163="",O163="")),"", IF(AND(NOT(B163=""),OR(O163="",O163="No",O163="N/a"),OR(F163="",G163=""),AND(H163="",I163="",J163=""),L163=""),"Finish!","Check"))</f>
        <v/>
      </c>
      <c r="B163" s="3187"/>
      <c r="C163" s="3188"/>
      <c r="D163" s="3189"/>
      <c r="E163" s="2295" t="s">
        <v>4376</v>
      </c>
      <c r="F163" s="2296"/>
      <c r="G163" s="2297"/>
      <c r="H163" s="2298"/>
      <c r="I163" s="2299"/>
      <c r="J163" s="2299"/>
      <c r="K163" s="1609" t="str">
        <f t="shared" ref="K163:K172" si="0">IF(H163+I163+J163=0,"",AVERAGE(H163,I163,J163))</f>
        <v/>
      </c>
      <c r="L163" s="2300"/>
      <c r="M163" s="1606" t="str">
        <f>IF(OR(K163="",L163=""),"",IF(K163&gt;L163,"Yes",IF(K163&lt;L163,"No","")))</f>
        <v/>
      </c>
      <c r="O163" s="2256"/>
      <c r="P163" s="518"/>
      <c r="Q163" s="447">
        <f>IF(AND(B163="",F163="",G163="",H163="",I163="",J163="",L163="",O163=""),0,1)</f>
        <v>0</v>
      </c>
      <c r="R163" s="3182">
        <f>SUM(Q163:Q172)</f>
        <v>0</v>
      </c>
      <c r="S163" s="1732">
        <f t="shared" ref="S163:S172" si="1">IF(AND(M163="",NOT(O163="Yes")),0,1)</f>
        <v>0</v>
      </c>
      <c r="T163" s="3182">
        <f>SUM(S163:S172)</f>
        <v>0</v>
      </c>
      <c r="U163" s="1732">
        <f t="shared" ref="U163:U172" si="2">IF(OR(M163="Yes",O163="Yes"),1,0)</f>
        <v>0</v>
      </c>
      <c r="V163" s="3182">
        <f>SUM(U163:U172)</f>
        <v>0</v>
      </c>
      <c r="X163" s="1742" t="s">
        <v>4779</v>
      </c>
      <c r="Y163" s="1128">
        <v>77.45</v>
      </c>
      <c r="Z163" s="1128">
        <v>74.150000000000006</v>
      </c>
      <c r="AA163" s="1128">
        <v>76.150000000000006</v>
      </c>
      <c r="AB163" s="2395"/>
      <c r="AD163" s="2395"/>
      <c r="AE163" s="2395"/>
      <c r="AF163" s="2395"/>
      <c r="AG163" s="2395"/>
      <c r="AH163" s="2395"/>
      <c r="AI163" s="2395"/>
      <c r="AJ163" s="2395"/>
    </row>
    <row r="164" spans="1:36" s="43" customFormat="1" ht="12" customHeight="1">
      <c r="A164" s="1733" t="str">
        <f t="shared" ref="A164:A172" si="3">IF(OR(M164="Yes", O164="Yes", AND(B164="",F164="",G164="",H164="",I164="",J164="",L164="",O164="")),"", IF(AND(NOT(B164=""),OR(O164="",O164="No",O164="N/a"),OR(F164="",G164=""),AND(H164="",I164="",J164=""),L164=""),"Finish!","Check"))</f>
        <v/>
      </c>
      <c r="B164" s="3183"/>
      <c r="C164" s="3184"/>
      <c r="D164" s="3185"/>
      <c r="E164" s="2301" t="s">
        <v>4376</v>
      </c>
      <c r="F164" s="2302"/>
      <c r="G164" s="2303"/>
      <c r="H164" s="2304"/>
      <c r="I164" s="2305"/>
      <c r="J164" s="2305"/>
      <c r="K164" s="1610" t="str">
        <f t="shared" si="0"/>
        <v/>
      </c>
      <c r="L164" s="2306"/>
      <c r="M164" s="1607" t="str">
        <f>IF(L164="","",IF(K164&gt;L164,"Yes",IF(K164&lt;L164,"No","")))</f>
        <v/>
      </c>
      <c r="O164" s="2257"/>
      <c r="P164" s="519"/>
      <c r="Q164" s="447">
        <f t="shared" ref="Q164:Q172" si="4">IF(AND(B164="",F164="",G164="",H164="",I164="",J164="",L164="",O164=""),0,1)</f>
        <v>0</v>
      </c>
      <c r="R164" s="3182"/>
      <c r="S164" s="1732">
        <f t="shared" si="1"/>
        <v>0</v>
      </c>
      <c r="T164" s="3182"/>
      <c r="U164" s="1732">
        <f t="shared" si="2"/>
        <v>0</v>
      </c>
      <c r="V164" s="3182"/>
      <c r="X164" s="1742">
        <v>2019</v>
      </c>
      <c r="Y164" s="1128">
        <v>77.099999999999994</v>
      </c>
      <c r="Z164" s="1128">
        <v>72.099999999999994</v>
      </c>
      <c r="AA164" s="1128">
        <v>77</v>
      </c>
      <c r="AB164" s="2395"/>
      <c r="AC164" s="2395"/>
      <c r="AD164" s="2395"/>
      <c r="AE164" s="2395"/>
      <c r="AF164" s="2395"/>
      <c r="AG164" s="2395"/>
      <c r="AH164" s="2395"/>
      <c r="AI164" s="2395"/>
      <c r="AJ164" s="2395"/>
    </row>
    <row r="165" spans="1:36" s="43" customFormat="1" ht="12" customHeight="1">
      <c r="A165" s="1733" t="str">
        <f t="shared" si="3"/>
        <v/>
      </c>
      <c r="B165" s="3183"/>
      <c r="C165" s="3184"/>
      <c r="D165" s="3185"/>
      <c r="E165" s="2301" t="s">
        <v>4376</v>
      </c>
      <c r="F165" s="2302"/>
      <c r="G165" s="2303"/>
      <c r="H165" s="2304"/>
      <c r="I165" s="2305"/>
      <c r="J165" s="2305"/>
      <c r="K165" s="1610" t="str">
        <f t="shared" si="0"/>
        <v/>
      </c>
      <c r="L165" s="2306"/>
      <c r="M165" s="1607" t="str">
        <f t="shared" ref="M165:M172" si="5">IF(L165="","",IF(K165&gt;L165,"Yes",IF(K165&lt;L165,"No","")))</f>
        <v/>
      </c>
      <c r="O165" s="2257"/>
      <c r="P165" s="519"/>
      <c r="Q165" s="447">
        <f t="shared" si="4"/>
        <v>0</v>
      </c>
      <c r="R165" s="3182"/>
      <c r="S165" s="1732">
        <f t="shared" si="1"/>
        <v>0</v>
      </c>
      <c r="T165" s="3182"/>
      <c r="U165" s="1732">
        <f t="shared" si="2"/>
        <v>0</v>
      </c>
      <c r="V165" s="3182"/>
      <c r="Y165" s="2395"/>
      <c r="Z165" s="2395"/>
      <c r="AA165" s="2395"/>
      <c r="AB165" s="2395"/>
      <c r="AC165" s="2395"/>
      <c r="AD165" s="2395"/>
      <c r="AE165" s="2395"/>
      <c r="AF165" s="2395"/>
      <c r="AG165" s="2395"/>
      <c r="AH165" s="2395"/>
      <c r="AI165" s="2395"/>
      <c r="AJ165" s="2395"/>
    </row>
    <row r="166" spans="1:36" s="43" customFormat="1" ht="12" customHeight="1">
      <c r="A166" s="1733" t="str">
        <f t="shared" si="3"/>
        <v/>
      </c>
      <c r="B166" s="3183"/>
      <c r="C166" s="3184"/>
      <c r="D166" s="3185"/>
      <c r="E166" s="2301" t="s">
        <v>4376</v>
      </c>
      <c r="F166" s="2302"/>
      <c r="G166" s="2303"/>
      <c r="H166" s="2304"/>
      <c r="I166" s="2305"/>
      <c r="J166" s="2305"/>
      <c r="K166" s="1610" t="str">
        <f t="shared" si="0"/>
        <v/>
      </c>
      <c r="L166" s="2306"/>
      <c r="M166" s="1607" t="str">
        <f t="shared" si="5"/>
        <v/>
      </c>
      <c r="O166" s="2257"/>
      <c r="P166" s="519"/>
      <c r="Q166" s="447">
        <f t="shared" si="4"/>
        <v>0</v>
      </c>
      <c r="R166" s="3182"/>
      <c r="S166" s="1732">
        <f t="shared" si="1"/>
        <v>0</v>
      </c>
      <c r="T166" s="3182"/>
      <c r="U166" s="1732">
        <f t="shared" si="2"/>
        <v>0</v>
      </c>
      <c r="V166" s="3182"/>
      <c r="Y166" s="2395"/>
      <c r="Z166" s="2395"/>
      <c r="AA166" s="2395"/>
      <c r="AB166" s="2395"/>
      <c r="AC166" s="2395"/>
      <c r="AD166" s="2395"/>
      <c r="AE166" s="2395"/>
      <c r="AF166" s="2395"/>
      <c r="AG166" s="2395"/>
      <c r="AH166" s="2395"/>
      <c r="AI166" s="2395"/>
      <c r="AJ166" s="2395"/>
    </row>
    <row r="167" spans="1:36" s="43" customFormat="1" ht="12" customHeight="1">
      <c r="A167" s="1733" t="str">
        <f t="shared" si="3"/>
        <v/>
      </c>
      <c r="B167" s="3183"/>
      <c r="C167" s="3184"/>
      <c r="D167" s="3185"/>
      <c r="E167" s="2301" t="s">
        <v>4376</v>
      </c>
      <c r="F167" s="2302"/>
      <c r="G167" s="2303"/>
      <c r="H167" s="2304"/>
      <c r="I167" s="2305"/>
      <c r="J167" s="2305"/>
      <c r="K167" s="1610" t="str">
        <f t="shared" si="0"/>
        <v/>
      </c>
      <c r="L167" s="2306"/>
      <c r="M167" s="1607" t="str">
        <f t="shared" si="5"/>
        <v/>
      </c>
      <c r="O167" s="2257"/>
      <c r="P167" s="519"/>
      <c r="Q167" s="447">
        <f t="shared" si="4"/>
        <v>0</v>
      </c>
      <c r="R167" s="3182"/>
      <c r="S167" s="1732">
        <f t="shared" si="1"/>
        <v>0</v>
      </c>
      <c r="T167" s="3182"/>
      <c r="U167" s="1732">
        <f t="shared" si="2"/>
        <v>0</v>
      </c>
      <c r="V167" s="3182"/>
      <c r="Y167" s="2395"/>
      <c r="Z167" s="2395"/>
      <c r="AA167" s="2395"/>
      <c r="AB167" s="2395"/>
      <c r="AC167" s="2395"/>
      <c r="AD167" s="2395"/>
      <c r="AE167" s="2395"/>
      <c r="AF167" s="2395"/>
      <c r="AG167" s="2395"/>
      <c r="AH167" s="2395"/>
      <c r="AI167" s="2395"/>
      <c r="AJ167" s="2395"/>
    </row>
    <row r="168" spans="1:36" s="43" customFormat="1" ht="12" customHeight="1">
      <c r="A168" s="1733" t="str">
        <f t="shared" si="3"/>
        <v/>
      </c>
      <c r="B168" s="3183"/>
      <c r="C168" s="3184"/>
      <c r="D168" s="3185"/>
      <c r="E168" s="2301" t="s">
        <v>4376</v>
      </c>
      <c r="F168" s="2302"/>
      <c r="G168" s="2303"/>
      <c r="H168" s="2304"/>
      <c r="I168" s="2305"/>
      <c r="J168" s="2305"/>
      <c r="K168" s="1610" t="str">
        <f t="shared" si="0"/>
        <v/>
      </c>
      <c r="L168" s="2306"/>
      <c r="M168" s="1607" t="str">
        <f t="shared" si="5"/>
        <v/>
      </c>
      <c r="O168" s="2257"/>
      <c r="P168" s="519"/>
      <c r="Q168" s="447">
        <f t="shared" si="4"/>
        <v>0</v>
      </c>
      <c r="R168" s="3182"/>
      <c r="S168" s="1732">
        <f t="shared" si="1"/>
        <v>0</v>
      </c>
      <c r="T168" s="3182"/>
      <c r="U168" s="1732">
        <f t="shared" si="2"/>
        <v>0</v>
      </c>
      <c r="V168" s="3182"/>
      <c r="Y168" s="2395"/>
      <c r="Z168" s="2395"/>
      <c r="AA168" s="2395"/>
      <c r="AB168" s="2395"/>
      <c r="AC168" s="2395"/>
      <c r="AD168" s="2395"/>
      <c r="AE168" s="2395"/>
      <c r="AF168" s="2395"/>
      <c r="AG168" s="2395"/>
      <c r="AH168" s="2395"/>
      <c r="AI168" s="2395"/>
      <c r="AJ168" s="2395"/>
    </row>
    <row r="169" spans="1:36" s="43" customFormat="1" ht="12" customHeight="1">
      <c r="A169" s="1733" t="str">
        <f>IF(OR(M169="Yes", O169="Yes", AND(B169="",F169="",G169="",H169="",I169="",J169="",L169="",O169="")),"", IF(AND(NOT(B169=""),OR(O169="",O169="No",O169="N/a"),OR(F169="",G169=""),AND(H169="",I169="",J169=""),L169=""),"Finish!","Check"))</f>
        <v/>
      </c>
      <c r="B169" s="3183"/>
      <c r="C169" s="3184"/>
      <c r="D169" s="3185"/>
      <c r="E169" s="2301" t="s">
        <v>4376</v>
      </c>
      <c r="F169" s="2302"/>
      <c r="G169" s="2303"/>
      <c r="H169" s="2304"/>
      <c r="I169" s="2305"/>
      <c r="J169" s="2305"/>
      <c r="K169" s="1610" t="str">
        <f>IF(H169+I169+J169=0,"",AVERAGE(H169,I169,J169))</f>
        <v/>
      </c>
      <c r="L169" s="2306"/>
      <c r="M169" s="1607" t="str">
        <f>IF(L169="","",IF(K169&gt;L169,"Yes",IF(K169&lt;L169,"No","")))</f>
        <v/>
      </c>
      <c r="O169" s="2257"/>
      <c r="P169" s="519"/>
      <c r="Q169" s="447">
        <f>IF(AND(B169="",F169="",G169="",H169="",I169="",J169="",L169="",O169=""),0,1)</f>
        <v>0</v>
      </c>
      <c r="R169" s="3182"/>
      <c r="S169" s="1732">
        <f>IF(AND(M169="",NOT(O169="Yes")),0,1)</f>
        <v>0</v>
      </c>
      <c r="T169" s="3182"/>
      <c r="U169" s="1732">
        <f>IF(OR(M169="Yes",O169="Yes"),1,0)</f>
        <v>0</v>
      </c>
      <c r="V169" s="3182"/>
    </row>
    <row r="170" spans="1:36" s="43" customFormat="1" ht="12" customHeight="1">
      <c r="A170" s="1733" t="str">
        <f>IF(OR(M170="Yes", O170="Yes", AND(B170="",F170="",G170="",H170="",I170="",J170="",L170="",O170="")),"", IF(AND(NOT(B170=""),OR(O170="",O170="No",O170="N/a"),OR(F170="",G170=""),AND(H170="",I170="",J170=""),L170=""),"Finish!","Check"))</f>
        <v/>
      </c>
      <c r="B170" s="3183"/>
      <c r="C170" s="3184"/>
      <c r="D170" s="3185"/>
      <c r="E170" s="2301" t="s">
        <v>4376</v>
      </c>
      <c r="F170" s="2302"/>
      <c r="G170" s="2303"/>
      <c r="H170" s="2304"/>
      <c r="I170" s="2305"/>
      <c r="J170" s="2305"/>
      <c r="K170" s="1610" t="str">
        <f>IF(H170+I170+J170=0,"",AVERAGE(H170,I170,J170))</f>
        <v/>
      </c>
      <c r="L170" s="2306"/>
      <c r="M170" s="1607" t="str">
        <f>IF(L170="","",IF(K170&gt;L170,"Yes",IF(K170&lt;L170,"No","")))</f>
        <v/>
      </c>
      <c r="O170" s="2257"/>
      <c r="P170" s="519"/>
      <c r="Q170" s="447">
        <f>IF(AND(B170="",F170="",G170="",H170="",I170="",J170="",L170="",O170=""),0,1)</f>
        <v>0</v>
      </c>
      <c r="R170" s="3182"/>
      <c r="S170" s="1732">
        <f>IF(AND(M170="",NOT(O170="Yes")),0,1)</f>
        <v>0</v>
      </c>
      <c r="T170" s="3182"/>
      <c r="U170" s="1732">
        <f>IF(OR(M170="Yes",O170="Yes"),1,0)</f>
        <v>0</v>
      </c>
      <c r="V170" s="3182"/>
    </row>
    <row r="171" spans="1:36" s="43" customFormat="1" ht="12" customHeight="1">
      <c r="A171" s="1733" t="str">
        <f>IF(OR(M171="Yes", O171="Yes", AND(B171="",F171="",G171="",H171="",I171="",J171="",L171="",O171="")),"", IF(AND(NOT(B171=""),OR(O171="",O171="No",O171="N/a"),OR(F171="",G171=""),AND(H171="",I171="",J171=""),L171=""),"Finish!","Check"))</f>
        <v/>
      </c>
      <c r="B171" s="3183"/>
      <c r="C171" s="3184"/>
      <c r="D171" s="3185"/>
      <c r="E171" s="2301" t="s">
        <v>4376</v>
      </c>
      <c r="F171" s="2302"/>
      <c r="G171" s="2303"/>
      <c r="H171" s="2304"/>
      <c r="I171" s="2305"/>
      <c r="J171" s="2305"/>
      <c r="K171" s="1610" t="str">
        <f>IF(H171+I171+J171=0,"",AVERAGE(H171,I171,J171))</f>
        <v/>
      </c>
      <c r="L171" s="2306"/>
      <c r="M171" s="1607" t="str">
        <f>IF(L171="","",IF(K171&gt;L171,"Yes",IF(K171&lt;L171,"No","")))</f>
        <v/>
      </c>
      <c r="O171" s="2257"/>
      <c r="P171" s="519"/>
      <c r="Q171" s="447">
        <f>IF(AND(B171="",F171="",G171="",H171="",I171="",J171="",L171="",O171=""),0,1)</f>
        <v>0</v>
      </c>
      <c r="R171" s="3182"/>
      <c r="S171" s="1732">
        <f>IF(AND(M171="",NOT(O171="Yes")),0,1)</f>
        <v>0</v>
      </c>
      <c r="T171" s="3182"/>
      <c r="U171" s="1732">
        <f>IF(OR(M171="Yes",O171="Yes"),1,0)</f>
        <v>0</v>
      </c>
      <c r="V171" s="3182"/>
    </row>
    <row r="172" spans="1:36" s="43" customFormat="1" ht="12" customHeight="1">
      <c r="A172" s="1733" t="str">
        <f t="shared" si="3"/>
        <v/>
      </c>
      <c r="B172" s="3192"/>
      <c r="C172" s="3193"/>
      <c r="D172" s="3194"/>
      <c r="E172" s="2307" t="s">
        <v>4376</v>
      </c>
      <c r="F172" s="2308"/>
      <c r="G172" s="2309"/>
      <c r="H172" s="2310"/>
      <c r="I172" s="2311"/>
      <c r="J172" s="2311"/>
      <c r="K172" s="1611" t="str">
        <f t="shared" si="0"/>
        <v/>
      </c>
      <c r="L172" s="2312"/>
      <c r="M172" s="1608" t="str">
        <f t="shared" si="5"/>
        <v/>
      </c>
      <c r="O172" s="2258"/>
      <c r="P172" s="520"/>
      <c r="Q172" s="447">
        <f t="shared" si="4"/>
        <v>0</v>
      </c>
      <c r="R172" s="3182"/>
      <c r="S172" s="1732">
        <f t="shared" si="1"/>
        <v>0</v>
      </c>
      <c r="T172" s="3182"/>
      <c r="U172" s="1732">
        <f t="shared" si="2"/>
        <v>0</v>
      </c>
      <c r="V172" s="3182"/>
    </row>
    <row r="173" spans="1:36" s="43" customFormat="1" ht="1.5" customHeight="1">
      <c r="A173" s="373"/>
      <c r="B173" s="564"/>
      <c r="L173" s="2395"/>
    </row>
    <row r="174" spans="1:36" s="55" customFormat="1" ht="6" customHeight="1" thickBot="1">
      <c r="A174" s="861"/>
      <c r="B174" s="424"/>
    </row>
    <row r="175" spans="1:36" s="102" customFormat="1" ht="13.5" customHeight="1" thickBot="1">
      <c r="A175" s="178" t="s">
        <v>1937</v>
      </c>
      <c r="B175" s="10" t="s">
        <v>3730</v>
      </c>
      <c r="C175" s="92"/>
      <c r="D175" s="1038"/>
      <c r="E175" s="1038"/>
      <c r="F175" s="61"/>
      <c r="H175" s="40" t="s">
        <v>4564</v>
      </c>
      <c r="M175" s="426">
        <v>2</v>
      </c>
      <c r="N175" s="174"/>
      <c r="O175" s="1041">
        <f>IF(AND(I184="Yes",I185="Yes"),$H$185,IF(AND(I184="Yes",I185="No"),$H$184,0))</f>
        <v>0</v>
      </c>
      <c r="P175" s="1041">
        <f>IF(AND(J184="Yes",J185="Yes"),$H$185,IF(AND(J184="Yes",J185="No"),$H$184,0))</f>
        <v>0</v>
      </c>
      <c r="Q175" s="2375"/>
      <c r="R175" s="1723"/>
    </row>
    <row r="176" spans="1:36" s="55" customFormat="1" ht="12.75" customHeight="1">
      <c r="E176" s="2976" t="s">
        <v>3820</v>
      </c>
      <c r="F176" s="2976" t="s">
        <v>3486</v>
      </c>
      <c r="G176" s="3161" t="s">
        <v>3283</v>
      </c>
      <c r="H176" s="3161"/>
      <c r="I176" s="3161"/>
      <c r="J176" s="3161"/>
      <c r="K176" s="3161"/>
      <c r="L176" s="3161"/>
      <c r="M176" s="3161"/>
      <c r="N176" s="3161"/>
      <c r="P176" s="1066"/>
      <c r="R176" s="52" t="s">
        <v>2733</v>
      </c>
      <c r="S176" s="36"/>
      <c r="T176" s="2971" t="str">
        <f>'Part I-Project Information'!$F$38</f>
        <v>Montezuma</v>
      </c>
      <c r="U176" s="2972"/>
      <c r="V176" s="2972"/>
      <c r="W176" s="2972"/>
      <c r="X176" s="2973"/>
    </row>
    <row r="177" spans="1:24" s="55" customFormat="1" ht="13.5" customHeight="1">
      <c r="A177" s="47"/>
      <c r="B177" s="2978" t="s">
        <v>3733</v>
      </c>
      <c r="C177" s="2978"/>
      <c r="D177" s="2978"/>
      <c r="E177" s="2977"/>
      <c r="F177" s="2977"/>
      <c r="G177" s="3178" t="s">
        <v>3732</v>
      </c>
      <c r="H177" s="3178"/>
      <c r="I177" s="3178"/>
      <c r="J177" s="3178"/>
      <c r="K177" s="3178"/>
      <c r="L177" s="3178"/>
      <c r="M177" s="3178"/>
      <c r="N177" s="3178"/>
      <c r="O177" s="2976" t="s">
        <v>3487</v>
      </c>
      <c r="P177" s="2976"/>
      <c r="R177" s="52" t="s">
        <v>2734</v>
      </c>
      <c r="S177" s="36"/>
      <c r="T177" s="2965" t="str">
        <f>'Part I-Project Information'!$J$39</f>
        <v>Macon</v>
      </c>
      <c r="U177" s="2966"/>
      <c r="V177" s="2966"/>
      <c r="W177" s="2966"/>
      <c r="X177" s="2967"/>
    </row>
    <row r="178" spans="1:24" s="55" customFormat="1" ht="13.5" customHeight="1">
      <c r="A178" s="47"/>
      <c r="B178" s="3155" t="s">
        <v>3621</v>
      </c>
      <c r="C178" s="3156"/>
      <c r="D178" s="3157"/>
      <c r="E178" s="2396">
        <v>3000</v>
      </c>
      <c r="F178" s="2396">
        <v>6000</v>
      </c>
      <c r="G178" s="3177">
        <v>15000</v>
      </c>
      <c r="H178" s="3177"/>
      <c r="I178" s="3177"/>
      <c r="J178" s="3177"/>
      <c r="K178" s="3177"/>
      <c r="L178" s="3177"/>
      <c r="M178" s="3177"/>
      <c r="N178" s="3177"/>
      <c r="O178" s="3177">
        <v>20000</v>
      </c>
      <c r="P178" s="3177"/>
      <c r="R178" s="40" t="s">
        <v>2735</v>
      </c>
      <c r="S178" s="36"/>
      <c r="T178" s="2965" t="str">
        <f>'Part I-Project Information'!$O$40</f>
        <v>Macon Co.</v>
      </c>
      <c r="U178" s="2966"/>
      <c r="V178" s="2966"/>
      <c r="W178" s="2966"/>
      <c r="X178" s="2967"/>
    </row>
    <row r="179" spans="1:24" s="36" customFormat="1" ht="13.5" customHeight="1">
      <c r="A179" s="47"/>
      <c r="B179" s="2997" t="s">
        <v>3731</v>
      </c>
      <c r="C179" s="2998"/>
      <c r="D179" s="2999"/>
      <c r="E179" s="2397">
        <v>4500</v>
      </c>
      <c r="F179" s="2397">
        <v>9000</v>
      </c>
      <c r="G179" s="2979">
        <v>22500</v>
      </c>
      <c r="H179" s="2979"/>
      <c r="I179" s="2979"/>
      <c r="J179" s="2979"/>
      <c r="K179" s="2979"/>
      <c r="L179" s="2979"/>
      <c r="M179" s="2979"/>
      <c r="N179" s="2979"/>
      <c r="O179" s="2979">
        <v>30000</v>
      </c>
      <c r="P179" s="2979"/>
      <c r="R179" s="40" t="s">
        <v>3642</v>
      </c>
      <c r="T179" s="2965" t="str">
        <f>VLOOKUP('Part I-Project Information'!$J$39,'DCA Underwriting Assumptions'!$G$173:$J$332,4)</f>
        <v>Non-MSA</v>
      </c>
      <c r="U179" s="2966"/>
      <c r="V179" s="2966"/>
      <c r="W179" s="2966"/>
      <c r="X179" s="2967"/>
    </row>
    <row r="180" spans="1:24" s="55" customFormat="1" ht="4.5" customHeight="1">
      <c r="A180" s="47"/>
      <c r="B180" s="47"/>
      <c r="C180" s="412"/>
      <c r="K180" s="2385"/>
      <c r="L180" s="2385"/>
    </row>
    <row r="181" spans="1:24" s="55" customFormat="1" ht="12" customHeight="1">
      <c r="B181" s="859" t="s">
        <v>4797</v>
      </c>
      <c r="E181" s="858"/>
      <c r="F181" s="858"/>
      <c r="G181" s="858"/>
      <c r="I181" s="2313"/>
      <c r="J181" s="4199"/>
      <c r="K181" s="1779" t="str">
        <f>IF(I181="","",IF(I181&lt;E178,"Minimum Jobs Threshold entered is below lowest in chart!",""))</f>
        <v/>
      </c>
      <c r="R181" s="36" t="s">
        <v>3460</v>
      </c>
      <c r="S181" s="36"/>
      <c r="T181" s="2968" t="str">
        <f>'Part I-Project Information'!$K$40</f>
        <v>Rural</v>
      </c>
      <c r="U181" s="2969"/>
      <c r="V181" s="2969"/>
      <c r="W181" s="2969"/>
      <c r="X181" s="2970"/>
    </row>
    <row r="182" spans="1:24" s="55" customFormat="1" ht="12" customHeight="1">
      <c r="A182" s="861"/>
      <c r="B182" s="424" t="s">
        <v>3459</v>
      </c>
      <c r="H182" s="860" t="str">
        <f>IF(I182&lt;I181,"Threshold not met!","")</f>
        <v/>
      </c>
      <c r="I182" s="2314"/>
      <c r="J182" s="4200"/>
      <c r="K182" s="1068" t="str">
        <f>IF(J182&lt;J181,"Threshold not met!","")</f>
        <v/>
      </c>
    </row>
    <row r="183" spans="1:24" s="55" customFormat="1" ht="3" customHeight="1">
      <c r="A183" s="861"/>
      <c r="B183" s="424"/>
    </row>
    <row r="184" spans="1:24" s="55" customFormat="1" ht="11.25" customHeight="1">
      <c r="B184" s="554" t="s">
        <v>1938</v>
      </c>
      <c r="C184" s="36" t="s">
        <v>3819</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1940</v>
      </c>
      <c r="C185" s="36" t="s">
        <v>3734</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3658</v>
      </c>
      <c r="D186" s="1137"/>
      <c r="E186" s="1137"/>
      <c r="F186" s="1137"/>
      <c r="G186" s="1067"/>
      <c r="I186" s="1102">
        <f>IF(I182="",0,(I182/I181) - 1)</f>
        <v>0</v>
      </c>
      <c r="J186" s="1102">
        <f>IF(J182="",0,(J182/J181) - 1)</f>
        <v>0</v>
      </c>
      <c r="M186" s="2385"/>
    </row>
    <row r="187" spans="1:24" s="55" customFormat="1" ht="3" customHeight="1">
      <c r="A187" s="47"/>
      <c r="B187" s="47"/>
      <c r="C187" s="412"/>
      <c r="F187" s="2398"/>
      <c r="K187" s="2385"/>
      <c r="L187" s="2385"/>
    </row>
    <row r="188" spans="1:24" s="43" customFormat="1" ht="10.5" customHeight="1" thickBot="1">
      <c r="A188" s="42"/>
      <c r="B188" s="1132" t="s">
        <v>3566</v>
      </c>
      <c r="C188" s="42"/>
      <c r="D188" s="48"/>
      <c r="E188" s="48"/>
      <c r="F188" s="48"/>
      <c r="G188" s="48"/>
      <c r="H188" s="36"/>
      <c r="I188" s="36"/>
      <c r="J188" s="36"/>
      <c r="K188" s="36"/>
      <c r="M188" s="46"/>
      <c r="N188" s="62"/>
      <c r="O188" s="3"/>
      <c r="P188" s="2377"/>
    </row>
    <row r="189" spans="1:24" s="43" customFormat="1" ht="21.75" customHeight="1" thickTop="1" thickBot="1">
      <c r="A189" s="2940" t="s">
        <v>948</v>
      </c>
      <c r="B189" s="2941"/>
      <c r="C189" s="2941"/>
      <c r="D189" s="2941"/>
      <c r="E189" s="2941"/>
      <c r="F189" s="2941"/>
      <c r="G189" s="2941"/>
      <c r="H189" s="2941"/>
      <c r="I189" s="2941"/>
      <c r="J189" s="2941"/>
      <c r="K189" s="2941"/>
      <c r="L189" s="2941"/>
      <c r="M189" s="2941"/>
      <c r="N189" s="2941"/>
      <c r="O189" s="2941"/>
      <c r="P189" s="2942"/>
      <c r="Q189" s="1027" t="s">
        <v>1228</v>
      </c>
    </row>
    <row r="190" spans="1:24" s="43" customFormat="1" ht="10.5" customHeight="1" thickTop="1">
      <c r="A190" s="42"/>
      <c r="B190" s="85" t="s">
        <v>1819</v>
      </c>
      <c r="C190" s="98"/>
      <c r="D190" s="85"/>
      <c r="E190" s="99"/>
      <c r="F190" s="2378"/>
      <c r="G190" s="2378"/>
      <c r="H190" s="2378"/>
      <c r="I190" s="2378"/>
      <c r="J190" s="2378"/>
      <c r="K190" s="2378"/>
      <c r="L190" s="2378"/>
      <c r="M190" s="2378"/>
      <c r="N190" s="74"/>
      <c r="O190" s="70"/>
      <c r="P190" s="2375"/>
      <c r="Q190" s="422"/>
    </row>
    <row r="191" spans="1:24" s="43" customFormat="1" ht="11.25" customHeight="1">
      <c r="A191" s="2877"/>
      <c r="B191" s="2878"/>
      <c r="C191" s="2878"/>
      <c r="D191" s="2878"/>
      <c r="E191" s="2878"/>
      <c r="F191" s="2878"/>
      <c r="G191" s="2878"/>
      <c r="H191" s="2878"/>
      <c r="I191" s="2878"/>
      <c r="J191" s="2878"/>
      <c r="K191" s="2878"/>
      <c r="L191" s="2878"/>
      <c r="M191" s="2878"/>
      <c r="N191" s="2878"/>
      <c r="O191" s="2878"/>
      <c r="P191" s="2879"/>
      <c r="Q191" s="440"/>
      <c r="U191" s="1437"/>
    </row>
    <row r="192" spans="1:24" s="43" customFormat="1" ht="3" customHeight="1" thickBot="1">
      <c r="A192" s="42"/>
      <c r="C192" s="2378"/>
      <c r="D192" s="2378"/>
      <c r="E192" s="2378"/>
      <c r="F192" s="2378"/>
      <c r="G192" s="2378"/>
      <c r="H192" s="2378"/>
      <c r="I192" s="2378"/>
      <c r="J192" s="2378"/>
      <c r="K192" s="2378"/>
      <c r="L192" s="2378"/>
      <c r="M192" s="2378"/>
      <c r="N192" s="74"/>
      <c r="O192" s="70"/>
      <c r="P192" s="846"/>
    </row>
    <row r="193" spans="1:26" s="102" customFormat="1" ht="12.6" customHeight="1" thickBot="1">
      <c r="A193" s="152" t="s">
        <v>754</v>
      </c>
      <c r="B193" s="106" t="s">
        <v>3735</v>
      </c>
      <c r="C193" s="92"/>
      <c r="D193" s="59"/>
      <c r="E193" s="59"/>
      <c r="I193" s="1015"/>
      <c r="J193" s="1015"/>
      <c r="K193" s="556"/>
      <c r="L193" s="556"/>
      <c r="M193" s="2375">
        <v>7</v>
      </c>
      <c r="N193" s="7"/>
      <c r="O193" s="1040">
        <f>IF(OR(O$150&gt;0,O$265&gt;0,AND(NOT(K199="Yes"),NOT(K201="Yes"),NOT(K202="Yes"),NOT(K203="Yes"))),0,MIN($M$193,O196+O214))</f>
        <v>7</v>
      </c>
      <c r="P193" s="1040">
        <f>IF(OR(P$150&gt;0,P$265&gt;0,AND(NOT(L199="Yes"),NOT(L201="Yes"),NOT(L202="Yes"),NOT(L203="Yes"))),0,MIN($M$193,P196+P214))</f>
        <v>0</v>
      </c>
      <c r="Q193" s="109" t="s">
        <v>433</v>
      </c>
      <c r="R193" s="2986" t="s">
        <v>4566</v>
      </c>
      <c r="S193" s="2987"/>
      <c r="T193" s="2987"/>
      <c r="U193" s="2988"/>
    </row>
    <row r="194" spans="1:26" s="43" customFormat="1" ht="2.25" customHeight="1">
      <c r="A194" s="425"/>
      <c r="C194" s="165"/>
      <c r="D194" s="165"/>
      <c r="E194" s="172"/>
      <c r="F194" s="165"/>
      <c r="G194" s="165"/>
      <c r="H194" s="165"/>
      <c r="I194" s="165"/>
      <c r="J194" s="165"/>
      <c r="K194" s="165"/>
      <c r="L194" s="165"/>
      <c r="M194" s="165"/>
      <c r="N194" s="165"/>
      <c r="O194" s="165"/>
      <c r="P194" s="165"/>
      <c r="R194" s="2989"/>
      <c r="S194" s="2990"/>
      <c r="T194" s="2990"/>
      <c r="U194" s="2991"/>
    </row>
    <row r="195" spans="1:26" s="43" customFormat="1" ht="23.25" customHeight="1">
      <c r="A195" s="425"/>
      <c r="B195" s="2723" t="s">
        <v>4727</v>
      </c>
      <c r="C195" s="2723"/>
      <c r="D195" s="2723"/>
      <c r="E195" s="2723"/>
      <c r="F195" s="2723"/>
      <c r="G195" s="2723"/>
      <c r="H195" s="2723"/>
      <c r="I195" s="2723"/>
      <c r="J195" s="2723"/>
      <c r="K195" s="2723"/>
      <c r="L195" s="2723"/>
      <c r="M195" s="2723"/>
      <c r="N195" s="2723"/>
      <c r="O195" s="2723"/>
      <c r="P195" s="2723"/>
      <c r="R195" s="2989"/>
      <c r="S195" s="2990"/>
      <c r="T195" s="2990"/>
      <c r="U195" s="2991"/>
    </row>
    <row r="196" spans="1:26" s="43" customFormat="1" ht="12" customHeight="1">
      <c r="A196" s="138" t="s">
        <v>1935</v>
      </c>
      <c r="B196" s="177" t="s">
        <v>4598</v>
      </c>
      <c r="C196" s="165"/>
      <c r="D196" s="165"/>
      <c r="E196" s="165"/>
      <c r="F196" s="165"/>
      <c r="G196" s="165" t="s">
        <v>4593</v>
      </c>
      <c r="H196" s="165"/>
      <c r="I196" s="165"/>
      <c r="J196" s="165"/>
      <c r="K196" s="1111" t="s">
        <v>4753</v>
      </c>
      <c r="L196" s="1111" t="s">
        <v>4753</v>
      </c>
      <c r="M196" s="426">
        <v>5</v>
      </c>
      <c r="N196" s="47" t="s">
        <v>1935</v>
      </c>
      <c r="O196" s="521">
        <f>IF(O210=0,0,MIN($M$196,SUM(O210:O211)))</f>
        <v>5</v>
      </c>
      <c r="P196" s="521">
        <f>IF(SUM(P210:P211)=$M$211,0,MIN($M$196,SUM(P210:P211)))</f>
        <v>0</v>
      </c>
      <c r="R196" s="2989"/>
      <c r="S196" s="2990"/>
      <c r="T196" s="2990"/>
      <c r="U196" s="2991"/>
    </row>
    <row r="197" spans="1:26" s="33" customFormat="1" ht="11.25" customHeight="1">
      <c r="B197" s="1735" t="s">
        <v>4597</v>
      </c>
      <c r="D197" s="1735"/>
      <c r="E197" s="1735"/>
      <c r="F197" s="1735"/>
      <c r="G197" s="1735"/>
      <c r="H197" s="1735"/>
      <c r="I197" s="1735"/>
      <c r="J197" s="385"/>
      <c r="K197" s="2315" t="s">
        <v>7035</v>
      </c>
      <c r="L197" s="4201"/>
      <c r="R197" s="2989"/>
      <c r="S197" s="2990"/>
      <c r="T197" s="2990"/>
      <c r="U197" s="2991"/>
      <c r="V197" s="548"/>
      <c r="W197" s="548"/>
      <c r="X197" s="548"/>
      <c r="Y197" s="548"/>
      <c r="Z197" s="548"/>
    </row>
    <row r="198" spans="1:26" s="43" customFormat="1" ht="12" customHeight="1">
      <c r="A198" s="425"/>
      <c r="B198" s="49" t="s">
        <v>4594</v>
      </c>
      <c r="C198" s="165"/>
      <c r="D198" s="165"/>
      <c r="E198" s="165"/>
      <c r="F198" s="165"/>
      <c r="G198" s="165"/>
      <c r="H198" s="165"/>
      <c r="I198" s="165"/>
      <c r="J198" s="165"/>
      <c r="K198" s="1111" t="s">
        <v>2443</v>
      </c>
      <c r="L198" s="1112" t="s">
        <v>2443</v>
      </c>
      <c r="N198" s="1133"/>
      <c r="P198" s="1134"/>
      <c r="R198" s="2989"/>
      <c r="S198" s="2990"/>
      <c r="T198" s="2990"/>
      <c r="U198" s="2991"/>
    </row>
    <row r="199" spans="1:26" s="390" customFormat="1" ht="11.25" customHeight="1">
      <c r="B199" s="986" t="s">
        <v>2371</v>
      </c>
      <c r="C199" s="2943" t="s">
        <v>4380</v>
      </c>
      <c r="D199" s="2943"/>
      <c r="E199" s="2943"/>
      <c r="F199" s="2943"/>
      <c r="G199" s="2943"/>
      <c r="H199" s="2943"/>
      <c r="I199" s="2943"/>
      <c r="J199" s="986" t="s">
        <v>2371</v>
      </c>
      <c r="K199" s="2315" t="s">
        <v>2884</v>
      </c>
      <c r="L199" s="4201"/>
      <c r="M199" s="3171" t="s">
        <v>7100</v>
      </c>
      <c r="N199" s="3172"/>
      <c r="O199" s="3172"/>
      <c r="P199" s="3173"/>
      <c r="R199" s="2989"/>
      <c r="S199" s="2990"/>
      <c r="T199" s="2990"/>
      <c r="U199" s="2991"/>
      <c r="V199" s="1626"/>
      <c r="W199" s="1626"/>
      <c r="X199" s="1626"/>
      <c r="Y199" s="1626"/>
      <c r="Z199" s="1626"/>
    </row>
    <row r="200" spans="1:26" s="43" customFormat="1" ht="11.25" customHeight="1">
      <c r="A200" s="371"/>
      <c r="B200" s="373"/>
      <c r="C200" s="2943"/>
      <c r="D200" s="2943"/>
      <c r="E200" s="2943"/>
      <c r="F200" s="2943"/>
      <c r="G200" s="2943"/>
      <c r="H200" s="2943"/>
      <c r="I200" s="2943"/>
      <c r="J200" s="373"/>
      <c r="K200" s="1128"/>
      <c r="L200" s="1128"/>
      <c r="R200" s="2989"/>
      <c r="S200" s="2990"/>
      <c r="T200" s="2990"/>
      <c r="U200" s="2991"/>
    </row>
    <row r="201" spans="1:26" s="33" customFormat="1" ht="11.25" customHeight="1">
      <c r="B201" s="373" t="s">
        <v>2372</v>
      </c>
      <c r="C201" s="134" t="s">
        <v>4599</v>
      </c>
      <c r="D201" s="481"/>
      <c r="E201" s="481"/>
      <c r="F201" s="481"/>
      <c r="G201" s="481"/>
      <c r="H201" s="481"/>
      <c r="J201" s="373" t="s">
        <v>2372</v>
      </c>
      <c r="K201" s="2316" t="s">
        <v>2884</v>
      </c>
      <c r="L201" s="4117"/>
      <c r="M201" s="3171" t="s">
        <v>7101</v>
      </c>
      <c r="N201" s="3172"/>
      <c r="O201" s="3172"/>
      <c r="P201" s="3173"/>
      <c r="R201" s="2989"/>
      <c r="S201" s="2990"/>
      <c r="T201" s="2990"/>
      <c r="U201" s="2991"/>
      <c r="V201" s="548"/>
      <c r="W201" s="548"/>
      <c r="X201" s="548"/>
      <c r="Y201" s="548"/>
      <c r="Z201" s="548"/>
    </row>
    <row r="202" spans="1:26" s="33" customFormat="1" ht="11.25" customHeight="1">
      <c r="B202" s="373" t="s">
        <v>2373</v>
      </c>
      <c r="C202" s="481" t="s">
        <v>4596</v>
      </c>
      <c r="D202" s="481"/>
      <c r="E202" s="481"/>
      <c r="F202" s="481"/>
      <c r="G202" s="481"/>
      <c r="H202" s="481"/>
      <c r="I202" s="481"/>
      <c r="J202" s="373" t="s">
        <v>2373</v>
      </c>
      <c r="K202" s="2317" t="s">
        <v>2884</v>
      </c>
      <c r="L202" s="4202"/>
      <c r="R202" s="2989"/>
      <c r="S202" s="2990"/>
      <c r="T202" s="2990"/>
      <c r="U202" s="2991"/>
      <c r="V202" s="548"/>
      <c r="W202" s="548"/>
      <c r="X202" s="548"/>
      <c r="Y202" s="548"/>
      <c r="Z202" s="548"/>
    </row>
    <row r="203" spans="1:26" s="43" customFormat="1" ht="11.25" customHeight="1">
      <c r="A203" s="371"/>
      <c r="C203" s="373" t="s">
        <v>2374</v>
      </c>
      <c r="D203" s="428" t="s">
        <v>4379</v>
      </c>
      <c r="E203" s="1478"/>
      <c r="F203" s="1478"/>
      <c r="G203" s="1478"/>
      <c r="H203" s="1478"/>
      <c r="I203" s="1478"/>
      <c r="J203" s="373" t="s">
        <v>2374</v>
      </c>
      <c r="K203" s="2318">
        <v>44026</v>
      </c>
      <c r="L203" s="4203"/>
      <c r="M203" s="481"/>
      <c r="N203" s="481"/>
      <c r="O203" s="481"/>
      <c r="P203" s="481"/>
      <c r="R203" s="2989"/>
      <c r="S203" s="2990"/>
      <c r="T203" s="2990"/>
      <c r="U203" s="2991"/>
    </row>
    <row r="204" spans="1:26" s="43" customFormat="1" ht="12" customHeight="1">
      <c r="A204" s="425"/>
      <c r="B204" s="49" t="s">
        <v>4595</v>
      </c>
      <c r="C204" s="165"/>
      <c r="D204" s="165"/>
      <c r="E204" s="165"/>
      <c r="F204" s="165"/>
      <c r="G204" s="165"/>
      <c r="H204" s="165"/>
      <c r="I204" s="165"/>
      <c r="J204" s="165"/>
      <c r="K204" s="1111" t="s">
        <v>2443</v>
      </c>
      <c r="L204" s="1112" t="s">
        <v>2443</v>
      </c>
      <c r="N204" s="1133"/>
      <c r="P204" s="1134"/>
      <c r="R204" s="2989"/>
      <c r="S204" s="2990"/>
      <c r="T204" s="2990"/>
      <c r="U204" s="2991"/>
    </row>
    <row r="205" spans="1:26" s="102" customFormat="1" ht="11.25" customHeight="1">
      <c r="A205" s="425"/>
      <c r="B205" s="373" t="s">
        <v>2375</v>
      </c>
      <c r="C205" s="3167" t="s">
        <v>4565</v>
      </c>
      <c r="D205" s="3167"/>
      <c r="E205" s="3167"/>
      <c r="F205" s="3167"/>
      <c r="G205" s="3167"/>
      <c r="J205" s="373" t="s">
        <v>2375</v>
      </c>
      <c r="K205" s="2319" t="s">
        <v>2884</v>
      </c>
      <c r="L205" s="4117"/>
      <c r="M205" s="3158" t="s">
        <v>7102</v>
      </c>
      <c r="N205" s="3159"/>
      <c r="O205" s="3159"/>
      <c r="P205" s="3160"/>
      <c r="Q205" s="1612">
        <f>IF(K205="Yes",1,0)</f>
        <v>1</v>
      </c>
      <c r="R205" s="2989"/>
      <c r="S205" s="2990"/>
      <c r="T205" s="2990"/>
      <c r="U205" s="2991"/>
      <c r="V205" s="1612">
        <f>IF(L205="Yes",1,0)</f>
        <v>0</v>
      </c>
    </row>
    <row r="206" spans="1:26" s="33" customFormat="1" ht="11.25" customHeight="1">
      <c r="B206" s="385" t="s">
        <v>2391</v>
      </c>
      <c r="C206" s="481" t="s">
        <v>4309</v>
      </c>
      <c r="D206" s="481"/>
      <c r="E206" s="481"/>
      <c r="F206" s="481"/>
      <c r="G206" s="481"/>
      <c r="H206" s="481"/>
      <c r="J206" s="385" t="s">
        <v>2391</v>
      </c>
      <c r="K206" s="2320" t="s">
        <v>2884</v>
      </c>
      <c r="L206" s="4118"/>
      <c r="M206" s="3174" t="s">
        <v>7108</v>
      </c>
      <c r="N206" s="3175"/>
      <c r="O206" s="3175"/>
      <c r="P206" s="3176"/>
      <c r="Q206" s="1612">
        <f>IF(K206="Yes",1,0)</f>
        <v>1</v>
      </c>
      <c r="R206" s="2989"/>
      <c r="S206" s="2990"/>
      <c r="T206" s="2990"/>
      <c r="U206" s="2991"/>
      <c r="V206" s="1612">
        <f>IF(L206="Yes",1,0)</f>
        <v>0</v>
      </c>
      <c r="W206" s="548"/>
      <c r="X206" s="548"/>
      <c r="Y206" s="548"/>
      <c r="Z206" s="548"/>
    </row>
    <row r="207" spans="1:26" s="33" customFormat="1" ht="10.95" customHeight="1">
      <c r="B207" s="385" t="s">
        <v>2392</v>
      </c>
      <c r="C207" s="52" t="s">
        <v>4592</v>
      </c>
      <c r="D207" s="481"/>
      <c r="E207" s="481"/>
      <c r="F207" s="481"/>
      <c r="G207" s="481"/>
      <c r="J207" s="385" t="s">
        <v>2392</v>
      </c>
      <c r="K207" s="2321" t="s">
        <v>2884</v>
      </c>
      <c r="L207" s="4119"/>
      <c r="M207" s="2980" t="s">
        <v>7103</v>
      </c>
      <c r="N207" s="2981"/>
      <c r="O207" s="2981"/>
      <c r="P207" s="2982"/>
      <c r="Q207" s="1612">
        <f>IF(K207="Yes",1,0)</f>
        <v>1</v>
      </c>
      <c r="R207" s="2989"/>
      <c r="S207" s="2990"/>
      <c r="T207" s="2990"/>
      <c r="U207" s="2991"/>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2992"/>
      <c r="S208" s="2993"/>
      <c r="T208" s="2993"/>
      <c r="U208" s="2994"/>
    </row>
    <row r="209" spans="1:26" ht="11.25" customHeight="1">
      <c r="B209" s="1715" t="s">
        <v>4310</v>
      </c>
      <c r="H209" s="158"/>
      <c r="N209" s="27"/>
      <c r="O209" s="27"/>
      <c r="P209" s="27"/>
      <c r="Q209" s="983"/>
      <c r="U209" s="158"/>
      <c r="V209" s="158"/>
      <c r="W209" s="158"/>
      <c r="X209" s="2370"/>
      <c r="Y209" s="385"/>
      <c r="Z209" s="158"/>
    </row>
    <row r="210" spans="1:26" ht="22.5" customHeight="1">
      <c r="A210" s="498"/>
      <c r="B210" s="562" t="s">
        <v>1938</v>
      </c>
      <c r="C210" s="3096" t="s">
        <v>4368</v>
      </c>
      <c r="D210" s="3096"/>
      <c r="E210" s="3096"/>
      <c r="F210" s="3096"/>
      <c r="G210" s="3096"/>
      <c r="H210" s="3096"/>
      <c r="I210" s="3096"/>
      <c r="J210" s="3096"/>
      <c r="K210" s="3096"/>
      <c r="L210" s="3096"/>
      <c r="M210" s="1077">
        <v>3</v>
      </c>
      <c r="N210" s="469" t="s">
        <v>1938</v>
      </c>
      <c r="O210" s="1625">
        <f>IF(AND(K199="Yes",K201="Yes",K202="Yes",K197="Agree"),SUM(Q205:Q207),0)</f>
        <v>3</v>
      </c>
      <c r="P210" s="1625">
        <f>IF(AND(L197="Agree",L199="Yes",L201="Yes",L202="Yes"),SUM(V205:V207),0)</f>
        <v>0</v>
      </c>
      <c r="Q210" s="1477"/>
      <c r="R210" s="974"/>
    </row>
    <row r="211" spans="1:26" ht="12" customHeight="1">
      <c r="A211" s="498"/>
      <c r="B211" s="562" t="s">
        <v>1940</v>
      </c>
      <c r="C211" s="985" t="s">
        <v>4367</v>
      </c>
      <c r="D211" s="985"/>
      <c r="E211" s="985"/>
      <c r="F211" s="985"/>
      <c r="G211" s="985"/>
      <c r="H211" s="985"/>
      <c r="I211" s="985"/>
      <c r="J211" s="428" t="s">
        <v>3588</v>
      </c>
      <c r="K211" s="33"/>
      <c r="L211" s="1473" t="str">
        <f>'Part I-Project Information'!$N$39</f>
        <v>Yes</v>
      </c>
      <c r="M211" s="2388">
        <v>2</v>
      </c>
      <c r="N211" s="430" t="s">
        <v>1940</v>
      </c>
      <c r="O211" s="2322">
        <v>2</v>
      </c>
      <c r="P211" s="4204"/>
      <c r="Q211" s="1477" t="str">
        <f>IF(OR($O211=$M211,$O211=0,$O211=""),"","*CHECK!*")</f>
        <v/>
      </c>
      <c r="R211" s="974" t="s">
        <v>4765</v>
      </c>
    </row>
    <row r="212" spans="1:26" ht="12" customHeight="1">
      <c r="A212" s="498"/>
      <c r="B212" s="562"/>
      <c r="C212" s="3167" t="s">
        <v>4567</v>
      </c>
      <c r="D212" s="3167"/>
      <c r="E212" s="3167"/>
      <c r="F212" s="3167"/>
      <c r="G212" s="3167"/>
      <c r="H212" s="3167"/>
      <c r="I212" s="1448"/>
      <c r="J212" s="428" t="s">
        <v>3438</v>
      </c>
      <c r="K212" s="1475"/>
      <c r="L212" s="1474" t="str">
        <f>'Part I-Project Information'!$O$38</f>
        <v>13193000400</v>
      </c>
      <c r="M212" s="1449"/>
      <c r="N212" s="1077"/>
      <c r="O212" s="1077"/>
      <c r="P212" s="1077"/>
      <c r="Q212" s="978"/>
      <c r="R212" s="974"/>
    </row>
    <row r="213" spans="1:26" ht="12" customHeight="1">
      <c r="A213" s="498"/>
      <c r="B213" s="465"/>
      <c r="C213" s="3167"/>
      <c r="D213" s="3167"/>
      <c r="E213" s="3167"/>
      <c r="F213" s="3167"/>
      <c r="G213" s="3167"/>
      <c r="H213" s="3167"/>
      <c r="J213" s="428" t="s">
        <v>3263</v>
      </c>
      <c r="K213" s="33"/>
      <c r="L213" s="1472" t="str">
        <f>'Part IV-A-Uses of Funds'!$H$152</f>
        <v>DDA/QCT</v>
      </c>
      <c r="M213" s="1472"/>
      <c r="N213" s="27"/>
      <c r="O213" s="27"/>
      <c r="P213" s="27"/>
      <c r="R213" s="158"/>
    </row>
    <row r="214" spans="1:26" ht="12" customHeight="1">
      <c r="A214" s="138" t="s">
        <v>1937</v>
      </c>
      <c r="B214" s="177" t="s">
        <v>4311</v>
      </c>
      <c r="D214" s="33"/>
      <c r="F214" s="1443"/>
      <c r="K214" s="1104"/>
      <c r="L214" s="374" t="str">
        <f>IF(OR($O214=$M214,$O214=0,$O214=""),"","* * Check Score! * *")</f>
        <v/>
      </c>
      <c r="M214" s="426">
        <v>2</v>
      </c>
      <c r="N214" s="63" t="s">
        <v>1937</v>
      </c>
      <c r="O214" s="2291">
        <v>2</v>
      </c>
      <c r="P214" s="4205"/>
      <c r="Q214" s="978" t="str">
        <f>IF(OR($O214=$M214,$O214=0,$O214=""),"","*CHECK!*")</f>
        <v/>
      </c>
      <c r="R214" s="974" t="s">
        <v>4765</v>
      </c>
    </row>
    <row r="215" spans="1:26" s="43" customFormat="1" ht="9.75" customHeight="1">
      <c r="A215" s="138"/>
      <c r="B215" s="102"/>
      <c r="C215" s="36" t="s">
        <v>2702</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3589</v>
      </c>
      <c r="C216" s="36" t="s">
        <v>3639</v>
      </c>
      <c r="D216" s="102"/>
      <c r="E216" s="102"/>
      <c r="F216" s="102"/>
      <c r="G216" s="102"/>
      <c r="H216" s="102"/>
      <c r="I216" s="102"/>
      <c r="J216" s="3168" t="s">
        <v>7104</v>
      </c>
      <c r="K216" s="3169"/>
      <c r="L216" s="3169"/>
      <c r="M216" s="3169"/>
      <c r="N216" s="3169"/>
      <c r="O216" s="3169"/>
      <c r="P216" s="3170"/>
      <c r="V216" s="1023"/>
      <c r="W216" s="1023"/>
    </row>
    <row r="217" spans="1:26" s="43" customFormat="1" ht="11.25" customHeight="1">
      <c r="A217" s="175"/>
      <c r="B217" s="455" t="s">
        <v>3590</v>
      </c>
      <c r="C217" s="428" t="s">
        <v>3640</v>
      </c>
      <c r="D217" s="102"/>
      <c r="E217" s="102"/>
      <c r="F217" s="102"/>
      <c r="G217" s="102"/>
      <c r="H217" s="102"/>
      <c r="I217" s="1412" t="str">
        <f>IF($J$217="Government", "Additional documentation required - see QAP.","")</f>
        <v>Additional documentation required - see QAP.</v>
      </c>
      <c r="J217" s="2771" t="s">
        <v>7105</v>
      </c>
      <c r="K217" s="3006"/>
      <c r="L217" s="3007"/>
      <c r="M217" s="102"/>
      <c r="N217" s="102"/>
      <c r="O217" s="102"/>
      <c r="P217" s="102"/>
      <c r="V217" s="1023"/>
      <c r="W217" s="1023"/>
    </row>
    <row r="218" spans="1:26" ht="11.25" customHeight="1">
      <c r="A218" s="176"/>
      <c r="B218" s="455" t="s">
        <v>3591</v>
      </c>
      <c r="C218" s="428" t="s">
        <v>4568</v>
      </c>
      <c r="D218" s="33"/>
      <c r="E218" s="33"/>
      <c r="F218" s="561"/>
      <c r="G218" s="561"/>
      <c r="H218" s="561"/>
      <c r="I218" s="33"/>
      <c r="J218" s="2256" t="s">
        <v>2884</v>
      </c>
      <c r="K218" s="3002" t="s">
        <v>4313</v>
      </c>
      <c r="L218" s="3003"/>
      <c r="M218" s="3003"/>
      <c r="N218" s="3003"/>
      <c r="O218" s="1439"/>
      <c r="P218" s="92"/>
      <c r="V218" s="1023"/>
      <c r="W218" s="1023"/>
    </row>
    <row r="219" spans="1:26" ht="11.25" customHeight="1">
      <c r="A219" s="176"/>
      <c r="B219" s="385" t="s">
        <v>3593</v>
      </c>
      <c r="C219" s="428" t="s">
        <v>4312</v>
      </c>
      <c r="D219" s="33"/>
      <c r="E219" s="33"/>
      <c r="F219" s="561"/>
      <c r="G219" s="561"/>
      <c r="H219" s="561"/>
      <c r="I219" s="33"/>
      <c r="J219" s="2257" t="s">
        <v>2884</v>
      </c>
      <c r="K219" s="3002"/>
      <c r="L219" s="3003"/>
      <c r="M219" s="3003"/>
      <c r="N219" s="3003"/>
      <c r="O219" s="2323">
        <v>0.31879999999999997</v>
      </c>
      <c r="P219" s="1440" t="s">
        <v>3596</v>
      </c>
      <c r="V219" s="1023"/>
      <c r="W219" s="1023"/>
    </row>
    <row r="220" spans="1:26" ht="11.25" customHeight="1">
      <c r="A220" s="176"/>
      <c r="B220" s="385" t="s">
        <v>3594</v>
      </c>
      <c r="C220" s="428" t="s">
        <v>4315</v>
      </c>
      <c r="D220" s="33"/>
      <c r="E220" s="33"/>
      <c r="F220" s="561"/>
      <c r="G220" s="561"/>
      <c r="H220" s="561"/>
      <c r="I220" s="33"/>
      <c r="J220" s="2258" t="s">
        <v>2884</v>
      </c>
      <c r="L220" s="1441" t="s">
        <v>4314</v>
      </c>
      <c r="N220" s="1442"/>
      <c r="O220" s="3004">
        <v>43997</v>
      </c>
      <c r="P220" s="3005"/>
      <c r="V220" s="1023"/>
      <c r="W220" s="1023"/>
    </row>
    <row r="221" spans="1:26" ht="2.25" customHeight="1">
      <c r="A221" s="176"/>
      <c r="G221" s="389"/>
      <c r="L221" s="1086"/>
      <c r="V221" s="1023"/>
      <c r="W221" s="1023"/>
    </row>
    <row r="222" spans="1:26" ht="34.200000000000003" customHeight="1">
      <c r="A222" s="2962" t="s">
        <v>3823</v>
      </c>
      <c r="B222" s="2960" t="s">
        <v>3821</v>
      </c>
      <c r="C222" s="2961"/>
      <c r="D222" s="2871" t="s">
        <v>7131</v>
      </c>
      <c r="E222" s="2872"/>
      <c r="F222" s="2872"/>
      <c r="G222" s="2872"/>
      <c r="H222" s="2872"/>
      <c r="I222" s="2872"/>
      <c r="J222" s="2872"/>
      <c r="K222" s="2872"/>
      <c r="L222" s="2872"/>
      <c r="M222" s="2872"/>
      <c r="N222" s="2872"/>
      <c r="O222" s="2872"/>
      <c r="P222" s="2873"/>
      <c r="Q222" s="440"/>
      <c r="V222" s="1023"/>
      <c r="W222" s="1023"/>
    </row>
    <row r="223" spans="1:26" ht="27.75" customHeight="1">
      <c r="A223" s="2963"/>
      <c r="B223" s="3000" t="s">
        <v>3822</v>
      </c>
      <c r="C223" s="3001"/>
      <c r="D223" s="2737" t="s">
        <v>7106</v>
      </c>
      <c r="E223" s="2738"/>
      <c r="F223" s="2738"/>
      <c r="G223" s="2738"/>
      <c r="H223" s="2738"/>
      <c r="I223" s="2738"/>
      <c r="J223" s="2738"/>
      <c r="K223" s="2738"/>
      <c r="L223" s="2738"/>
      <c r="M223" s="2738"/>
      <c r="N223" s="2738"/>
      <c r="O223" s="2738"/>
      <c r="P223" s="2739"/>
      <c r="Q223" s="440"/>
      <c r="V223" s="1023"/>
      <c r="W223" s="1023"/>
    </row>
    <row r="224" spans="1:26" ht="30" customHeight="1">
      <c r="A224" s="2964"/>
      <c r="B224" s="2995" t="s">
        <v>4364</v>
      </c>
      <c r="C224" s="2996"/>
      <c r="D224" s="2734" t="s">
        <v>7107</v>
      </c>
      <c r="E224" s="2735"/>
      <c r="F224" s="2735"/>
      <c r="G224" s="2735"/>
      <c r="H224" s="2735"/>
      <c r="I224" s="2735"/>
      <c r="J224" s="2735"/>
      <c r="K224" s="2735"/>
      <c r="L224" s="2735"/>
      <c r="M224" s="2735"/>
      <c r="N224" s="2735"/>
      <c r="O224" s="2735"/>
      <c r="P224" s="2736"/>
      <c r="Q224" s="440"/>
      <c r="V224" s="1023"/>
      <c r="W224" s="1023"/>
    </row>
    <row r="225" spans="1:23" ht="11.25" customHeight="1">
      <c r="B225" s="36" t="s">
        <v>3337</v>
      </c>
      <c r="G225" s="3210" t="s">
        <v>2559</v>
      </c>
      <c r="H225" s="3210"/>
      <c r="J225" s="3208">
        <v>566021</v>
      </c>
      <c r="K225" s="3209"/>
      <c r="L225" s="4206"/>
      <c r="M225" s="4207"/>
      <c r="V225" s="1023"/>
      <c r="W225" s="1023"/>
    </row>
    <row r="226" spans="1:23" s="43" customFormat="1" ht="11.25" customHeight="1">
      <c r="C226" s="36" t="s">
        <v>3338</v>
      </c>
      <c r="D226" s="2378"/>
      <c r="G226" s="2935">
        <f>'Part IV-A-Uses of Funds'!$G$132</f>
        <v>10856073</v>
      </c>
      <c r="H226" s="2936"/>
      <c r="J226" s="2933">
        <f>IF($J225=0,0,$J225/$G$226)</f>
        <v>5.2138650873110377E-2</v>
      </c>
      <c r="K226" s="2934"/>
      <c r="L226" s="2933">
        <f>IF($L225=0,0,$L225/$G$226)</f>
        <v>0</v>
      </c>
      <c r="M226" s="2934"/>
      <c r="V226" s="1023"/>
      <c r="W226" s="1023"/>
    </row>
    <row r="227" spans="1:23" s="102" customFormat="1" ht="10.5" customHeight="1" thickBot="1">
      <c r="A227" s="42"/>
      <c r="B227" s="1132" t="s">
        <v>3566</v>
      </c>
      <c r="C227" s="42"/>
      <c r="D227" s="48"/>
      <c r="E227" s="48"/>
      <c r="F227" s="48"/>
      <c r="G227" s="48"/>
      <c r="H227" s="36"/>
      <c r="I227" s="36"/>
      <c r="J227" s="36"/>
      <c r="K227" s="36"/>
      <c r="M227" s="46"/>
      <c r="N227" s="6"/>
      <c r="O227" s="3"/>
      <c r="P227" s="2375"/>
    </row>
    <row r="228" spans="1:23" s="43" customFormat="1" ht="45" customHeight="1" thickTop="1" thickBot="1">
      <c r="A228" s="2940" t="s">
        <v>7132</v>
      </c>
      <c r="B228" s="2941"/>
      <c r="C228" s="2941"/>
      <c r="D228" s="2941"/>
      <c r="E228" s="2941"/>
      <c r="F228" s="2941"/>
      <c r="G228" s="2941"/>
      <c r="H228" s="2941"/>
      <c r="I228" s="2941"/>
      <c r="J228" s="2941"/>
      <c r="K228" s="2941"/>
      <c r="L228" s="2941"/>
      <c r="M228" s="2941"/>
      <c r="N228" s="2941"/>
      <c r="O228" s="2941"/>
      <c r="P228" s="2942"/>
      <c r="Q228" s="1027" t="s">
        <v>1228</v>
      </c>
    </row>
    <row r="229" spans="1:23" s="102" customFormat="1" ht="11.4" customHeight="1" thickTop="1">
      <c r="A229" s="42"/>
      <c r="B229" s="97" t="s">
        <v>1819</v>
      </c>
      <c r="C229" s="42"/>
      <c r="D229" s="97"/>
      <c r="E229" s="2382"/>
      <c r="F229" s="2382"/>
      <c r="G229" s="2382"/>
      <c r="H229" s="2382"/>
      <c r="I229" s="2382"/>
      <c r="J229" s="2382"/>
      <c r="K229" s="2382"/>
      <c r="L229" s="2382"/>
      <c r="M229" s="2382"/>
      <c r="N229" s="93"/>
      <c r="O229" s="836"/>
      <c r="P229" s="2375"/>
      <c r="Q229" s="422"/>
    </row>
    <row r="230" spans="1:23" s="43" customFormat="1" ht="11.25" customHeight="1">
      <c r="A230" s="2877"/>
      <c r="B230" s="2878"/>
      <c r="C230" s="2878"/>
      <c r="D230" s="2878"/>
      <c r="E230" s="2878"/>
      <c r="F230" s="2878"/>
      <c r="G230" s="2878"/>
      <c r="H230" s="2878"/>
      <c r="I230" s="2878"/>
      <c r="J230" s="2878"/>
      <c r="K230" s="2878"/>
      <c r="L230" s="2878"/>
      <c r="M230" s="2878"/>
      <c r="N230" s="2878"/>
      <c r="O230" s="2878"/>
      <c r="P230" s="2879"/>
      <c r="Q230" s="440"/>
    </row>
    <row r="231" spans="1:23" s="43" customFormat="1" ht="3" customHeight="1" thickBot="1">
      <c r="A231" s="42"/>
      <c r="C231" s="2378"/>
      <c r="D231" s="2378"/>
      <c r="E231" s="2378"/>
      <c r="F231" s="2378"/>
      <c r="G231" s="2378"/>
      <c r="H231" s="2378"/>
      <c r="I231" s="2378"/>
      <c r="J231" s="2378"/>
      <c r="K231" s="2378"/>
      <c r="L231" s="2378"/>
      <c r="M231" s="2378"/>
      <c r="N231" s="74"/>
      <c r="O231" s="70"/>
      <c r="P231" s="846"/>
    </row>
    <row r="232" spans="1:23" s="43" customFormat="1" ht="13.5" customHeight="1" thickBot="1">
      <c r="A232" s="152" t="s">
        <v>287</v>
      </c>
      <c r="B232" s="106" t="s">
        <v>3736</v>
      </c>
      <c r="C232" s="2378"/>
      <c r="D232" s="2378"/>
      <c r="E232" s="2378"/>
      <c r="F232" s="2378"/>
      <c r="G232" s="2378"/>
      <c r="H232" s="2378"/>
      <c r="I232" s="2378"/>
      <c r="J232" s="2378"/>
      <c r="M232" s="846">
        <v>3</v>
      </c>
      <c r="N232" s="74"/>
      <c r="O232" s="70"/>
      <c r="P232" s="4196"/>
      <c r="Q232" s="109" t="s">
        <v>433</v>
      </c>
      <c r="R232" s="974" t="s">
        <v>2625</v>
      </c>
    </row>
    <row r="233" spans="1:23" s="43" customFormat="1" ht="13.5" customHeight="1">
      <c r="A233" s="152"/>
      <c r="B233" s="103" t="s">
        <v>4116</v>
      </c>
      <c r="C233" s="2378"/>
      <c r="D233" s="2378"/>
      <c r="E233" s="2378"/>
      <c r="F233" s="2378"/>
      <c r="G233" s="2378"/>
      <c r="H233" s="2378"/>
      <c r="I233" s="2378"/>
      <c r="J233" s="2378"/>
      <c r="K233" s="2386"/>
      <c r="L233" s="1444" t="str">
        <f>IF(OR(O$150&gt;0,O$265&gt;0),"Applicant is ineligible for points in this section!  Points claimed in VI or IX.","")</f>
        <v/>
      </c>
      <c r="M233" s="846"/>
      <c r="N233" s="74"/>
      <c r="O233" s="2259"/>
      <c r="P233" s="4208"/>
      <c r="Q233" s="109"/>
      <c r="R233" s="2929" t="s">
        <v>4764</v>
      </c>
      <c r="S233" s="2929"/>
      <c r="T233" s="2929"/>
      <c r="U233" s="2929"/>
    </row>
    <row r="234" spans="1:23" s="43" customFormat="1" ht="13.5" customHeight="1">
      <c r="A234" s="152"/>
      <c r="B234" s="113" t="s">
        <v>3737</v>
      </c>
      <c r="C234" s="2378"/>
      <c r="D234" s="2378"/>
      <c r="E234" s="2378"/>
      <c r="F234" s="2378"/>
      <c r="G234" s="2378"/>
      <c r="H234" s="2378"/>
      <c r="I234" s="2378"/>
      <c r="J234" s="2378"/>
      <c r="K234" s="2386" t="s">
        <v>3139</v>
      </c>
      <c r="L234" s="2386" t="s">
        <v>251</v>
      </c>
      <c r="M234" s="846"/>
      <c r="N234" s="74"/>
      <c r="O234" s="70"/>
      <c r="P234" s="70"/>
      <c r="Q234" s="109"/>
      <c r="R234" s="2929"/>
      <c r="S234" s="2929"/>
      <c r="T234" s="2929"/>
      <c r="U234" s="2929"/>
    </row>
    <row r="235" spans="1:23" s="43" customFormat="1" ht="11.25" customHeight="1">
      <c r="A235" s="138"/>
      <c r="C235" s="55" t="s">
        <v>4569</v>
      </c>
      <c r="K235" s="1108">
        <f>$O$193</f>
        <v>7</v>
      </c>
      <c r="L235" s="1109">
        <f>$P$193</f>
        <v>0</v>
      </c>
      <c r="N235" s="455" t="s">
        <v>2371</v>
      </c>
      <c r="O235" s="2256"/>
      <c r="P235" s="518"/>
      <c r="R235" s="2929"/>
      <c r="S235" s="2929"/>
      <c r="T235" s="2929"/>
      <c r="U235" s="2929"/>
    </row>
    <row r="236" spans="1:23" s="43" customFormat="1" ht="11.25" customHeight="1">
      <c r="A236" s="138"/>
      <c r="C236" s="55" t="s">
        <v>4754</v>
      </c>
      <c r="K236" s="1108">
        <f>$O$112</f>
        <v>4</v>
      </c>
      <c r="L236" s="1109">
        <f>$P$112</f>
        <v>0</v>
      </c>
      <c r="N236" s="455" t="s">
        <v>2372</v>
      </c>
      <c r="O236" s="2257"/>
      <c r="P236" s="519"/>
      <c r="R236" s="2929"/>
      <c r="S236" s="2929"/>
      <c r="T236" s="2929"/>
      <c r="U236" s="2929"/>
    </row>
    <row r="237" spans="1:23" s="43" customFormat="1" ht="11.25" customHeight="1">
      <c r="C237" s="55" t="s">
        <v>4570</v>
      </c>
      <c r="N237" s="455" t="s">
        <v>2373</v>
      </c>
      <c r="O237" s="2258"/>
      <c r="P237" s="519"/>
      <c r="R237" s="2929"/>
      <c r="S237" s="2929"/>
      <c r="T237" s="2929"/>
      <c r="U237" s="2929"/>
    </row>
    <row r="238" spans="1:23" s="43" customFormat="1" ht="11.25" customHeight="1">
      <c r="A238" s="138"/>
      <c r="C238" s="55" t="s">
        <v>4755</v>
      </c>
      <c r="K238" s="1433" t="str">
        <f>'Part I-Project Information'!F38</f>
        <v>Montezuma</v>
      </c>
      <c r="L238" s="2395"/>
      <c r="N238" s="455" t="s">
        <v>2374</v>
      </c>
      <c r="O238" s="455"/>
      <c r="P238" s="519"/>
      <c r="R238" s="2929"/>
      <c r="S238" s="2929"/>
      <c r="T238" s="2929"/>
      <c r="U238" s="2929"/>
    </row>
    <row r="239" spans="1:23" s="43" customFormat="1" ht="11.25" customHeight="1">
      <c r="A239" s="138"/>
      <c r="C239" s="55" t="s">
        <v>4756</v>
      </c>
      <c r="K239" s="1108">
        <f>$O$150</f>
        <v>0</v>
      </c>
      <c r="L239" s="1109">
        <f>$P$150</f>
        <v>0</v>
      </c>
      <c r="N239" s="455" t="s">
        <v>2375</v>
      </c>
      <c r="O239" s="2256"/>
      <c r="P239" s="519"/>
      <c r="R239" s="2929"/>
      <c r="S239" s="2929"/>
      <c r="T239" s="2929"/>
      <c r="U239" s="2929"/>
    </row>
    <row r="240" spans="1:23" s="43" customFormat="1" ht="11.25" customHeight="1">
      <c r="A240" s="138"/>
      <c r="C240" s="55" t="s">
        <v>4757</v>
      </c>
      <c r="K240" s="1108">
        <f>$O$265</f>
        <v>0</v>
      </c>
      <c r="L240" s="1109">
        <f>$P$265</f>
        <v>0</v>
      </c>
      <c r="N240" s="455" t="s">
        <v>2374</v>
      </c>
      <c r="O240" s="2258"/>
      <c r="P240" s="520"/>
      <c r="R240" s="2929"/>
      <c r="S240" s="2929"/>
      <c r="T240" s="2929"/>
      <c r="U240" s="2929"/>
    </row>
    <row r="241" spans="1:23" s="43" customFormat="1" ht="3" customHeight="1">
      <c r="A241" s="42"/>
      <c r="C241" s="2378"/>
      <c r="D241" s="2378"/>
      <c r="E241" s="2378"/>
      <c r="F241" s="2378"/>
      <c r="G241" s="2378"/>
      <c r="H241" s="2378"/>
      <c r="I241" s="2378"/>
      <c r="J241" s="2378"/>
      <c r="K241" s="2378"/>
      <c r="L241" s="2378"/>
      <c r="M241" s="2378"/>
      <c r="N241" s="74"/>
      <c r="O241" s="70"/>
      <c r="P241" s="846"/>
      <c r="R241" s="2929"/>
      <c r="S241" s="2929"/>
      <c r="T241" s="2929"/>
      <c r="U241" s="2929"/>
    </row>
    <row r="242" spans="1:23" ht="11.25" customHeight="1">
      <c r="A242" s="138" t="s">
        <v>1935</v>
      </c>
      <c r="B242" s="177" t="s">
        <v>3739</v>
      </c>
      <c r="D242" s="33"/>
      <c r="G242" s="465" t="s">
        <v>3592</v>
      </c>
      <c r="N242" s="27"/>
      <c r="O242" s="27"/>
      <c r="P242" s="27"/>
      <c r="Q242" s="983"/>
      <c r="R242" s="2929"/>
      <c r="S242" s="2929"/>
      <c r="T242" s="2929"/>
      <c r="U242" s="2929"/>
    </row>
    <row r="243" spans="1:23" s="33" customFormat="1" ht="11.25" customHeight="1">
      <c r="A243" s="498"/>
      <c r="C243" s="134" t="s">
        <v>3643</v>
      </c>
      <c r="E243" s="2947"/>
      <c r="F243" s="2948"/>
      <c r="G243" s="2948"/>
      <c r="H243" s="2948"/>
      <c r="I243" s="2949"/>
      <c r="J243" s="2391" t="s">
        <v>2624</v>
      </c>
      <c r="K243" s="2983"/>
      <c r="L243" s="2984"/>
      <c r="M243" s="2984"/>
      <c r="N243" s="2984"/>
      <c r="O243" s="2985"/>
      <c r="P243" s="548"/>
      <c r="Q243" s="983"/>
      <c r="R243" s="2929"/>
      <c r="S243" s="2929"/>
      <c r="T243" s="2929"/>
      <c r="U243" s="2929"/>
    </row>
    <row r="244" spans="1:23" s="33" customFormat="1" ht="11.25" customHeight="1">
      <c r="A244" s="498"/>
      <c r="C244" s="134" t="s">
        <v>2143</v>
      </c>
      <c r="E244" s="2930"/>
      <c r="F244" s="2931"/>
      <c r="G244" s="2932"/>
      <c r="H244" s="1716" t="s">
        <v>1679</v>
      </c>
      <c r="I244" s="2324"/>
      <c r="J244" s="428" t="s">
        <v>1755</v>
      </c>
      <c r="K244" s="2930"/>
      <c r="L244" s="2931"/>
      <c r="M244" s="2931"/>
      <c r="N244" s="2931"/>
      <c r="O244" s="2932"/>
      <c r="Q244" s="983"/>
      <c r="R244" s="2929"/>
      <c r="S244" s="2929"/>
      <c r="T244" s="2929"/>
      <c r="U244" s="2929"/>
      <c r="V244" s="1023"/>
      <c r="W244" s="1023"/>
    </row>
    <row r="245" spans="1:23" ht="3" customHeight="1">
      <c r="A245" s="498"/>
      <c r="C245" s="985"/>
      <c r="D245" s="985"/>
      <c r="E245" s="985"/>
      <c r="F245" s="985"/>
      <c r="G245" s="985"/>
      <c r="H245" s="985"/>
      <c r="I245" s="985"/>
      <c r="J245" s="985"/>
      <c r="K245" s="985"/>
      <c r="L245" s="985"/>
      <c r="N245" s="27"/>
      <c r="O245" s="27"/>
      <c r="P245" s="27"/>
      <c r="Q245" s="983"/>
      <c r="R245" s="2929"/>
      <c r="S245" s="2929"/>
      <c r="T245" s="2929"/>
      <c r="U245" s="2929"/>
    </row>
    <row r="246" spans="1:23" ht="10.5" customHeight="1">
      <c r="A246" s="498"/>
      <c r="B246" s="562" t="s">
        <v>1938</v>
      </c>
      <c r="C246" s="985" t="s">
        <v>3738</v>
      </c>
      <c r="D246" s="981"/>
      <c r="E246" s="981"/>
      <c r="F246" s="981"/>
      <c r="G246" s="981"/>
      <c r="H246" s="981"/>
      <c r="I246" s="981"/>
      <c r="J246" s="981"/>
      <c r="K246" s="981"/>
      <c r="L246" s="981"/>
      <c r="M246" s="981"/>
      <c r="N246" s="981"/>
      <c r="O246" s="506" t="s">
        <v>2443</v>
      </c>
      <c r="P246" s="506" t="s">
        <v>2443</v>
      </c>
      <c r="Q246" s="981"/>
      <c r="R246" s="2929"/>
      <c r="S246" s="2929"/>
      <c r="T246" s="2929"/>
      <c r="U246" s="2929"/>
    </row>
    <row r="247" spans="1:23" s="33" customFormat="1" ht="21.75" customHeight="1">
      <c r="A247" s="2388"/>
      <c r="B247" s="588"/>
      <c r="C247" s="3167" t="s">
        <v>4758</v>
      </c>
      <c r="D247" s="3167"/>
      <c r="E247" s="3167"/>
      <c r="F247" s="3167"/>
      <c r="G247" s="3167"/>
      <c r="H247" s="3167"/>
      <c r="I247" s="3167"/>
      <c r="J247" s="3167"/>
      <c r="K247" s="3167"/>
      <c r="L247" s="3167"/>
      <c r="M247" s="3167"/>
      <c r="N247" s="388" t="s">
        <v>1938</v>
      </c>
      <c r="O247" s="2271"/>
      <c r="P247" s="1089"/>
      <c r="Q247" s="981"/>
      <c r="V247" s="1023"/>
      <c r="W247" s="1023"/>
    </row>
    <row r="248" spans="1:23" ht="11.25" customHeight="1">
      <c r="A248" s="498"/>
      <c r="B248" s="562" t="s">
        <v>1940</v>
      </c>
      <c r="C248" s="985" t="s">
        <v>3740</v>
      </c>
      <c r="D248" s="981"/>
      <c r="E248" s="981"/>
      <c r="F248" s="981"/>
      <c r="G248" s="465" t="s">
        <v>3592</v>
      </c>
      <c r="H248" s="981"/>
      <c r="I248" s="981"/>
      <c r="J248" s="981"/>
      <c r="K248" s="981"/>
      <c r="L248" s="981"/>
      <c r="M248" s="981"/>
      <c r="N248" s="981"/>
      <c r="O248" s="506" t="s">
        <v>2443</v>
      </c>
      <c r="P248" s="506" t="s">
        <v>2443</v>
      </c>
      <c r="Q248" s="981"/>
    </row>
    <row r="249" spans="1:23" ht="21" customHeight="1">
      <c r="A249" s="498"/>
      <c r="B249" s="987"/>
      <c r="C249" s="2943" t="s">
        <v>4571</v>
      </c>
      <c r="D249" s="2943"/>
      <c r="E249" s="2943"/>
      <c r="F249" s="2943"/>
      <c r="G249" s="2943"/>
      <c r="H249" s="2943"/>
      <c r="I249" s="2943"/>
      <c r="J249" s="2943"/>
      <c r="K249" s="2943"/>
      <c r="L249" s="2943"/>
      <c r="M249" s="2943"/>
      <c r="N249" s="388" t="s">
        <v>1940</v>
      </c>
      <c r="O249" s="2271"/>
      <c r="P249" s="1089"/>
      <c r="Q249" s="984"/>
      <c r="V249" s="1023"/>
      <c r="W249" s="1023"/>
    </row>
    <row r="250" spans="1:23" ht="11.25" customHeight="1">
      <c r="A250" s="138"/>
      <c r="B250" s="847" t="s">
        <v>2467</v>
      </c>
      <c r="C250" s="559" t="s">
        <v>3595</v>
      </c>
      <c r="D250" s="33"/>
      <c r="N250" s="27"/>
      <c r="O250" s="27"/>
      <c r="P250" s="27"/>
      <c r="Q250" s="114"/>
    </row>
    <row r="251" spans="1:23" s="33" customFormat="1" ht="21.75" customHeight="1">
      <c r="A251" s="498"/>
      <c r="B251" s="988"/>
      <c r="C251" s="3096" t="s">
        <v>3742</v>
      </c>
      <c r="D251" s="3096"/>
      <c r="E251" s="3096"/>
      <c r="F251" s="3096"/>
      <c r="G251" s="3096"/>
      <c r="H251" s="3096"/>
      <c r="I251" s="3096"/>
      <c r="J251" s="3096"/>
      <c r="K251" s="3096"/>
      <c r="L251" s="3096"/>
      <c r="M251" s="3096"/>
      <c r="N251" s="388" t="s">
        <v>2467</v>
      </c>
      <c r="O251" s="2271"/>
      <c r="P251" s="1089"/>
      <c r="Q251" s="984"/>
      <c r="V251" s="1023"/>
      <c r="W251" s="1023"/>
    </row>
    <row r="252" spans="1:23" s="33" customFormat="1" ht="10.5" customHeight="1">
      <c r="A252" s="498"/>
      <c r="B252" s="988"/>
      <c r="C252" s="2394"/>
      <c r="D252" s="2394"/>
      <c r="E252" s="2394"/>
      <c r="F252" s="2394"/>
      <c r="G252" s="588" t="s">
        <v>4381</v>
      </c>
      <c r="H252" s="2394"/>
      <c r="J252" s="3197"/>
      <c r="K252" s="3198"/>
      <c r="L252" s="2394"/>
      <c r="M252" s="2394"/>
      <c r="N252" s="2394"/>
      <c r="O252" s="2394"/>
      <c r="P252" s="2394"/>
      <c r="Q252" s="984"/>
      <c r="V252" s="1023"/>
      <c r="W252" s="1023"/>
    </row>
    <row r="253" spans="1:23" s="390" customFormat="1" ht="21" customHeight="1">
      <c r="A253" s="1727"/>
      <c r="B253" s="986" t="s">
        <v>2371</v>
      </c>
      <c r="C253" s="3096" t="s">
        <v>3743</v>
      </c>
      <c r="D253" s="3096"/>
      <c r="E253" s="3096"/>
      <c r="F253" s="3096"/>
      <c r="G253" s="3096"/>
      <c r="H253" s="3096"/>
      <c r="I253" s="3096"/>
      <c r="J253" s="3096"/>
      <c r="K253" s="3096"/>
      <c r="L253" s="3096"/>
      <c r="M253" s="3096"/>
      <c r="N253" s="986" t="s">
        <v>2371</v>
      </c>
      <c r="O253" s="2268"/>
      <c r="P253" s="1088"/>
      <c r="Q253" s="1728"/>
      <c r="V253" s="1729"/>
      <c r="W253" s="1729"/>
    </row>
    <row r="254" spans="1:23" s="33" customFormat="1" ht="11.25" customHeight="1">
      <c r="A254" s="498"/>
      <c r="B254" s="385" t="s">
        <v>2372</v>
      </c>
      <c r="C254" s="3167" t="s">
        <v>4316</v>
      </c>
      <c r="D254" s="3167"/>
      <c r="E254" s="3167"/>
      <c r="F254" s="3167"/>
      <c r="G254" s="3167"/>
      <c r="H254" s="3167"/>
      <c r="I254" s="3167"/>
      <c r="J254" s="3167"/>
      <c r="K254" s="3167"/>
      <c r="L254" s="3167"/>
      <c r="M254" s="3167"/>
      <c r="N254" s="385" t="s">
        <v>2372</v>
      </c>
      <c r="O254" s="2258"/>
      <c r="P254" s="520"/>
      <c r="Q254" s="984"/>
      <c r="V254" s="1023"/>
      <c r="W254" s="1023"/>
    </row>
    <row r="255" spans="1:23" ht="11.25" customHeight="1">
      <c r="A255" s="138"/>
      <c r="B255" s="847" t="s">
        <v>1198</v>
      </c>
      <c r="C255" s="559" t="s">
        <v>4317</v>
      </c>
      <c r="D255" s="33"/>
      <c r="N255" s="27"/>
      <c r="O255" s="27"/>
      <c r="P255" s="27"/>
      <c r="Q255" s="114"/>
    </row>
    <row r="256" spans="1:23" s="33" customFormat="1" ht="11.25" customHeight="1">
      <c r="A256" s="498"/>
      <c r="B256" s="385"/>
      <c r="C256" s="134" t="s">
        <v>4600</v>
      </c>
      <c r="D256" s="134"/>
      <c r="E256" s="134"/>
      <c r="F256" s="134"/>
      <c r="G256" s="134"/>
      <c r="H256" s="134"/>
      <c r="I256" s="134"/>
      <c r="J256" s="134"/>
      <c r="K256" s="134"/>
      <c r="L256" s="134"/>
      <c r="M256" s="134"/>
      <c r="N256" s="388" t="s">
        <v>1198</v>
      </c>
      <c r="O256" s="2259"/>
      <c r="P256" s="517"/>
      <c r="Q256" s="984"/>
      <c r="V256" s="1023"/>
      <c r="W256" s="1023"/>
    </row>
    <row r="257" spans="1:24" ht="11.4" customHeight="1">
      <c r="A257" s="138" t="s">
        <v>1937</v>
      </c>
      <c r="B257" s="177" t="s">
        <v>3741</v>
      </c>
      <c r="D257" s="33"/>
      <c r="G257" s="465" t="s">
        <v>3592</v>
      </c>
      <c r="N257" s="27"/>
      <c r="O257" s="506" t="s">
        <v>2443</v>
      </c>
      <c r="P257" s="506" t="s">
        <v>2443</v>
      </c>
      <c r="Q257" s="983"/>
    </row>
    <row r="258" spans="1:24" ht="22.5" customHeight="1">
      <c r="B258" s="562" t="s">
        <v>1938</v>
      </c>
      <c r="C258" s="3162" t="s">
        <v>4572</v>
      </c>
      <c r="D258" s="3162"/>
      <c r="E258" s="3162"/>
      <c r="F258" s="3162"/>
      <c r="G258" s="3162"/>
      <c r="H258" s="3162"/>
      <c r="I258" s="3162"/>
      <c r="J258" s="3162"/>
      <c r="K258" s="3162"/>
      <c r="L258" s="3162"/>
      <c r="M258" s="1070" t="s">
        <v>1937</v>
      </c>
      <c r="N258" s="388" t="s">
        <v>1938</v>
      </c>
      <c r="O258" s="2268"/>
      <c r="P258" s="1088"/>
      <c r="Q258" s="983"/>
      <c r="V258" s="1023"/>
      <c r="W258" s="1023"/>
    </row>
    <row r="259" spans="1:24" s="33" customFormat="1" ht="11.25" customHeight="1">
      <c r="A259" s="498"/>
      <c r="B259" s="562" t="s">
        <v>1940</v>
      </c>
      <c r="C259" s="428" t="s">
        <v>4573</v>
      </c>
      <c r="D259" s="930"/>
      <c r="E259" s="930"/>
      <c r="F259" s="930"/>
      <c r="G259" s="930"/>
      <c r="H259" s="930"/>
      <c r="I259" s="930"/>
      <c r="J259" s="930"/>
      <c r="K259" s="930"/>
      <c r="L259" s="930"/>
      <c r="M259" s="930"/>
      <c r="N259" s="388" t="s">
        <v>1940</v>
      </c>
      <c r="O259" s="2258"/>
      <c r="P259" s="520"/>
      <c r="Q259" s="984"/>
      <c r="V259" s="1136"/>
      <c r="W259" s="1136"/>
    </row>
    <row r="260" spans="1:24" s="43" customFormat="1" ht="12" customHeight="1" thickBot="1">
      <c r="A260" s="42"/>
      <c r="B260" s="1132" t="s">
        <v>3566</v>
      </c>
      <c r="C260" s="42"/>
      <c r="D260" s="48"/>
      <c r="E260" s="48"/>
      <c r="F260" s="48"/>
      <c r="G260" s="48"/>
      <c r="H260" s="36"/>
      <c r="I260" s="134"/>
      <c r="M260" s="46"/>
      <c r="N260" s="62"/>
      <c r="O260" s="3"/>
      <c r="P260" s="2377"/>
    </row>
    <row r="261" spans="1:24" s="43" customFormat="1" ht="45.6" customHeight="1" thickTop="1" thickBot="1">
      <c r="A261" s="3205" t="s">
        <v>948</v>
      </c>
      <c r="B261" s="3206"/>
      <c r="C261" s="3206"/>
      <c r="D261" s="3206"/>
      <c r="E261" s="3206"/>
      <c r="F261" s="3206"/>
      <c r="G261" s="3206"/>
      <c r="H261" s="3206"/>
      <c r="I261" s="3206"/>
      <c r="J261" s="3206"/>
      <c r="K261" s="3206"/>
      <c r="L261" s="3206"/>
      <c r="M261" s="3206"/>
      <c r="N261" s="3206"/>
      <c r="O261" s="3206"/>
      <c r="P261" s="3207"/>
      <c r="Q261" s="1027" t="s">
        <v>1228</v>
      </c>
    </row>
    <row r="262" spans="1:24" s="43" customFormat="1" ht="10.5" customHeight="1" thickTop="1">
      <c r="A262" s="42"/>
      <c r="B262" s="85" t="s">
        <v>1819</v>
      </c>
      <c r="C262" s="42"/>
      <c r="D262" s="85"/>
      <c r="E262" s="2378"/>
      <c r="F262" s="2378"/>
      <c r="G262" s="2378"/>
      <c r="H262" s="2378"/>
      <c r="I262" s="2378"/>
      <c r="J262" s="2378"/>
      <c r="K262" s="2378"/>
      <c r="L262" s="2378"/>
      <c r="M262" s="2378"/>
      <c r="N262" s="74"/>
      <c r="O262" s="70"/>
      <c r="P262" s="2375"/>
      <c r="Q262" s="422"/>
    </row>
    <row r="263" spans="1:24" s="43" customFormat="1" ht="22.2" customHeight="1">
      <c r="A263" s="4158"/>
      <c r="B263" s="4159"/>
      <c r="C263" s="4159"/>
      <c r="D263" s="4159"/>
      <c r="E263" s="4159"/>
      <c r="F263" s="4159"/>
      <c r="G263" s="4159"/>
      <c r="H263" s="4159"/>
      <c r="I263" s="4159"/>
      <c r="J263" s="4159"/>
      <c r="K263" s="4159"/>
      <c r="L263" s="4159"/>
      <c r="M263" s="4159"/>
      <c r="N263" s="4159"/>
      <c r="O263" s="4159"/>
      <c r="P263" s="4160"/>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4747</v>
      </c>
      <c r="M265" s="2375">
        <v>5</v>
      </c>
      <c r="N265" s="7"/>
      <c r="O265" s="1083">
        <f>O267+O276</f>
        <v>0</v>
      </c>
      <c r="P265" s="1083">
        <f>P267+P276</f>
        <v>0</v>
      </c>
      <c r="Q265" s="109" t="s">
        <v>433</v>
      </c>
      <c r="S265" s="2951" t="s">
        <v>4591</v>
      </c>
      <c r="T265" s="2952"/>
      <c r="U265" s="2953"/>
      <c r="V265" s="43"/>
      <c r="W265" s="43"/>
      <c r="X265" s="43"/>
    </row>
    <row r="266" spans="1:24" s="102" customFormat="1" ht="1.5" customHeight="1">
      <c r="A266" s="152"/>
      <c r="B266" s="106"/>
      <c r="C266" s="92"/>
      <c r="D266" s="59"/>
      <c r="E266" s="59"/>
      <c r="G266" s="172"/>
      <c r="M266" s="560"/>
      <c r="Q266" s="109"/>
      <c r="S266" s="2954"/>
      <c r="T266" s="2955"/>
      <c r="U266" s="2956"/>
      <c r="V266" s="43"/>
      <c r="W266" s="43"/>
      <c r="X266" s="43"/>
    </row>
    <row r="267" spans="1:24" s="102" customFormat="1" ht="11.25" customHeight="1">
      <c r="A267" s="3199" t="s">
        <v>1935</v>
      </c>
      <c r="B267" s="833" t="s">
        <v>4318</v>
      </c>
      <c r="C267" s="92"/>
      <c r="D267" s="59"/>
      <c r="E267" s="59"/>
      <c r="G267" s="465" t="s">
        <v>4728</v>
      </c>
      <c r="I267" s="1719" t="str">
        <f>'Part I-Project Information'!$O$38</f>
        <v>13193000400</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09"/>
      <c r="Q267" s="109"/>
      <c r="S267" s="2954"/>
      <c r="T267" s="2955"/>
      <c r="U267" s="2956"/>
      <c r="V267" s="43"/>
      <c r="W267" s="43"/>
      <c r="X267" s="43"/>
    </row>
    <row r="268" spans="1:24" ht="11.4" customHeight="1">
      <c r="A268" s="3199"/>
      <c r="B268" s="110" t="s">
        <v>2702</v>
      </c>
      <c r="C268" s="502"/>
      <c r="D268" s="502"/>
      <c r="G268" s="503" t="str">
        <f>'Part I-Project Information'!$H$105</f>
        <v>Rural</v>
      </c>
      <c r="N268" s="1438" t="s">
        <v>1935</v>
      </c>
      <c r="O268" s="1112" t="s">
        <v>2443</v>
      </c>
      <c r="P268" s="1112" t="s">
        <v>2443</v>
      </c>
      <c r="S268" s="2954"/>
      <c r="T268" s="2955"/>
      <c r="U268" s="2956"/>
      <c r="V268" s="43"/>
      <c r="W268" s="43"/>
      <c r="X268" s="43"/>
    </row>
    <row r="269" spans="1:24" ht="11.4" customHeight="1">
      <c r="A269" s="3199"/>
      <c r="B269" s="847" t="s">
        <v>1938</v>
      </c>
      <c r="C269" s="433" t="s">
        <v>2608</v>
      </c>
      <c r="E269" s="116"/>
      <c r="M269" s="80"/>
      <c r="N269" s="174" t="s">
        <v>1938</v>
      </c>
      <c r="O269" s="2256"/>
      <c r="P269" s="518"/>
      <c r="Q269" s="2944" t="str">
        <f>IF(AND(O269="Yes",O272="Yes"),"Only 1 or 4 can be 'Yes'!","")</f>
        <v/>
      </c>
      <c r="R269" s="2944"/>
      <c r="S269" s="2954"/>
      <c r="T269" s="2955"/>
      <c r="U269" s="2956"/>
    </row>
    <row r="270" spans="1:24" ht="11.4" customHeight="1">
      <c r="B270" s="847" t="s">
        <v>1940</v>
      </c>
      <c r="C270" s="433" t="s">
        <v>2653</v>
      </c>
      <c r="G270" s="100" t="s">
        <v>2326</v>
      </c>
      <c r="I270" s="2325"/>
      <c r="J270" s="433" t="s">
        <v>2654</v>
      </c>
      <c r="L270" s="134" t="s">
        <v>2652</v>
      </c>
      <c r="M270" s="848" t="str">
        <f>IF(O270&gt;I270,"CHECK ACTUAL PERCENT!!!","")</f>
        <v/>
      </c>
      <c r="N270" s="174" t="s">
        <v>1940</v>
      </c>
      <c r="O270" s="2326"/>
      <c r="P270" s="4210"/>
      <c r="Q270" s="2944"/>
      <c r="R270" s="2944"/>
      <c r="S270" s="2954"/>
      <c r="T270" s="2955"/>
      <c r="U270" s="2956"/>
    </row>
    <row r="271" spans="1:24" ht="11.4" customHeight="1">
      <c r="B271" s="847" t="s">
        <v>2467</v>
      </c>
      <c r="C271" s="412" t="s">
        <v>2327</v>
      </c>
      <c r="E271" s="116"/>
      <c r="G271" s="100" t="s">
        <v>2328</v>
      </c>
      <c r="J271" s="3211" t="s">
        <v>4468</v>
      </c>
      <c r="L271" s="428" t="s">
        <v>2647</v>
      </c>
      <c r="M271" s="33"/>
      <c r="N271" s="174" t="s">
        <v>2467</v>
      </c>
      <c r="O271" s="2327" t="s">
        <v>197</v>
      </c>
      <c r="P271" s="4211" t="s">
        <v>197</v>
      </c>
      <c r="Q271" s="2944"/>
      <c r="R271" s="2944"/>
      <c r="S271" s="2954"/>
      <c r="T271" s="2955"/>
      <c r="U271" s="2956"/>
    </row>
    <row r="272" spans="1:24" s="390" customFormat="1" ht="11.4" customHeight="1">
      <c r="B272" s="562" t="s">
        <v>1198</v>
      </c>
      <c r="C272" s="2943" t="s">
        <v>4574</v>
      </c>
      <c r="D272" s="2943"/>
      <c r="E272" s="2943"/>
      <c r="F272" s="2943"/>
      <c r="G272" s="2943"/>
      <c r="H272" s="2943"/>
      <c r="I272" s="2943"/>
      <c r="J272" s="3212"/>
      <c r="K272" s="3211" t="s">
        <v>3744</v>
      </c>
      <c r="M272" s="1074">
        <v>2</v>
      </c>
      <c r="N272" s="174" t="s">
        <v>1198</v>
      </c>
      <c r="O272" s="2389"/>
      <c r="P272" s="2253"/>
      <c r="Q272" s="2944"/>
      <c r="R272" s="2944"/>
      <c r="S272" s="2954"/>
      <c r="T272" s="2955"/>
      <c r="U272" s="2956"/>
    </row>
    <row r="273" spans="1:21" ht="11.4" customHeight="1">
      <c r="B273" s="372"/>
      <c r="C273" s="2943"/>
      <c r="D273" s="2943"/>
      <c r="E273" s="2943"/>
      <c r="F273" s="2943"/>
      <c r="G273" s="2943"/>
      <c r="H273" s="2943"/>
      <c r="I273" s="2943"/>
      <c r="J273" s="3213"/>
      <c r="K273" s="3213"/>
      <c r="L273" s="3151" t="s">
        <v>3780</v>
      </c>
      <c r="M273" s="3152"/>
      <c r="N273" s="116"/>
      <c r="S273" s="2954"/>
      <c r="T273" s="2955"/>
      <c r="U273" s="2956"/>
    </row>
    <row r="274" spans="1:21" ht="23.25" customHeight="1">
      <c r="B274" s="372"/>
      <c r="C274" s="2943"/>
      <c r="D274" s="2943"/>
      <c r="E274" s="2943"/>
      <c r="F274" s="2943"/>
      <c r="G274" s="2943"/>
      <c r="H274" s="2943"/>
      <c r="I274" s="2943"/>
      <c r="J274" s="2328"/>
      <c r="K274" s="2329"/>
      <c r="L274" s="1071">
        <f>O64</f>
        <v>10</v>
      </c>
      <c r="M274" s="1072">
        <f>P64</f>
        <v>0</v>
      </c>
      <c r="N274" s="27"/>
      <c r="S274" s="2957"/>
      <c r="T274" s="2958"/>
      <c r="U274" s="2959"/>
    </row>
    <row r="275" spans="1:21" ht="2.25" customHeight="1">
      <c r="A275" s="505"/>
      <c r="B275" s="847"/>
      <c r="C275" s="412"/>
      <c r="E275" s="116"/>
      <c r="M275" s="1073"/>
      <c r="N275" s="1069"/>
      <c r="O275" s="846"/>
      <c r="P275" s="846"/>
      <c r="S275" s="1808"/>
      <c r="T275" s="1809"/>
      <c r="U275" s="1810"/>
    </row>
    <row r="276" spans="1:21" ht="11.4" customHeight="1">
      <c r="A276" s="1614" t="s">
        <v>1937</v>
      </c>
      <c r="B276" s="847" t="s">
        <v>4319</v>
      </c>
      <c r="C276" s="412"/>
      <c r="E276" s="116"/>
      <c r="G276" s="465" t="s">
        <v>6798</v>
      </c>
      <c r="I276" s="2330"/>
      <c r="K276" s="1438" t="s">
        <v>4609</v>
      </c>
      <c r="L276" s="2331"/>
      <c r="M276" s="1073">
        <v>2</v>
      </c>
      <c r="N276" s="1075" t="s">
        <v>1937</v>
      </c>
      <c r="O276" s="2291"/>
      <c r="P276" s="4205"/>
      <c r="Q276" s="978" t="str">
        <f>IF(O276&lt;=M276,"","*CHECK!*")</f>
        <v/>
      </c>
      <c r="R276" s="974" t="s">
        <v>4765</v>
      </c>
      <c r="S276" s="1811"/>
      <c r="T276" s="1807"/>
      <c r="U276" s="1812"/>
    </row>
    <row r="277" spans="1:21" ht="11.4" customHeight="1">
      <c r="A277" s="505"/>
      <c r="B277" s="847" t="s">
        <v>1938</v>
      </c>
      <c r="C277" s="134" t="s">
        <v>4464</v>
      </c>
      <c r="D277" s="134"/>
      <c r="E277" s="1717"/>
      <c r="F277" s="1720"/>
      <c r="G277" s="134" t="s">
        <v>4320</v>
      </c>
      <c r="H277" s="930"/>
      <c r="I277" s="930"/>
      <c r="J277" s="33"/>
      <c r="K277" s="33"/>
      <c r="L277" s="170" t="s">
        <v>6799</v>
      </c>
      <c r="M277" s="72"/>
      <c r="N277" s="174" t="s">
        <v>1938</v>
      </c>
      <c r="O277" s="2268"/>
      <c r="P277" s="1088"/>
      <c r="Q277" s="978"/>
      <c r="R277" s="974"/>
      <c r="S277" s="1807"/>
      <c r="T277" s="1807"/>
      <c r="U277" s="1807"/>
    </row>
    <row r="278" spans="1:21" ht="11.4" customHeight="1">
      <c r="A278" s="505"/>
      <c r="B278" s="847" t="s">
        <v>1940</v>
      </c>
      <c r="C278" s="134" t="s">
        <v>4465</v>
      </c>
      <c r="D278" s="134"/>
      <c r="E278" s="1717"/>
      <c r="F278" s="1718"/>
      <c r="G278" s="134" t="s">
        <v>4321</v>
      </c>
      <c r="H278" s="930"/>
      <c r="I278" s="930"/>
      <c r="J278" s="33"/>
      <c r="K278" s="33"/>
      <c r="L278" s="170" t="s">
        <v>6799</v>
      </c>
      <c r="M278" s="80"/>
      <c r="N278" s="174" t="s">
        <v>1940</v>
      </c>
      <c r="O278" s="2258"/>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3566</v>
      </c>
      <c r="C280" s="42"/>
      <c r="D280" s="48"/>
      <c r="E280" s="48"/>
      <c r="F280" s="48"/>
      <c r="G280" s="48"/>
      <c r="H280" s="36"/>
      <c r="I280" s="36"/>
      <c r="J280" s="36"/>
      <c r="K280" s="36"/>
      <c r="M280" s="46"/>
      <c r="N280" s="62"/>
      <c r="O280" s="3"/>
      <c r="P280" s="2377"/>
    </row>
    <row r="281" spans="1:21" s="43" customFormat="1" ht="34.950000000000003" customHeight="1" thickTop="1" thickBot="1">
      <c r="A281" s="2940" t="s">
        <v>948</v>
      </c>
      <c r="B281" s="2941"/>
      <c r="C281" s="2941"/>
      <c r="D281" s="2941"/>
      <c r="E281" s="2941"/>
      <c r="F281" s="2941"/>
      <c r="G281" s="2941"/>
      <c r="H281" s="2941"/>
      <c r="I281" s="2941"/>
      <c r="J281" s="2941"/>
      <c r="K281" s="2941"/>
      <c r="L281" s="2941"/>
      <c r="M281" s="2941"/>
      <c r="N281" s="2941"/>
      <c r="O281" s="2941"/>
      <c r="P281" s="2942"/>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78"/>
      <c r="F283" s="2378"/>
      <c r="G283" s="2378"/>
      <c r="H283" s="2378"/>
      <c r="I283" s="2378"/>
      <c r="J283" s="2378"/>
      <c r="K283" s="2378"/>
      <c r="L283" s="2378"/>
      <c r="M283" s="2378"/>
      <c r="N283" s="74"/>
      <c r="O283" s="70"/>
      <c r="P283" s="2375"/>
      <c r="Q283" s="422"/>
    </row>
    <row r="284" spans="1:21" s="43" customFormat="1" ht="11.25" customHeight="1">
      <c r="A284" s="4158"/>
      <c r="B284" s="4159"/>
      <c r="C284" s="4159"/>
      <c r="D284" s="4159"/>
      <c r="E284" s="4159"/>
      <c r="F284" s="4159"/>
      <c r="G284" s="4159"/>
      <c r="H284" s="4159"/>
      <c r="I284" s="4159"/>
      <c r="J284" s="4159"/>
      <c r="K284" s="4159"/>
      <c r="L284" s="4159"/>
      <c r="M284" s="4159"/>
      <c r="N284" s="4159"/>
      <c r="O284" s="4159"/>
      <c r="P284" s="4160"/>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4715</v>
      </c>
      <c r="C286" s="412"/>
      <c r="E286" s="116"/>
      <c r="G286" s="1616" t="s">
        <v>3605</v>
      </c>
      <c r="H286" s="2388" t="s">
        <v>3452</v>
      </c>
      <c r="I286" s="1446">
        <f>IF('Part VI-Revenues &amp; Expenses'!$P$67=0,0,'Part VI-Revenues &amp; Expenses'!$P$64/'Part VI-Revenues &amp; Expenses'!$P$67)</f>
        <v>0</v>
      </c>
      <c r="J286" s="1438" t="s">
        <v>4603</v>
      </c>
      <c r="K286" s="2974" t="str">
        <f>'Part I-Project Information'!$K$94</f>
        <v>Income Averaging</v>
      </c>
      <c r="L286" s="2975"/>
      <c r="M286" s="150">
        <v>1</v>
      </c>
      <c r="N286" s="1069"/>
      <c r="O286" s="1041">
        <f>MIN($M$286,SUM(O287:O288))</f>
        <v>1</v>
      </c>
      <c r="P286" s="1041">
        <f>MIN($M$286,SUM(P287:P288))</f>
        <v>0</v>
      </c>
      <c r="Q286" s="109" t="s">
        <v>433</v>
      </c>
    </row>
    <row r="287" spans="1:21" ht="13.8">
      <c r="A287" s="2376" t="s">
        <v>1935</v>
      </c>
      <c r="B287" s="1615" t="s">
        <v>4601</v>
      </c>
      <c r="C287" s="412"/>
      <c r="D287" s="427" t="s">
        <v>4602</v>
      </c>
      <c r="M287" s="72">
        <v>1</v>
      </c>
      <c r="N287" s="455" t="s">
        <v>1935</v>
      </c>
      <c r="O287" s="2332"/>
      <c r="P287" s="4212"/>
      <c r="Q287" s="978" t="str">
        <f>IF(OR($O287=$M287,$O287=0,$O287=""),"","*CHECK!*")</f>
        <v/>
      </c>
      <c r="R287" s="974" t="s">
        <v>4765</v>
      </c>
    </row>
    <row r="288" spans="1:21" ht="13.8">
      <c r="A288" s="2376" t="s">
        <v>1937</v>
      </c>
      <c r="B288" s="1615" t="s">
        <v>4292</v>
      </c>
      <c r="C288" s="412"/>
      <c r="D288" s="427" t="s">
        <v>4721</v>
      </c>
      <c r="M288" s="80">
        <v>1</v>
      </c>
      <c r="N288" s="455" t="s">
        <v>1937</v>
      </c>
      <c r="O288" s="2287">
        <v>1</v>
      </c>
      <c r="P288" s="4182"/>
      <c r="Q288" s="978" t="str">
        <f>IF(OR($O288=$M288,$O288=0,$O288=""),"","*CHECK!*")</f>
        <v/>
      </c>
      <c r="R288" s="974" t="s">
        <v>4765</v>
      </c>
    </row>
    <row r="289" spans="1:27" ht="2.25" customHeight="1">
      <c r="A289" s="505"/>
      <c r="B289" s="847"/>
      <c r="C289" s="412"/>
      <c r="E289" s="116"/>
      <c r="M289" s="1073"/>
      <c r="N289" s="1069"/>
      <c r="O289" s="846"/>
      <c r="P289" s="846"/>
    </row>
    <row r="290" spans="1:27" s="43" customFormat="1" ht="14.4">
      <c r="A290" s="42"/>
      <c r="B290" s="85" t="s">
        <v>1819</v>
      </c>
      <c r="C290" s="42"/>
      <c r="D290" s="85"/>
      <c r="E290" s="2378"/>
      <c r="F290" s="2378"/>
      <c r="G290" s="2378"/>
      <c r="H290" s="2378"/>
      <c r="I290" s="2378"/>
      <c r="J290" s="2378"/>
      <c r="K290" s="2378"/>
      <c r="L290" s="2378"/>
      <c r="M290" s="2378"/>
      <c r="N290" s="74"/>
      <c r="O290" s="70"/>
      <c r="P290" s="2375"/>
      <c r="Q290" s="422"/>
    </row>
    <row r="291" spans="1:27" s="43" customFormat="1" ht="11.25" customHeight="1">
      <c r="A291" s="4158"/>
      <c r="B291" s="4159"/>
      <c r="C291" s="4159"/>
      <c r="D291" s="4159"/>
      <c r="E291" s="4159"/>
      <c r="F291" s="4159"/>
      <c r="G291" s="4159"/>
      <c r="H291" s="4159"/>
      <c r="I291" s="4159"/>
      <c r="J291" s="4159"/>
      <c r="K291" s="4159"/>
      <c r="L291" s="4159"/>
      <c r="M291" s="4159"/>
      <c r="N291" s="4159"/>
      <c r="O291" s="4159"/>
      <c r="P291" s="4160"/>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3745</v>
      </c>
      <c r="C293" s="92"/>
      <c r="D293" s="59"/>
      <c r="E293" s="59"/>
      <c r="H293" s="172"/>
      <c r="I293" s="1616" t="s">
        <v>3605</v>
      </c>
      <c r="M293" s="2375">
        <v>10</v>
      </c>
      <c r="N293" s="7"/>
      <c r="O293" s="1041">
        <f>IF(OR(O193&gt;0,O265&gt;0),0,IF(OR(O294="Yes",O295="Yes"),$M$293,0))</f>
        <v>0</v>
      </c>
      <c r="P293" s="1041">
        <f>IF(OR(P193&gt;0,P265&gt;0),0,IF(OR(P294="Yes",P295="Yes"),$M$293,0))</f>
        <v>0</v>
      </c>
      <c r="Q293" s="109" t="s">
        <v>433</v>
      </c>
      <c r="R293" s="2928" t="s">
        <v>4763</v>
      </c>
      <c r="S293" s="2928"/>
      <c r="T293" s="2928"/>
      <c r="U293" s="2928"/>
      <c r="V293" s="2928"/>
    </row>
    <row r="294" spans="1:27" ht="11.25" customHeight="1">
      <c r="A294" s="2376" t="s">
        <v>1935</v>
      </c>
      <c r="B294" s="1076" t="s">
        <v>3598</v>
      </c>
      <c r="D294" s="588"/>
      <c r="E294" s="588"/>
      <c r="F294" s="588"/>
      <c r="G294" s="588"/>
      <c r="H294" s="588"/>
      <c r="I294" s="588"/>
      <c r="J294" s="588"/>
      <c r="K294" s="588"/>
      <c r="L294" s="989"/>
      <c r="M294" s="3214" t="str">
        <f>IF(OR(SUM(T294:T295)&gt;1,SUM(Q294:Q295)&gt;1),"Only one category can be met by other means!","")</f>
        <v/>
      </c>
      <c r="N294" s="455" t="s">
        <v>1935</v>
      </c>
      <c r="O294" s="2256"/>
      <c r="P294" s="518"/>
      <c r="Q294" s="999">
        <f>IF(L294="Yes",1,0)</f>
        <v>0</v>
      </c>
      <c r="R294" s="2928"/>
      <c r="S294" s="2928"/>
      <c r="T294" s="2928"/>
      <c r="U294" s="2928"/>
      <c r="V294" s="2928"/>
    </row>
    <row r="295" spans="1:27" ht="11.25" customHeight="1">
      <c r="A295" s="2376" t="s">
        <v>1937</v>
      </c>
      <c r="B295" s="1076" t="s">
        <v>3599</v>
      </c>
      <c r="D295" s="588"/>
      <c r="L295" s="989"/>
      <c r="M295" s="3214"/>
      <c r="N295" s="455" t="s">
        <v>1937</v>
      </c>
      <c r="O295" s="2258"/>
      <c r="P295" s="520"/>
      <c r="Q295" s="999">
        <f>IF(L295="Yes",1,0)</f>
        <v>0</v>
      </c>
      <c r="R295" s="2928"/>
      <c r="S295" s="2928"/>
      <c r="T295" s="2928"/>
      <c r="U295" s="2928"/>
      <c r="V295" s="2928"/>
    </row>
    <row r="296" spans="1:27" s="43" customFormat="1" ht="10.5" customHeight="1" thickBot="1">
      <c r="A296" s="42"/>
      <c r="B296" s="1132" t="s">
        <v>3566</v>
      </c>
      <c r="C296" s="42"/>
      <c r="D296" s="48"/>
      <c r="E296" s="48"/>
      <c r="F296" s="48"/>
      <c r="G296" s="48"/>
      <c r="H296" s="36"/>
      <c r="I296" s="36"/>
      <c r="J296" s="36"/>
      <c r="K296" s="36"/>
      <c r="M296" s="46"/>
      <c r="N296" s="62"/>
      <c r="O296" s="3"/>
      <c r="P296" s="2377"/>
      <c r="R296" s="2928"/>
      <c r="S296" s="2928"/>
      <c r="T296" s="2928"/>
      <c r="U296" s="2928"/>
      <c r="V296" s="2928"/>
    </row>
    <row r="297" spans="1:27" s="43" customFormat="1" ht="34.950000000000003" customHeight="1" thickTop="1" thickBot="1">
      <c r="A297" s="2940" t="s">
        <v>948</v>
      </c>
      <c r="B297" s="2941"/>
      <c r="C297" s="2941"/>
      <c r="D297" s="2941"/>
      <c r="E297" s="2941"/>
      <c r="F297" s="2941"/>
      <c r="G297" s="2941"/>
      <c r="H297" s="2941"/>
      <c r="I297" s="2941"/>
      <c r="J297" s="2941"/>
      <c r="K297" s="2941"/>
      <c r="L297" s="2941"/>
      <c r="M297" s="2941"/>
      <c r="N297" s="2941"/>
      <c r="O297" s="2941"/>
      <c r="P297" s="2942"/>
      <c r="Q297" s="1027" t="s">
        <v>1228</v>
      </c>
    </row>
    <row r="298" spans="1:27" s="43" customFormat="1" ht="10.5" customHeight="1" thickTop="1">
      <c r="A298" s="42"/>
      <c r="B298" s="85" t="s">
        <v>1819</v>
      </c>
      <c r="C298" s="42"/>
      <c r="D298" s="85"/>
      <c r="E298" s="2378"/>
      <c r="F298" s="2378"/>
      <c r="G298" s="2378"/>
      <c r="H298" s="2378"/>
      <c r="I298" s="2378"/>
      <c r="J298" s="2378"/>
      <c r="K298" s="2378"/>
      <c r="L298" s="2378"/>
      <c r="M298" s="2378"/>
      <c r="N298" s="74"/>
      <c r="O298" s="70"/>
      <c r="P298" s="2375"/>
      <c r="Q298" s="422"/>
    </row>
    <row r="299" spans="1:27" s="43" customFormat="1" ht="11.25" customHeight="1">
      <c r="A299" s="4158"/>
      <c r="B299" s="4159"/>
      <c r="C299" s="4159"/>
      <c r="D299" s="4159"/>
      <c r="E299" s="4159"/>
      <c r="F299" s="4159"/>
      <c r="G299" s="4159"/>
      <c r="H299" s="4159"/>
      <c r="I299" s="4159"/>
      <c r="J299" s="4159"/>
      <c r="K299" s="4159"/>
      <c r="L299" s="4159"/>
      <c r="M299" s="4159"/>
      <c r="N299" s="4159"/>
      <c r="O299" s="4159"/>
      <c r="P299" s="4160"/>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4717</v>
      </c>
      <c r="D301" s="41"/>
      <c r="E301" s="41"/>
      <c r="F301" s="41"/>
      <c r="H301" s="61"/>
      <c r="J301" s="86" t="s">
        <v>2702</v>
      </c>
      <c r="K301" s="48"/>
      <c r="L301" s="587" t="str">
        <f>'Part I-Project Information'!$H$105</f>
        <v>Rural</v>
      </c>
      <c r="M301" s="2375">
        <v>3</v>
      </c>
      <c r="N301" s="6"/>
      <c r="O301" s="1081">
        <f>IF(AND($L$301="Flexible", $J$302="Yes- w/Master Plan",O303="Yes",O306="Yes",O307="No",O308="Yes",O309="Yes",O310="Yes"),$M301,0)</f>
        <v>0</v>
      </c>
      <c r="P301" s="1081">
        <f>IF(AND($L$301="Flexible", $J$302="Yes- w/Master Plan",P303="Yes",P306="Yes",P307="No",P308="Yes",P309="Yes",P310="Yes"),$M301,0)</f>
        <v>0</v>
      </c>
      <c r="Q301" s="109" t="s">
        <v>433</v>
      </c>
      <c r="R301" s="2950" t="s">
        <v>4575</v>
      </c>
      <c r="S301" s="2950"/>
      <c r="T301" s="2950"/>
      <c r="U301" s="2950"/>
      <c r="V301" s="2950"/>
      <c r="W301" s="1739"/>
      <c r="X301" s="1739"/>
    </row>
    <row r="302" spans="1:27" ht="11.25" customHeight="1">
      <c r="A302" s="2376"/>
      <c r="B302" s="1618" t="s">
        <v>4619</v>
      </c>
      <c r="D302" s="33"/>
      <c r="E302" s="33"/>
      <c r="F302" s="33"/>
      <c r="H302" s="86" t="s">
        <v>3507</v>
      </c>
      <c r="I302" s="427"/>
      <c r="J302" s="3200" t="str">
        <f>'Part I-Project Information'!$O$34</f>
        <v>No</v>
      </c>
      <c r="K302" s="3200"/>
      <c r="L302" s="887">
        <f>'Part I-Project Information'!$O$35</f>
        <v>0</v>
      </c>
      <c r="M302" s="72"/>
      <c r="N302" s="72"/>
      <c r="O302" s="72"/>
      <c r="P302" s="72"/>
      <c r="Q302" s="978" t="str">
        <f>IF(OR($O302=$M302,$O302=0,$O302=""),"","*CHECK!*")</f>
        <v/>
      </c>
      <c r="R302" s="2950"/>
      <c r="S302" s="2950"/>
      <c r="T302" s="2950"/>
      <c r="U302" s="2950"/>
      <c r="V302" s="2950"/>
    </row>
    <row r="303" spans="1:27" s="100" customFormat="1" ht="22.5" customHeight="1">
      <c r="A303" s="435" t="s">
        <v>1935</v>
      </c>
      <c r="B303" s="3096" t="s">
        <v>4618</v>
      </c>
      <c r="C303" s="3096"/>
      <c r="D303" s="3096"/>
      <c r="E303" s="3096"/>
      <c r="F303" s="3096"/>
      <c r="G303" s="3096"/>
      <c r="H303" s="3096"/>
      <c r="I303" s="3096"/>
      <c r="J303" s="3096"/>
      <c r="K303" s="3096"/>
      <c r="L303" s="3096"/>
      <c r="M303" s="3096"/>
      <c r="N303" s="160" t="s">
        <v>1935</v>
      </c>
      <c r="O303" s="2271"/>
      <c r="P303" s="1089"/>
      <c r="Q303" s="3204" t="s">
        <v>4620</v>
      </c>
      <c r="R303" s="2943"/>
      <c r="S303" s="2943"/>
      <c r="T303" s="2943"/>
      <c r="U303" s="982"/>
      <c r="V303" s="982"/>
      <c r="W303" s="982"/>
      <c r="X303" s="982"/>
      <c r="Y303" s="982"/>
      <c r="Z303" s="982"/>
      <c r="AA303" s="982"/>
    </row>
    <row r="304" spans="1:27" s="117" customFormat="1" ht="11.25" customHeight="1">
      <c r="A304" s="372"/>
      <c r="B304" s="134" t="s">
        <v>3611</v>
      </c>
      <c r="I304" s="385" t="s">
        <v>4325</v>
      </c>
      <c r="J304" s="2333"/>
      <c r="K304" s="385" t="s">
        <v>599</v>
      </c>
      <c r="L304" s="3201"/>
      <c r="M304" s="3202"/>
      <c r="N304" s="3202"/>
      <c r="O304" s="3202"/>
      <c r="P304" s="3203"/>
      <c r="Q304" s="3204"/>
      <c r="R304" s="2943"/>
      <c r="S304" s="2943"/>
      <c r="T304" s="2943"/>
    </row>
    <row r="305" spans="1:24" s="117" customFormat="1" ht="11.25" customHeight="1">
      <c r="A305" s="372"/>
      <c r="B305" s="134" t="s">
        <v>3641</v>
      </c>
      <c r="I305" s="385" t="s">
        <v>4325</v>
      </c>
      <c r="J305" s="2334"/>
      <c r="K305" s="385" t="s">
        <v>599</v>
      </c>
      <c r="L305" s="3093"/>
      <c r="M305" s="3094"/>
      <c r="N305" s="3094"/>
      <c r="O305" s="3094"/>
      <c r="P305" s="3095"/>
      <c r="Q305" s="3204"/>
      <c r="R305" s="2943"/>
      <c r="S305" s="2943"/>
      <c r="T305" s="2943"/>
    </row>
    <row r="306" spans="1:24" s="117" customFormat="1" ht="11.25" customHeight="1">
      <c r="A306" s="372" t="s">
        <v>1937</v>
      </c>
      <c r="B306" s="117" t="s">
        <v>941</v>
      </c>
      <c r="M306" s="7"/>
      <c r="N306" s="455" t="s">
        <v>1937</v>
      </c>
      <c r="O306" s="2266"/>
      <c r="P306" s="898"/>
      <c r="Q306" s="3204"/>
      <c r="R306" s="2943"/>
      <c r="S306" s="2943"/>
      <c r="T306" s="2943"/>
    </row>
    <row r="307" spans="1:24" s="117" customFormat="1" ht="11.25" customHeight="1">
      <c r="A307" s="372" t="s">
        <v>731</v>
      </c>
      <c r="B307" s="117" t="s">
        <v>942</v>
      </c>
      <c r="M307" s="7"/>
      <c r="N307" s="455" t="s">
        <v>731</v>
      </c>
      <c r="O307" s="2257"/>
      <c r="P307" s="519"/>
      <c r="Q307" s="3204"/>
      <c r="R307" s="2943"/>
      <c r="S307" s="2943"/>
      <c r="T307" s="2943"/>
    </row>
    <row r="308" spans="1:24" s="117" customFormat="1" ht="22.5" customHeight="1">
      <c r="A308" s="435" t="s">
        <v>2064</v>
      </c>
      <c r="B308" s="3096" t="s">
        <v>4621</v>
      </c>
      <c r="C308" s="3096"/>
      <c r="D308" s="3096"/>
      <c r="E308" s="3096"/>
      <c r="F308" s="3096"/>
      <c r="G308" s="3096"/>
      <c r="H308" s="3096"/>
      <c r="I308" s="3096"/>
      <c r="J308" s="3096"/>
      <c r="K308" s="3096"/>
      <c r="L308" s="3096"/>
      <c r="M308" s="3096"/>
      <c r="N308" s="160" t="s">
        <v>2064</v>
      </c>
      <c r="O308" s="2381"/>
      <c r="P308" s="2380"/>
      <c r="Q308" s="3204"/>
      <c r="R308" s="2943"/>
      <c r="S308" s="2943"/>
      <c r="T308" s="2943"/>
    </row>
    <row r="309" spans="1:24" s="117" customFormat="1" ht="11.25" customHeight="1">
      <c r="A309" s="372" t="s">
        <v>1692</v>
      </c>
      <c r="B309" s="134" t="s">
        <v>4326</v>
      </c>
      <c r="M309" s="7"/>
      <c r="N309" s="455" t="s">
        <v>1692</v>
      </c>
      <c r="O309" s="2258"/>
      <c r="P309" s="520"/>
      <c r="Q309" s="3204"/>
      <c r="R309" s="2943"/>
      <c r="S309" s="2943"/>
      <c r="T309" s="2943"/>
    </row>
    <row r="310" spans="1:24" s="117" customFormat="1" ht="11.25" customHeight="1">
      <c r="A310" s="372" t="s">
        <v>1693</v>
      </c>
      <c r="B310" s="117" t="s">
        <v>943</v>
      </c>
      <c r="M310" s="7"/>
      <c r="N310" s="455" t="s">
        <v>1693</v>
      </c>
      <c r="O310" s="2258"/>
      <c r="P310" s="520"/>
      <c r="Q310" s="3204"/>
      <c r="R310" s="2943"/>
      <c r="S310" s="2943"/>
      <c r="T310" s="2943"/>
    </row>
    <row r="311" spans="1:24" s="43" customFormat="1" ht="10.5" customHeight="1" thickBot="1">
      <c r="A311" s="42"/>
      <c r="B311" s="1132" t="s">
        <v>3566</v>
      </c>
      <c r="C311" s="42"/>
      <c r="D311" s="48"/>
      <c r="E311" s="48"/>
      <c r="F311" s="48"/>
      <c r="G311" s="48"/>
      <c r="H311" s="36"/>
      <c r="I311" s="36"/>
      <c r="J311" s="36"/>
      <c r="K311" s="36"/>
      <c r="M311" s="46"/>
      <c r="N311" s="62"/>
      <c r="O311" s="3"/>
      <c r="P311" s="2377"/>
    </row>
    <row r="312" spans="1:24" s="43" customFormat="1" ht="21.75" customHeight="1" thickTop="1" thickBot="1">
      <c r="A312" s="2940" t="s">
        <v>948</v>
      </c>
      <c r="B312" s="2941"/>
      <c r="C312" s="2941"/>
      <c r="D312" s="2941"/>
      <c r="E312" s="2941"/>
      <c r="F312" s="2941"/>
      <c r="G312" s="2941"/>
      <c r="H312" s="2941"/>
      <c r="I312" s="2941"/>
      <c r="J312" s="2941"/>
      <c r="K312" s="2941"/>
      <c r="L312" s="2941"/>
      <c r="M312" s="2941"/>
      <c r="N312" s="2941"/>
      <c r="O312" s="2941"/>
      <c r="P312" s="2942"/>
      <c r="Q312" s="1027" t="s">
        <v>1228</v>
      </c>
    </row>
    <row r="313" spans="1:24" s="43" customFormat="1" ht="10.5" customHeight="1" thickTop="1">
      <c r="B313" s="85" t="s">
        <v>1819</v>
      </c>
      <c r="C313" s="98"/>
      <c r="D313" s="85"/>
      <c r="E313" s="99"/>
      <c r="F313" s="2378"/>
      <c r="G313" s="2378"/>
      <c r="H313" s="2378"/>
      <c r="I313" s="2378"/>
      <c r="J313" s="2378"/>
      <c r="K313" s="2378"/>
      <c r="L313" s="2378"/>
      <c r="M313" s="2378"/>
      <c r="N313" s="74"/>
      <c r="O313" s="70"/>
      <c r="P313" s="2375"/>
      <c r="Q313" s="422"/>
    </row>
    <row r="314" spans="1:24" s="43" customFormat="1" ht="11.25" customHeight="1">
      <c r="A314" s="2877"/>
      <c r="B314" s="2878"/>
      <c r="C314" s="2878"/>
      <c r="D314" s="2878"/>
      <c r="E314" s="2878"/>
      <c r="F314" s="2878"/>
      <c r="G314" s="2878"/>
      <c r="H314" s="2878"/>
      <c r="I314" s="2878"/>
      <c r="J314" s="2878"/>
      <c r="K314" s="2878"/>
      <c r="L314" s="2878"/>
      <c r="M314" s="2878"/>
      <c r="N314" s="2878"/>
      <c r="O314" s="2878"/>
      <c r="P314" s="2879"/>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4604</v>
      </c>
      <c r="D316" s="41"/>
      <c r="E316" s="41"/>
      <c r="F316" s="61" t="s">
        <v>3279</v>
      </c>
      <c r="H316" s="113" t="s">
        <v>4622</v>
      </c>
      <c r="I316" s="33"/>
      <c r="J316" s="848" t="str">
        <f>'Part I-Project Information'!F39</f>
        <v>City Limits</v>
      </c>
      <c r="M316" s="2375">
        <v>5</v>
      </c>
      <c r="N316" s="6"/>
      <c r="O316" s="1041">
        <f>IF(O301&gt;0,0,MIN($M$316,MAX(O318,O322)))</f>
        <v>5</v>
      </c>
      <c r="P316" s="1041">
        <f>IF(P301&gt;0,0,MIN($M$316,MAX(P318,P322)))</f>
        <v>0</v>
      </c>
      <c r="Q316" s="109" t="s">
        <v>433</v>
      </c>
      <c r="R316" s="2926" t="s">
        <v>4575</v>
      </c>
      <c r="S316" s="2926"/>
      <c r="T316" s="2926"/>
      <c r="U316" s="2926"/>
      <c r="V316" s="2926"/>
      <c r="W316" s="1739"/>
      <c r="X316" s="1739"/>
    </row>
    <row r="317" spans="1:24" s="33" customFormat="1" ht="11.25" customHeight="1">
      <c r="A317" s="2376" t="s">
        <v>1935</v>
      </c>
      <c r="B317" s="177" t="s">
        <v>4626</v>
      </c>
      <c r="D317" s="561"/>
      <c r="J317" s="1619" t="str">
        <f>CONCATENATE('Part I-Project Information'!F38,", ",'Part I-Project Information'!J39)</f>
        <v>Montezuma, Macon</v>
      </c>
      <c r="R317" s="2926"/>
      <c r="S317" s="2926"/>
      <c r="T317" s="2926"/>
      <c r="U317" s="2926"/>
      <c r="V317" s="2926"/>
    </row>
    <row r="318" spans="1:24" s="33" customFormat="1" ht="36" customHeight="1">
      <c r="A318" s="2376"/>
      <c r="B318" s="3118" t="s">
        <v>4634</v>
      </c>
      <c r="C318" s="3118"/>
      <c r="D318" s="3118"/>
      <c r="E318" s="3118"/>
      <c r="F318" s="3118"/>
      <c r="G318" s="3118"/>
      <c r="H318" s="3118"/>
      <c r="I318" s="3118"/>
      <c r="J318" s="3118"/>
      <c r="K318" s="3118"/>
      <c r="L318" s="3118"/>
      <c r="M318" s="1621">
        <v>5</v>
      </c>
      <c r="N318" s="160" t="s">
        <v>1935</v>
      </c>
      <c r="O318" s="1622">
        <f>IF(AND(O319&gt;0,O320&gt;0),"Choose!",IF(O319&gt;0, $M$319,IF(O320&gt;0, $M$320, 0)))</f>
        <v>5</v>
      </c>
      <c r="P318" s="1622">
        <f>IF(AND(P319&gt;0,P320&gt;0),"Choose!",IF(P319&gt;0, $M$319,IF(P320&gt;0, $M$320, 0)))</f>
        <v>0</v>
      </c>
      <c r="R318" s="2926"/>
      <c r="S318" s="2926"/>
      <c r="T318" s="2926"/>
      <c r="U318" s="2926"/>
      <c r="V318" s="2926"/>
    </row>
    <row r="319" spans="1:24" s="33" customFormat="1" ht="11.25" customHeight="1">
      <c r="B319" s="847" t="s">
        <v>1938</v>
      </c>
      <c r="C319" s="559" t="s">
        <v>4624</v>
      </c>
      <c r="L319" s="374" t="str">
        <f>IF(OR($O319=$M319,$O319=0,$O319=""),"","* * Check Score! * *")</f>
        <v/>
      </c>
      <c r="M319" s="72">
        <v>5</v>
      </c>
      <c r="N319" s="430" t="s">
        <v>1938</v>
      </c>
      <c r="O319" s="2335">
        <v>5</v>
      </c>
      <c r="P319" s="4194"/>
      <c r="Q319" s="978" t="str">
        <f>IF(OR($O319=$M319,$O319=0,$O319=""),"","*CHECK!*")</f>
        <v/>
      </c>
      <c r="R319" s="974" t="s">
        <v>4765</v>
      </c>
    </row>
    <row r="320" spans="1:24" ht="11.25" customHeight="1">
      <c r="A320" s="560"/>
      <c r="B320" s="562" t="s">
        <v>1940</v>
      </c>
      <c r="C320" s="434" t="s">
        <v>4625</v>
      </c>
      <c r="D320" s="33"/>
      <c r="E320" s="33"/>
      <c r="F320" s="33"/>
      <c r="G320" s="40"/>
      <c r="H320" s="61"/>
      <c r="I320" s="40"/>
      <c r="L320" s="374" t="str">
        <f>IF(OR($O320=$M320,$O320=0,$O320=""),"","* * Check Score! * *")</f>
        <v/>
      </c>
      <c r="M320" s="80">
        <v>4</v>
      </c>
      <c r="N320" s="851" t="s">
        <v>1940</v>
      </c>
      <c r="O320" s="2287"/>
      <c r="P320" s="4182"/>
      <c r="Q320" s="978" t="str">
        <f>IF(OR($O320=$M320,$O320=0,$O320=""),"","*CHECK!*")</f>
        <v/>
      </c>
      <c r="R320" s="974" t="s">
        <v>4765</v>
      </c>
    </row>
    <row r="321" spans="1:21" s="33" customFormat="1" ht="11.25" customHeight="1">
      <c r="A321" s="2376" t="s">
        <v>1937</v>
      </c>
      <c r="B321" s="177" t="s">
        <v>4627</v>
      </c>
      <c r="D321" s="561"/>
      <c r="F321" s="1620" t="s">
        <v>4623</v>
      </c>
      <c r="H321" s="86" t="s">
        <v>2702</v>
      </c>
      <c r="I321" s="43"/>
      <c r="J321" s="587" t="str">
        <f>'Part I-Project Information'!$H$105</f>
        <v>Rural</v>
      </c>
    </row>
    <row r="322" spans="1:21" s="33" customFormat="1" ht="11.25" customHeight="1">
      <c r="A322" s="2376"/>
      <c r="B322" s="850" t="s">
        <v>4635</v>
      </c>
      <c r="D322" s="561"/>
      <c r="H322" s="61"/>
      <c r="M322" s="557">
        <v>3</v>
      </c>
      <c r="N322" s="455" t="s">
        <v>1937</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1938</v>
      </c>
      <c r="C323" s="559" t="s">
        <v>4629</v>
      </c>
      <c r="J323" s="1623" t="s">
        <v>4628</v>
      </c>
      <c r="L323" s="2939" t="str">
        <f>IF(OR(AND(O323&gt;0,O324&gt;0), AND(O326&gt;0,O327&gt;0), AND(O323+O324&gt;0,O326+O327&gt;0)),"Choose option 1 or 2 or 3 or 4!!!",IF(AND(J321="Rural", SUM(O326:O327)&gt;0),"Cannot choose options 3 or 4 if in Rural Pool!!!",""))</f>
        <v/>
      </c>
      <c r="M323" s="72">
        <v>3</v>
      </c>
      <c r="N323" s="430" t="s">
        <v>1938</v>
      </c>
      <c r="O323" s="2335"/>
      <c r="P323" s="4194"/>
      <c r="Q323" s="978" t="str">
        <f>IF(OR($O323=$M323,$O323=0,$O323=""),"","*CHECK!*")</f>
        <v/>
      </c>
      <c r="R323" s="974" t="s">
        <v>4765</v>
      </c>
    </row>
    <row r="324" spans="1:21" ht="11.25" customHeight="1">
      <c r="A324" s="560"/>
      <c r="B324" s="562" t="s">
        <v>1940</v>
      </c>
      <c r="C324" s="434" t="s">
        <v>4630</v>
      </c>
      <c r="D324" s="33"/>
      <c r="E324" s="33"/>
      <c r="F324" s="33"/>
      <c r="G324" s="40"/>
      <c r="H324" s="852"/>
      <c r="I324" s="40"/>
      <c r="J324" s="1623" t="s">
        <v>4628</v>
      </c>
      <c r="K324" s="1624"/>
      <c r="L324" s="2939"/>
      <c r="M324" s="80">
        <v>2</v>
      </c>
      <c r="N324" s="851" t="s">
        <v>1940</v>
      </c>
      <c r="O324" s="2287"/>
      <c r="P324" s="4182"/>
      <c r="Q324" s="978" t="str">
        <f>IF(OR($O324=$M324,$O324=0,$O324=""),"","*CHECK!*")</f>
        <v/>
      </c>
      <c r="R324" s="974" t="s">
        <v>4765</v>
      </c>
    </row>
    <row r="325" spans="1:21" ht="22.5" customHeight="1">
      <c r="A325" s="560"/>
      <c r="B325" s="3117" t="s">
        <v>4633</v>
      </c>
      <c r="C325" s="3117"/>
      <c r="D325" s="3117"/>
      <c r="E325" s="3117"/>
      <c r="F325" s="3117"/>
      <c r="G325" s="3117"/>
      <c r="H325" s="3117"/>
      <c r="I325" s="3117"/>
      <c r="J325" s="3117"/>
      <c r="K325" s="3117"/>
      <c r="L325" s="2939"/>
      <c r="M325" s="80"/>
      <c r="N325" s="80"/>
      <c r="O325" s="80"/>
      <c r="P325" s="80"/>
      <c r="Q325" s="978"/>
      <c r="R325" s="1039"/>
    </row>
    <row r="326" spans="1:21" ht="11.25" customHeight="1">
      <c r="A326" s="560"/>
      <c r="B326" s="562" t="s">
        <v>2467</v>
      </c>
      <c r="C326" s="559" t="s">
        <v>4631</v>
      </c>
      <c r="D326" s="33"/>
      <c r="E326" s="33"/>
      <c r="F326" s="33"/>
      <c r="G326" s="40"/>
      <c r="H326" s="852"/>
      <c r="I326" s="40"/>
      <c r="K326" s="1624"/>
      <c r="L326" s="2939"/>
      <c r="M326" s="80">
        <v>3</v>
      </c>
      <c r="N326" s="851" t="s">
        <v>2467</v>
      </c>
      <c r="O326" s="2336"/>
      <c r="P326" s="4213"/>
      <c r="Q326" s="978" t="str">
        <f>IF(OR($O326=$M326,$O326=0,$O326=""),"","*CHECK!*")</f>
        <v/>
      </c>
      <c r="R326" s="974" t="s">
        <v>4765</v>
      </c>
    </row>
    <row r="327" spans="1:21" ht="11.25" customHeight="1">
      <c r="A327" s="560"/>
      <c r="B327" s="562" t="s">
        <v>1198</v>
      </c>
      <c r="C327" s="434" t="s">
        <v>4632</v>
      </c>
      <c r="D327" s="33"/>
      <c r="E327" s="33"/>
      <c r="F327" s="33"/>
      <c r="G327" s="40"/>
      <c r="H327" s="61"/>
      <c r="I327" s="40"/>
      <c r="K327" s="1624"/>
      <c r="L327" s="2939"/>
      <c r="M327" s="80">
        <v>2</v>
      </c>
      <c r="N327" s="851" t="s">
        <v>1198</v>
      </c>
      <c r="O327" s="2287"/>
      <c r="P327" s="4182"/>
      <c r="Q327" s="978" t="str">
        <f>IF(OR($O327=$M327,$O327=0,$O327=""),"","*CHECK!*")</f>
        <v/>
      </c>
      <c r="R327" s="974" t="s">
        <v>4765</v>
      </c>
    </row>
    <row r="328" spans="1:21" s="43" customFormat="1" ht="10.5" customHeight="1" thickBot="1">
      <c r="A328" s="42"/>
      <c r="B328" s="1132" t="s">
        <v>3566</v>
      </c>
      <c r="C328" s="42"/>
      <c r="D328" s="48"/>
      <c r="E328" s="48"/>
      <c r="F328" s="48"/>
      <c r="G328" s="48"/>
      <c r="H328" s="36"/>
      <c r="I328" s="36"/>
      <c r="J328" s="36"/>
      <c r="K328" s="36"/>
      <c r="M328" s="46"/>
      <c r="N328" s="62"/>
      <c r="O328" s="3"/>
      <c r="P328" s="2377"/>
    </row>
    <row r="329" spans="1:21" s="43" customFormat="1" ht="21.75" customHeight="1" thickTop="1" thickBot="1">
      <c r="A329" s="2940" t="s">
        <v>7082</v>
      </c>
      <c r="B329" s="2941"/>
      <c r="C329" s="2941"/>
      <c r="D329" s="2941"/>
      <c r="E329" s="2941"/>
      <c r="F329" s="2941"/>
      <c r="G329" s="2941"/>
      <c r="H329" s="2941"/>
      <c r="I329" s="2941"/>
      <c r="J329" s="2941"/>
      <c r="K329" s="2941"/>
      <c r="L329" s="2941"/>
      <c r="M329" s="2941"/>
      <c r="N329" s="2941"/>
      <c r="O329" s="2941"/>
      <c r="P329" s="2942"/>
      <c r="Q329" s="1027" t="s">
        <v>1228</v>
      </c>
    </row>
    <row r="330" spans="1:21" s="43" customFormat="1" ht="10.5" customHeight="1" thickTop="1">
      <c r="B330" s="85" t="s">
        <v>1819</v>
      </c>
      <c r="C330" s="98"/>
      <c r="D330" s="85"/>
      <c r="E330" s="99"/>
      <c r="F330" s="2378"/>
      <c r="G330" s="2378"/>
      <c r="H330" s="2378"/>
      <c r="I330" s="2378"/>
      <c r="J330" s="2378"/>
      <c r="K330" s="2378"/>
      <c r="L330" s="2378"/>
      <c r="M330" s="2378"/>
      <c r="N330" s="74"/>
      <c r="O330" s="70"/>
      <c r="P330" s="2375"/>
      <c r="Q330" s="422"/>
    </row>
    <row r="331" spans="1:21" s="43" customFormat="1" ht="11.25" customHeight="1">
      <c r="A331" s="2877"/>
      <c r="B331" s="2878"/>
      <c r="C331" s="2878"/>
      <c r="D331" s="2878"/>
      <c r="E331" s="2878"/>
      <c r="F331" s="2878"/>
      <c r="G331" s="2878"/>
      <c r="H331" s="2878"/>
      <c r="I331" s="2878"/>
      <c r="J331" s="2878"/>
      <c r="K331" s="2878"/>
      <c r="L331" s="2878"/>
      <c r="M331" s="2878"/>
      <c r="N331" s="2878"/>
      <c r="O331" s="2878"/>
      <c r="P331" s="2879"/>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8"/>
      <c r="K333" s="48"/>
      <c r="L333" s="455" t="s">
        <v>4766</v>
      </c>
      <c r="M333" s="2375">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4327</v>
      </c>
      <c r="D335" s="61"/>
      <c r="E335" s="61"/>
      <c r="F335" s="44"/>
      <c r="G335" s="27"/>
      <c r="L335" s="374"/>
      <c r="M335" s="7">
        <v>3</v>
      </c>
      <c r="N335" s="430" t="s">
        <v>1938</v>
      </c>
      <c r="O335" s="2256" t="s">
        <v>2884</v>
      </c>
      <c r="P335" s="518"/>
      <c r="Q335" s="978"/>
      <c r="R335" s="1039"/>
      <c r="T335" s="1023"/>
      <c r="U335" s="1023"/>
    </row>
    <row r="336" spans="1:21" s="102" customFormat="1" ht="11.25" customHeight="1">
      <c r="A336" s="138"/>
      <c r="B336" s="562" t="s">
        <v>1940</v>
      </c>
      <c r="C336" s="40" t="s">
        <v>4328</v>
      </c>
      <c r="D336" s="61"/>
      <c r="E336" s="61"/>
      <c r="F336" s="44"/>
      <c r="G336" s="27"/>
      <c r="L336" s="374"/>
      <c r="M336" s="7">
        <v>2</v>
      </c>
      <c r="N336" s="851" t="s">
        <v>1940</v>
      </c>
      <c r="O336" s="2257"/>
      <c r="P336" s="519"/>
      <c r="Q336" s="978"/>
      <c r="R336" s="1039"/>
      <c r="T336" s="1023"/>
      <c r="U336" s="1023"/>
    </row>
    <row r="337" spans="1:21" s="102" customFormat="1" ht="10.5" customHeight="1">
      <c r="A337" s="138"/>
      <c r="B337" s="562" t="s">
        <v>2467</v>
      </c>
      <c r="C337" s="40" t="s">
        <v>4329</v>
      </c>
      <c r="D337" s="61"/>
      <c r="E337" s="61"/>
      <c r="F337" s="44"/>
      <c r="G337" s="27"/>
      <c r="K337" s="455"/>
      <c r="M337" s="7">
        <v>1</v>
      </c>
      <c r="N337" s="851" t="s">
        <v>2467</v>
      </c>
      <c r="O337" s="2258"/>
      <c r="P337" s="520"/>
      <c r="R337" s="387"/>
      <c r="T337" s="1023"/>
      <c r="U337" s="1023"/>
    </row>
    <row r="338" spans="1:21" s="43" customFormat="1" ht="11.25" customHeight="1">
      <c r="A338" s="138" t="s">
        <v>1937</v>
      </c>
      <c r="B338" s="165" t="s">
        <v>4576</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890" t="s">
        <v>4577</v>
      </c>
      <c r="C339" s="2890"/>
      <c r="D339" s="2890"/>
      <c r="E339" s="2890"/>
      <c r="F339" s="2890"/>
      <c r="G339" s="2890"/>
      <c r="H339" s="2890"/>
      <c r="I339" s="2890"/>
      <c r="J339" s="2890"/>
      <c r="K339" s="2890"/>
      <c r="L339" s="2890"/>
      <c r="M339" s="7"/>
      <c r="N339" s="455"/>
      <c r="O339" s="2337"/>
      <c r="P339" s="4214"/>
      <c r="Q339" s="387"/>
      <c r="R339" s="374"/>
      <c r="T339" s="1023"/>
      <c r="U339" s="1023"/>
    </row>
    <row r="340" spans="1:21" s="43" customFormat="1" ht="11.25" customHeight="1">
      <c r="A340" s="138" t="s">
        <v>731</v>
      </c>
      <c r="B340" s="165" t="s">
        <v>4330</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710" t="s">
        <v>4446</v>
      </c>
      <c r="C341" s="2710"/>
      <c r="D341" s="2710"/>
      <c r="E341" s="2710"/>
      <c r="F341" s="2710"/>
      <c r="G341" s="2710"/>
      <c r="H341" s="2710"/>
      <c r="I341" s="2710"/>
      <c r="J341" s="2710"/>
      <c r="K341" s="2710"/>
      <c r="L341" s="2710"/>
      <c r="M341" s="7"/>
      <c r="N341" s="455"/>
      <c r="O341" s="2389" t="s">
        <v>2884</v>
      </c>
      <c r="P341" s="2253"/>
      <c r="Q341" s="387"/>
      <c r="R341" s="374"/>
      <c r="T341" s="1023"/>
      <c r="U341" s="1023"/>
    </row>
    <row r="342" spans="1:21" s="43" customFormat="1" ht="22.5" customHeight="1">
      <c r="B342" s="2710" t="s">
        <v>4447</v>
      </c>
      <c r="C342" s="2710"/>
      <c r="D342" s="2710"/>
      <c r="E342" s="2710"/>
      <c r="F342" s="2710"/>
      <c r="G342" s="2710"/>
      <c r="H342" s="2710"/>
      <c r="I342" s="2710"/>
      <c r="J342" s="2710"/>
      <c r="K342" s="2710"/>
      <c r="L342" s="2710"/>
      <c r="M342" s="7"/>
      <c r="N342" s="7"/>
      <c r="O342" s="7"/>
      <c r="P342" s="7"/>
      <c r="Q342" s="387"/>
      <c r="R342" s="374"/>
      <c r="T342" s="1023"/>
      <c r="U342" s="1023"/>
    </row>
    <row r="343" spans="1:21" s="43" customFormat="1" ht="10.5" customHeight="1">
      <c r="A343" s="42"/>
      <c r="B343" s="85" t="s">
        <v>1819</v>
      </c>
      <c r="C343" s="98"/>
      <c r="D343" s="85"/>
      <c r="E343" s="99"/>
      <c r="F343" s="2378"/>
      <c r="G343" s="2378"/>
      <c r="H343" s="2378"/>
      <c r="I343" s="2378"/>
      <c r="J343" s="2378"/>
      <c r="K343" s="2378"/>
      <c r="L343" s="2378"/>
      <c r="M343" s="2378"/>
      <c r="N343" s="74"/>
      <c r="O343" s="70"/>
      <c r="P343" s="2375"/>
      <c r="Q343" s="422"/>
    </row>
    <row r="344" spans="1:21" s="43" customFormat="1" ht="11.25" customHeight="1">
      <c r="A344" s="2877"/>
      <c r="B344" s="2878"/>
      <c r="C344" s="2878"/>
      <c r="D344" s="2878"/>
      <c r="E344" s="2878"/>
      <c r="F344" s="2878"/>
      <c r="G344" s="2878"/>
      <c r="H344" s="2878"/>
      <c r="I344" s="2878"/>
      <c r="J344" s="2878"/>
      <c r="K344" s="2878"/>
      <c r="L344" s="2878"/>
      <c r="M344" s="2878"/>
      <c r="N344" s="2878"/>
      <c r="O344" s="2878"/>
      <c r="P344" s="2879"/>
      <c r="Q344" s="440"/>
    </row>
    <row r="345" spans="1:21" s="43" customFormat="1" ht="1.5" customHeight="1" thickBot="1">
      <c r="A345" s="42"/>
      <c r="B345" s="42"/>
      <c r="C345" s="2378"/>
      <c r="D345" s="2378"/>
      <c r="E345" s="2378"/>
      <c r="F345" s="2378"/>
      <c r="G345" s="2378"/>
      <c r="H345" s="2378"/>
      <c r="I345" s="2378"/>
      <c r="J345" s="2378"/>
      <c r="K345" s="2378"/>
      <c r="L345" s="2378"/>
      <c r="M345" s="2378"/>
      <c r="N345" s="74"/>
      <c r="O345" s="70"/>
      <c r="P345" s="846"/>
    </row>
    <row r="346" spans="1:21" s="43" customFormat="1" ht="12" customHeight="1" thickBot="1">
      <c r="A346" s="152" t="s">
        <v>2193</v>
      </c>
      <c r="B346" s="106" t="s">
        <v>3746</v>
      </c>
      <c r="C346" s="87"/>
      <c r="D346" s="58"/>
      <c r="E346" s="52"/>
      <c r="G346" s="55"/>
      <c r="M346" s="2375">
        <v>2</v>
      </c>
      <c r="N346" s="6"/>
      <c r="O346" s="6"/>
      <c r="P346" s="1081">
        <f>P347+P355</f>
        <v>0</v>
      </c>
      <c r="Q346" s="109" t="s">
        <v>433</v>
      </c>
    </row>
    <row r="347" spans="1:21" s="43" customFormat="1" ht="12" customHeight="1">
      <c r="A347" s="138" t="s">
        <v>1935</v>
      </c>
      <c r="B347" s="165" t="s">
        <v>3747</v>
      </c>
      <c r="C347" s="87"/>
      <c r="D347" s="58"/>
      <c r="E347" s="52"/>
      <c r="G347" s="1782">
        <f>'Part VIII-Threshold Criteria'!I352</f>
        <v>0</v>
      </c>
      <c r="L347" s="455" t="s">
        <v>4814</v>
      </c>
      <c r="M347" s="1781" t="str">
        <f>'Part I-Project Information'!H100</f>
        <v>No</v>
      </c>
      <c r="N347" s="455" t="s">
        <v>1935</v>
      </c>
      <c r="O347" s="454" t="str">
        <f>'Part I-Project Information'!$H$100</f>
        <v>No</v>
      </c>
      <c r="P347" s="4209"/>
      <c r="Q347" s="109"/>
      <c r="R347" s="1039" t="s">
        <v>2625</v>
      </c>
    </row>
    <row r="348" spans="1:21" s="102" customFormat="1" ht="10.5" customHeight="1">
      <c r="A348" s="138"/>
      <c r="B348" s="372" t="s">
        <v>1938</v>
      </c>
      <c r="C348" s="36" t="s">
        <v>4382</v>
      </c>
      <c r="D348" s="33"/>
      <c r="N348" s="430" t="s">
        <v>4383</v>
      </c>
      <c r="O348" s="2256"/>
      <c r="P348" s="518"/>
      <c r="R348" s="374"/>
    </row>
    <row r="349" spans="1:21" s="102" customFormat="1" ht="10.5" customHeight="1">
      <c r="A349" s="138"/>
      <c r="B349" s="372"/>
      <c r="C349" s="36" t="s">
        <v>4739</v>
      </c>
      <c r="D349" s="33"/>
      <c r="N349" s="430" t="s">
        <v>4384</v>
      </c>
      <c r="O349" s="2257"/>
      <c r="P349" s="519"/>
      <c r="R349" s="374"/>
    </row>
    <row r="350" spans="1:21" s="102" customFormat="1" ht="10.5" customHeight="1">
      <c r="A350" s="138"/>
      <c r="B350" s="372" t="s">
        <v>1940</v>
      </c>
      <c r="C350" s="36" t="s">
        <v>3755</v>
      </c>
      <c r="D350" s="33"/>
      <c r="N350" s="851" t="s">
        <v>1940</v>
      </c>
      <c r="O350" s="2257"/>
      <c r="P350" s="519"/>
      <c r="R350" s="374"/>
    </row>
    <row r="351" spans="1:21" s="102" customFormat="1" ht="10.5" customHeight="1">
      <c r="A351" s="138"/>
      <c r="B351" s="372" t="s">
        <v>2467</v>
      </c>
      <c r="C351" s="36" t="s">
        <v>4385</v>
      </c>
      <c r="D351" s="33"/>
      <c r="N351" s="851" t="s">
        <v>2467</v>
      </c>
      <c r="O351" s="2257"/>
      <c r="P351" s="519"/>
      <c r="R351" s="374"/>
    </row>
    <row r="352" spans="1:21" s="102" customFormat="1" ht="10.5" customHeight="1">
      <c r="B352" s="372" t="s">
        <v>1198</v>
      </c>
      <c r="C352" s="36" t="s">
        <v>4331</v>
      </c>
      <c r="D352" s="33"/>
      <c r="N352" s="851" t="s">
        <v>1198</v>
      </c>
      <c r="O352" s="2257"/>
      <c r="P352" s="519"/>
      <c r="R352" s="374"/>
    </row>
    <row r="353" spans="1:19" s="102" customFormat="1" ht="10.5" customHeight="1">
      <c r="A353" s="138"/>
      <c r="B353" s="372" t="s">
        <v>1199</v>
      </c>
      <c r="C353" s="36" t="s">
        <v>4332</v>
      </c>
      <c r="D353" s="33"/>
      <c r="N353" s="851" t="s">
        <v>1199</v>
      </c>
      <c r="O353" s="2257"/>
      <c r="P353" s="519"/>
      <c r="R353" s="374"/>
    </row>
    <row r="354" spans="1:19" s="102" customFormat="1" ht="10.5" customHeight="1">
      <c r="A354" s="138"/>
      <c r="B354" s="372" t="s">
        <v>1833</v>
      </c>
      <c r="C354" s="36" t="s">
        <v>3756</v>
      </c>
      <c r="D354" s="33"/>
      <c r="N354" s="851" t="s">
        <v>1833</v>
      </c>
      <c r="O354" s="2258"/>
      <c r="P354" s="520"/>
      <c r="R354" s="374"/>
    </row>
    <row r="355" spans="1:19" s="43" customFormat="1" ht="12" customHeight="1">
      <c r="A355" s="138" t="s">
        <v>1937</v>
      </c>
      <c r="B355" s="165" t="s">
        <v>3748</v>
      </c>
      <c r="C355" s="87"/>
      <c r="D355" s="58"/>
      <c r="E355" s="52"/>
      <c r="G355" s="1782">
        <f>'Part I-Project Information'!D164</f>
        <v>0</v>
      </c>
      <c r="I355" s="477"/>
      <c r="L355" s="1112"/>
      <c r="M355" s="1112"/>
      <c r="N355" s="455" t="s">
        <v>1937</v>
      </c>
      <c r="P355" s="4209"/>
      <c r="Q355" s="109"/>
      <c r="R355" s="1039" t="s">
        <v>2625</v>
      </c>
    </row>
    <row r="356" spans="1:19" s="102" customFormat="1" ht="10.5" customHeight="1">
      <c r="A356" s="153"/>
      <c r="B356" s="372" t="s">
        <v>1938</v>
      </c>
      <c r="C356" s="36" t="s">
        <v>4382</v>
      </c>
      <c r="D356" s="52"/>
      <c r="E356" s="52"/>
      <c r="M356" s="2375"/>
      <c r="N356" s="430" t="s">
        <v>4383</v>
      </c>
      <c r="O356" s="2256"/>
      <c r="P356" s="518"/>
      <c r="Q356" s="109"/>
    </row>
    <row r="357" spans="1:19" s="102" customFormat="1" ht="10.5" customHeight="1">
      <c r="A357" s="138"/>
      <c r="B357" s="372"/>
      <c r="C357" s="36" t="s">
        <v>4767</v>
      </c>
      <c r="D357" s="33"/>
      <c r="N357" s="430" t="s">
        <v>4384</v>
      </c>
      <c r="O357" s="2257"/>
      <c r="P357" s="519"/>
      <c r="R357" s="374"/>
    </row>
    <row r="358" spans="1:19" s="102" customFormat="1" ht="10.5" customHeight="1">
      <c r="A358" s="138"/>
      <c r="B358" s="372" t="s">
        <v>1940</v>
      </c>
      <c r="C358" s="36" t="s">
        <v>3767</v>
      </c>
      <c r="D358" s="33"/>
      <c r="N358" s="851" t="s">
        <v>1940</v>
      </c>
      <c r="O358" s="2257"/>
      <c r="P358" s="519"/>
      <c r="R358" s="374"/>
    </row>
    <row r="359" spans="1:19" s="102" customFormat="1" ht="10.5" customHeight="1">
      <c r="B359" s="372" t="s">
        <v>2467</v>
      </c>
      <c r="C359" s="36" t="s">
        <v>3756</v>
      </c>
      <c r="D359" s="33"/>
      <c r="N359" s="851" t="s">
        <v>2467</v>
      </c>
      <c r="O359" s="2258"/>
      <c r="P359" s="520"/>
      <c r="R359" s="374"/>
    </row>
    <row r="360" spans="1:19" s="43" customFormat="1" ht="10.5" customHeight="1">
      <c r="B360" s="85" t="s">
        <v>1819</v>
      </c>
      <c r="C360" s="98"/>
      <c r="D360" s="85"/>
      <c r="E360" s="99"/>
      <c r="F360" s="2378"/>
      <c r="G360" s="2378"/>
      <c r="H360" s="2378"/>
      <c r="I360" s="2378"/>
      <c r="J360" s="2378"/>
      <c r="K360" s="2378"/>
      <c r="L360" s="2378"/>
      <c r="M360" s="2378"/>
      <c r="N360" s="74"/>
      <c r="O360" s="70"/>
      <c r="P360" s="2375"/>
      <c r="Q360" s="422"/>
    </row>
    <row r="361" spans="1:19" s="43" customFormat="1" ht="11.25" customHeight="1">
      <c r="A361" s="2877"/>
      <c r="B361" s="2878"/>
      <c r="C361" s="2878"/>
      <c r="D361" s="2878"/>
      <c r="E361" s="2878"/>
      <c r="F361" s="2878"/>
      <c r="G361" s="2878"/>
      <c r="H361" s="2878"/>
      <c r="I361" s="2878"/>
      <c r="J361" s="2878"/>
      <c r="K361" s="2878"/>
      <c r="L361" s="2878"/>
      <c r="M361" s="2878"/>
      <c r="N361" s="2878"/>
      <c r="O361" s="2878"/>
      <c r="P361" s="2879"/>
      <c r="Q361" s="440"/>
    </row>
    <row r="362" spans="1:19" ht="2.25" customHeight="1"/>
    <row r="363" spans="1:19" s="43" customFormat="1" ht="2.25" customHeight="1" thickBot="1">
      <c r="A363" s="42"/>
      <c r="C363" s="2378"/>
      <c r="D363" s="2378"/>
      <c r="E363" s="2378"/>
      <c r="F363" s="2378"/>
      <c r="G363" s="2378"/>
      <c r="H363" s="2378"/>
      <c r="I363" s="2378"/>
      <c r="J363" s="2378"/>
      <c r="K363" s="2378"/>
      <c r="L363" s="2378"/>
      <c r="M363" s="2378"/>
      <c r="N363" s="74"/>
      <c r="O363" s="70"/>
      <c r="P363" s="846"/>
    </row>
    <row r="364" spans="1:19" s="43" customFormat="1" ht="12" customHeight="1" thickBot="1">
      <c r="A364" s="152" t="s">
        <v>3783</v>
      </c>
      <c r="B364" s="105" t="s">
        <v>1631</v>
      </c>
      <c r="D364" s="88"/>
      <c r="E364" s="88"/>
      <c r="G364" s="52"/>
      <c r="I364" s="449"/>
      <c r="J364" s="449"/>
      <c r="K364" s="1230"/>
      <c r="L364" s="1229"/>
      <c r="M364" s="846">
        <v>1</v>
      </c>
      <c r="N364" s="393"/>
      <c r="O364" s="2292"/>
      <c r="P364" s="4196"/>
      <c r="Q364" s="109" t="s">
        <v>433</v>
      </c>
      <c r="R364" s="2925" t="s">
        <v>4765</v>
      </c>
      <c r="S364" s="2925"/>
    </row>
    <row r="365" spans="1:19" s="43" customFormat="1" ht="11.25" customHeight="1">
      <c r="A365" s="138"/>
      <c r="B365" s="113" t="s">
        <v>3453</v>
      </c>
      <c r="D365" s="88"/>
      <c r="E365" s="88"/>
      <c r="G365" s="52"/>
      <c r="I365" s="3085"/>
      <c r="J365" s="3086"/>
      <c r="K365" s="3086"/>
      <c r="L365" s="3087"/>
      <c r="M365" s="426"/>
      <c r="N365" s="393"/>
      <c r="O365" s="1112" t="s">
        <v>2443</v>
      </c>
      <c r="P365" s="1112" t="s">
        <v>2443</v>
      </c>
      <c r="Q365" s="978"/>
      <c r="R365" s="2925"/>
      <c r="S365" s="2925"/>
    </row>
    <row r="366" spans="1:19" s="43" customFormat="1" ht="11.25" customHeight="1">
      <c r="A366" s="138"/>
      <c r="B366" s="372" t="s">
        <v>1938</v>
      </c>
      <c r="C366" s="55" t="s">
        <v>6800</v>
      </c>
      <c r="D366" s="88"/>
      <c r="E366" s="1813" t="s">
        <v>4345</v>
      </c>
      <c r="G366" s="52"/>
      <c r="I366" s="1228"/>
      <c r="J366" s="997"/>
      <c r="K366" s="997"/>
      <c r="L366" s="997"/>
      <c r="M366" s="2390"/>
      <c r="N366" s="1458"/>
      <c r="O366" s="2256"/>
      <c r="P366" s="518"/>
      <c r="Q366" s="1459"/>
      <c r="R366" s="2925"/>
      <c r="S366" s="2925"/>
    </row>
    <row r="367" spans="1:19" s="102" customFormat="1" ht="11.25" customHeight="1">
      <c r="A367" s="138"/>
      <c r="B367" s="51"/>
      <c r="C367" s="36"/>
      <c r="D367" s="51" t="s">
        <v>1326</v>
      </c>
      <c r="E367" s="36" t="s">
        <v>6801</v>
      </c>
      <c r="G367" s="52"/>
      <c r="H367" s="1055"/>
      <c r="I367" s="36"/>
      <c r="J367" s="36"/>
      <c r="K367" s="36"/>
      <c r="L367" s="2338"/>
      <c r="N367" s="1458"/>
      <c r="O367" s="2258"/>
      <c r="P367" s="520"/>
      <c r="Q367" s="1814"/>
      <c r="R367" s="2925"/>
      <c r="S367" s="2925"/>
    </row>
    <row r="368" spans="1:19" s="43" customFormat="1" ht="11.25" customHeight="1">
      <c r="B368" s="372" t="s">
        <v>1940</v>
      </c>
      <c r="C368" s="40" t="s">
        <v>4346</v>
      </c>
      <c r="D368" s="102"/>
      <c r="E368" s="88"/>
      <c r="F368" s="52"/>
      <c r="G368" s="52"/>
      <c r="N368" s="455"/>
      <c r="O368" s="1112" t="s">
        <v>2443</v>
      </c>
      <c r="P368" s="1112" t="s">
        <v>2443</v>
      </c>
    </row>
    <row r="369" spans="1:19" s="117" customFormat="1" ht="10.5" customHeight="1">
      <c r="B369" s="373" t="s">
        <v>2371</v>
      </c>
      <c r="C369" s="428" t="s">
        <v>3749</v>
      </c>
      <c r="H369" s="39"/>
      <c r="I369" s="39"/>
      <c r="J369" s="39"/>
      <c r="K369" s="39"/>
      <c r="N369" s="373" t="s">
        <v>2371</v>
      </c>
      <c r="O369" s="2256"/>
      <c r="P369" s="518"/>
    </row>
    <row r="370" spans="1:19" s="117" customFormat="1" ht="10.5" customHeight="1">
      <c r="B370" s="386" t="s">
        <v>2372</v>
      </c>
      <c r="C370" s="428" t="s">
        <v>3750</v>
      </c>
      <c r="N370" s="386" t="s">
        <v>2372</v>
      </c>
      <c r="O370" s="2257"/>
      <c r="P370" s="519"/>
    </row>
    <row r="371" spans="1:19" s="117" customFormat="1" ht="10.5" customHeight="1">
      <c r="B371" s="373" t="s">
        <v>2373</v>
      </c>
      <c r="C371" s="428" t="s">
        <v>4578</v>
      </c>
      <c r="N371" s="373" t="s">
        <v>2373</v>
      </c>
      <c r="O371" s="2258"/>
      <c r="P371" s="520"/>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3566</v>
      </c>
      <c r="C374" s="42"/>
      <c r="D374" s="48"/>
      <c r="E374" s="48"/>
      <c r="F374" s="48"/>
      <c r="G374" s="48"/>
      <c r="H374" s="36"/>
      <c r="I374" s="36"/>
      <c r="J374" s="36"/>
      <c r="K374" s="36"/>
      <c r="M374" s="46"/>
      <c r="N374" s="6"/>
      <c r="O374" s="3"/>
      <c r="P374" s="2375"/>
    </row>
    <row r="375" spans="1:19" s="43" customFormat="1" ht="10.95" customHeight="1" thickTop="1" thickBot="1">
      <c r="A375" s="2940" t="s">
        <v>7083</v>
      </c>
      <c r="B375" s="2941"/>
      <c r="C375" s="2941"/>
      <c r="D375" s="2941"/>
      <c r="E375" s="2941"/>
      <c r="F375" s="2941"/>
      <c r="G375" s="2941"/>
      <c r="H375" s="2941"/>
      <c r="I375" s="2941"/>
      <c r="J375" s="2941"/>
      <c r="K375" s="2941"/>
      <c r="L375" s="2941"/>
      <c r="M375" s="2941"/>
      <c r="N375" s="2941"/>
      <c r="O375" s="2941"/>
      <c r="P375" s="2942"/>
      <c r="Q375" s="1027" t="s">
        <v>1228</v>
      </c>
    </row>
    <row r="376" spans="1:19" s="102" customFormat="1" ht="10.5" customHeight="1" thickTop="1">
      <c r="A376" s="42"/>
      <c r="B376" s="97" t="s">
        <v>1819</v>
      </c>
      <c r="C376" s="42"/>
      <c r="D376" s="97"/>
      <c r="E376" s="2382"/>
      <c r="F376" s="2382"/>
      <c r="G376" s="2382"/>
      <c r="H376" s="2382"/>
      <c r="I376" s="2382"/>
      <c r="J376" s="2382"/>
      <c r="K376" s="2382"/>
      <c r="L376" s="2382"/>
      <c r="M376" s="2382"/>
      <c r="N376" s="93"/>
      <c r="O376" s="836"/>
      <c r="P376" s="2375"/>
      <c r="Q376" s="422"/>
    </row>
    <row r="377" spans="1:19" s="43" customFormat="1" ht="11.25" customHeight="1">
      <c r="A377" s="2877"/>
      <c r="B377" s="2878"/>
      <c r="C377" s="2878"/>
      <c r="D377" s="2878"/>
      <c r="E377" s="2878"/>
      <c r="F377" s="2878"/>
      <c r="G377" s="2878"/>
      <c r="H377" s="2878"/>
      <c r="I377" s="2878"/>
      <c r="J377" s="2878"/>
      <c r="K377" s="2878"/>
      <c r="L377" s="2878"/>
      <c r="M377" s="2878"/>
      <c r="N377" s="2878"/>
      <c r="O377" s="2878"/>
      <c r="P377" s="2879"/>
      <c r="Q377" s="440"/>
    </row>
    <row r="378" spans="1:19" ht="3" customHeight="1" thickBot="1"/>
    <row r="379" spans="1:19" s="43" customFormat="1" ht="12.75" customHeight="1" thickBot="1">
      <c r="A379" s="152" t="s">
        <v>3784</v>
      </c>
      <c r="B379" s="105" t="s">
        <v>3752</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4334</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084" t="str">
        <f>IF(OR(O381="No",O381="",O382="No",O382="",O383="No",O383="",O384="No",O384=""),"Unmet criterion results in no points!","")</f>
        <v>Unmet criterion results in no points!</v>
      </c>
      <c r="M381" s="3084"/>
      <c r="N381" s="373" t="s">
        <v>2371</v>
      </c>
      <c r="O381" s="2256"/>
      <c r="P381" s="518"/>
      <c r="R381" s="3196" t="str">
        <f>IF(OR(P381="No",P381="",P382="No",P382="",P383="No",P383="",P384="No",P384=""),"Unmet criterion results in no points!","")</f>
        <v>Unmet criterion results in no points!</v>
      </c>
      <c r="S381" s="3196" t="e">
        <f>IF(OR(V381="No",V381="",V382="No",V382="",V383="No",V383="",V384="No",V384="",#REF!="No",#REF!="",#REF!="No",#REF!=""),"Unmet criterion results in no points!","")</f>
        <v>#REF!</v>
      </c>
    </row>
    <row r="382" spans="1:19" s="100" customFormat="1" ht="12.75" customHeight="1">
      <c r="B382" s="373" t="s">
        <v>2372</v>
      </c>
      <c r="C382" s="134" t="s">
        <v>3614</v>
      </c>
      <c r="L382" s="3084"/>
      <c r="M382" s="3084"/>
      <c r="N382" s="373" t="s">
        <v>2372</v>
      </c>
      <c r="O382" s="2257"/>
      <c r="P382" s="519"/>
      <c r="R382" s="3196"/>
      <c r="S382" s="3196"/>
    </row>
    <row r="383" spans="1:19" s="100" customFormat="1" ht="12.75" customHeight="1">
      <c r="B383" s="373" t="s">
        <v>2373</v>
      </c>
      <c r="C383" s="134" t="s">
        <v>3613</v>
      </c>
      <c r="L383" s="3084"/>
      <c r="M383" s="3084"/>
      <c r="N383" s="373" t="s">
        <v>2373</v>
      </c>
      <c r="O383" s="2257"/>
      <c r="P383" s="519"/>
      <c r="R383" s="3196"/>
      <c r="S383" s="3196"/>
    </row>
    <row r="384" spans="1:19" s="100" customFormat="1" ht="33.75" customHeight="1">
      <c r="B384" s="386" t="s">
        <v>2374</v>
      </c>
      <c r="C384" s="3096" t="s">
        <v>4333</v>
      </c>
      <c r="D384" s="3096"/>
      <c r="E384" s="3096"/>
      <c r="F384" s="3096"/>
      <c r="G384" s="3096"/>
      <c r="H384" s="3096"/>
      <c r="I384" s="3096"/>
      <c r="J384" s="3096"/>
      <c r="K384" s="3096"/>
      <c r="L384" s="3096"/>
      <c r="M384" s="3096"/>
      <c r="N384" s="386" t="s">
        <v>2374</v>
      </c>
      <c r="O384" s="2389"/>
      <c r="P384" s="2253"/>
    </row>
    <row r="385" spans="1:20" ht="3" customHeight="1">
      <c r="C385" s="3096"/>
      <c r="D385" s="3096"/>
      <c r="E385" s="3096"/>
      <c r="F385" s="3096"/>
      <c r="G385" s="3096"/>
      <c r="H385" s="3096"/>
      <c r="I385" s="3096"/>
      <c r="J385" s="3096"/>
      <c r="K385" s="3096"/>
      <c r="L385" s="3096"/>
      <c r="M385" s="3096"/>
    </row>
    <row r="386" spans="1:20" ht="12.75" customHeight="1">
      <c r="A386" s="996" t="s">
        <v>1935</v>
      </c>
      <c r="B386" s="177" t="s">
        <v>3753</v>
      </c>
      <c r="L386" s="374" t="str">
        <f>IF(O386&lt;=M386,"","* * Check Score! * *")</f>
        <v/>
      </c>
      <c r="M386" s="1074">
        <v>3</v>
      </c>
      <c r="N386" s="455" t="s">
        <v>1935</v>
      </c>
      <c r="O386" s="2291"/>
      <c r="P386" s="4205"/>
      <c r="Q386" s="978" t="str">
        <f>IF(O386&lt;=M386,"","*CHECK!*")</f>
        <v/>
      </c>
      <c r="R386" s="3195" t="s">
        <v>4765</v>
      </c>
      <c r="S386" s="3195"/>
      <c r="T386" s="1745"/>
    </row>
    <row r="387" spans="1:20" ht="12.75" customHeight="1">
      <c r="A387" s="996"/>
      <c r="B387" s="562" t="s">
        <v>1938</v>
      </c>
      <c r="C387" s="981" t="s">
        <v>4336</v>
      </c>
      <c r="D387" s="981"/>
      <c r="E387" s="981"/>
      <c r="F387" s="981"/>
      <c r="G387" s="981"/>
      <c r="H387" s="981"/>
      <c r="I387" s="981"/>
      <c r="N387" s="27"/>
      <c r="O387" s="27"/>
      <c r="P387" s="27"/>
      <c r="R387" s="3195"/>
      <c r="S387" s="3195"/>
      <c r="T387" s="1745"/>
    </row>
    <row r="388" spans="1:20" ht="12.75" customHeight="1">
      <c r="A388" s="996"/>
      <c r="B388" s="435"/>
      <c r="C388" s="981" t="s">
        <v>4335</v>
      </c>
      <c r="D388" s="981"/>
      <c r="E388" s="981"/>
      <c r="F388" s="981"/>
      <c r="G388" s="981"/>
      <c r="H388" s="981"/>
      <c r="I388" s="981"/>
      <c r="J388" s="3083" t="s">
        <v>1942</v>
      </c>
      <c r="K388" s="3083"/>
      <c r="M388" s="3083" t="s">
        <v>1942</v>
      </c>
      <c r="N388" s="3083"/>
      <c r="O388" s="3083"/>
      <c r="P388" s="3083"/>
      <c r="R388" s="3195"/>
      <c r="S388" s="3195"/>
      <c r="T388" s="1745"/>
    </row>
    <row r="389" spans="1:20" s="43" customFormat="1" ht="12.75" customHeight="1">
      <c r="A389" s="175"/>
      <c r="B389" s="373" t="s">
        <v>2371</v>
      </c>
      <c r="C389" s="36" t="s">
        <v>1451</v>
      </c>
      <c r="I389" s="373" t="s">
        <v>2371</v>
      </c>
      <c r="J389" s="3101"/>
      <c r="K389" s="3102"/>
      <c r="L389" s="373" t="s">
        <v>2371</v>
      </c>
      <c r="M389" s="4215"/>
      <c r="N389" s="4216"/>
      <c r="O389" s="4216"/>
      <c r="P389" s="4217"/>
      <c r="R389" s="374"/>
    </row>
    <row r="390" spans="1:20" ht="12.75" customHeight="1">
      <c r="A390" s="176"/>
      <c r="B390" s="386" t="s">
        <v>2372</v>
      </c>
      <c r="C390" s="36" t="s">
        <v>3456</v>
      </c>
      <c r="I390" s="386" t="s">
        <v>2372</v>
      </c>
      <c r="J390" s="2945"/>
      <c r="K390" s="2946"/>
      <c r="L390" s="386" t="s">
        <v>2372</v>
      </c>
      <c r="M390" s="4218"/>
      <c r="N390" s="4219"/>
      <c r="O390" s="4219"/>
      <c r="P390" s="4220"/>
      <c r="R390" s="374"/>
    </row>
    <row r="391" spans="1:20" ht="12.75" customHeight="1">
      <c r="B391" s="373" t="s">
        <v>2373</v>
      </c>
      <c r="C391" s="36" t="s">
        <v>4579</v>
      </c>
      <c r="I391" s="373" t="s">
        <v>2373</v>
      </c>
      <c r="J391" s="2945"/>
      <c r="K391" s="2946"/>
      <c r="L391" s="373" t="s">
        <v>2373</v>
      </c>
      <c r="M391" s="4218"/>
      <c r="N391" s="4219"/>
      <c r="O391" s="4219"/>
      <c r="P391" s="4220"/>
      <c r="R391" s="374"/>
    </row>
    <row r="392" spans="1:20" ht="12.75" customHeight="1">
      <c r="A392" s="176"/>
      <c r="B392" s="373" t="s">
        <v>2374</v>
      </c>
      <c r="C392" s="36" t="s">
        <v>3343</v>
      </c>
      <c r="I392" s="373" t="s">
        <v>2374</v>
      </c>
      <c r="J392" s="2945"/>
      <c r="K392" s="2946"/>
      <c r="L392" s="373" t="s">
        <v>2374</v>
      </c>
      <c r="M392" s="4218"/>
      <c r="N392" s="4219"/>
      <c r="O392" s="4219"/>
      <c r="P392" s="4220"/>
      <c r="R392" s="374"/>
    </row>
    <row r="393" spans="1:20" s="43" customFormat="1" ht="12.75" customHeight="1">
      <c r="A393" s="175"/>
      <c r="B393" s="386" t="s">
        <v>2375</v>
      </c>
      <c r="C393" s="36" t="s">
        <v>2646</v>
      </c>
      <c r="I393" s="386" t="s">
        <v>2375</v>
      </c>
      <c r="J393" s="2945"/>
      <c r="K393" s="2946"/>
      <c r="L393" s="386" t="s">
        <v>2375</v>
      </c>
      <c r="M393" s="4218"/>
      <c r="N393" s="4219"/>
      <c r="O393" s="4219"/>
      <c r="P393" s="4220"/>
      <c r="R393" s="374"/>
    </row>
    <row r="394" spans="1:20" ht="12.75" customHeight="1">
      <c r="B394" s="373" t="s">
        <v>2391</v>
      </c>
      <c r="C394" s="36" t="s">
        <v>1450</v>
      </c>
      <c r="I394" s="373" t="s">
        <v>2391</v>
      </c>
      <c r="J394" s="2945"/>
      <c r="K394" s="2946"/>
      <c r="L394" s="373" t="s">
        <v>2391</v>
      </c>
      <c r="M394" s="4218"/>
      <c r="N394" s="4219"/>
      <c r="O394" s="4219"/>
      <c r="P394" s="4220"/>
      <c r="R394" s="374"/>
    </row>
    <row r="395" spans="1:20" ht="12.75" customHeight="1">
      <c r="A395" s="176"/>
      <c r="B395" s="373" t="s">
        <v>2392</v>
      </c>
      <c r="C395" s="36" t="s">
        <v>3455</v>
      </c>
      <c r="I395" s="373" t="s">
        <v>2392</v>
      </c>
      <c r="J395" s="2945"/>
      <c r="K395" s="2946"/>
      <c r="L395" s="373" t="s">
        <v>2392</v>
      </c>
      <c r="M395" s="4218"/>
      <c r="N395" s="4219"/>
      <c r="O395" s="4219"/>
      <c r="P395" s="4220"/>
      <c r="R395" s="374"/>
    </row>
    <row r="396" spans="1:20" ht="12.75" customHeight="1">
      <c r="B396" s="385" t="s">
        <v>2393</v>
      </c>
      <c r="C396" s="36" t="s">
        <v>4337</v>
      </c>
      <c r="I396" s="385" t="s">
        <v>2393</v>
      </c>
      <c r="J396" s="2945"/>
      <c r="K396" s="2946"/>
      <c r="L396" s="385" t="s">
        <v>2393</v>
      </c>
      <c r="M396" s="4218"/>
      <c r="N396" s="4219"/>
      <c r="O396" s="4219"/>
      <c r="P396" s="4220"/>
      <c r="R396" s="374"/>
    </row>
    <row r="397" spans="1:20" ht="12.75" customHeight="1">
      <c r="B397" s="385" t="s">
        <v>2394</v>
      </c>
      <c r="C397" s="36" t="s">
        <v>4338</v>
      </c>
      <c r="I397" s="385" t="s">
        <v>2394</v>
      </c>
      <c r="J397" s="2945"/>
      <c r="K397" s="2946"/>
      <c r="L397" s="385" t="s">
        <v>2394</v>
      </c>
      <c r="M397" s="4218"/>
      <c r="N397" s="4219"/>
      <c r="O397" s="4219"/>
      <c r="P397" s="4220"/>
      <c r="R397" s="374"/>
    </row>
    <row r="398" spans="1:20" ht="12.75" customHeight="1" thickBot="1">
      <c r="B398" s="385" t="s">
        <v>3457</v>
      </c>
      <c r="C398" s="36" t="s">
        <v>4339</v>
      </c>
      <c r="I398" s="385" t="s">
        <v>3457</v>
      </c>
      <c r="J398" s="2945"/>
      <c r="K398" s="2946"/>
      <c r="L398" s="385" t="s">
        <v>3457</v>
      </c>
      <c r="M398" s="4221"/>
      <c r="N398" s="4222"/>
      <c r="O398" s="4222"/>
      <c r="P398" s="4223"/>
      <c r="R398" s="374"/>
    </row>
    <row r="399" spans="1:20" ht="12.75" customHeight="1" thickBot="1">
      <c r="B399" s="1110" t="s">
        <v>4340</v>
      </c>
      <c r="H399" s="1131" t="s">
        <v>2558</v>
      </c>
      <c r="J399" s="2937">
        <f>SUM(J389:K398)</f>
        <v>0</v>
      </c>
      <c r="K399" s="2938"/>
      <c r="M399" s="2937">
        <f>SUM($M389:$M398)</f>
        <v>0</v>
      </c>
      <c r="N399" s="3100"/>
      <c r="O399" s="3100"/>
      <c r="P399" s="2938"/>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3115" t="s">
        <v>4449</v>
      </c>
      <c r="D402" s="3115"/>
      <c r="E402" s="3115"/>
      <c r="F402" s="428" t="s">
        <v>4371</v>
      </c>
      <c r="H402" s="27"/>
      <c r="I402" s="2339"/>
      <c r="J402" s="3103">
        <f>'Part IV-A-Uses of Funds'!$G$132</f>
        <v>10856073</v>
      </c>
      <c r="K402" s="3104"/>
      <c r="L402" s="524"/>
      <c r="M402" s="492"/>
      <c r="N402" s="492"/>
      <c r="O402" s="1064"/>
      <c r="P402" s="492"/>
    </row>
    <row r="403" spans="1:23" ht="12.75" customHeight="1">
      <c r="C403" s="3115"/>
      <c r="D403" s="3115"/>
      <c r="E403" s="3115"/>
      <c r="F403" s="432" t="s">
        <v>4370</v>
      </c>
      <c r="I403" s="2340"/>
      <c r="J403" s="3110">
        <f>IF($J402=0,0,$J399/$J402)</f>
        <v>0</v>
      </c>
      <c r="K403" s="3111"/>
      <c r="M403" s="3112">
        <f>IF($J402=0,0,$M399/$J402)</f>
        <v>0</v>
      </c>
      <c r="N403" s="3113"/>
      <c r="O403" s="3113"/>
      <c r="P403" s="3114"/>
    </row>
    <row r="404" spans="1:23" s="43" customFormat="1" ht="12.75" customHeight="1">
      <c r="C404" s="3115"/>
      <c r="D404" s="3115"/>
      <c r="E404" s="3115"/>
      <c r="F404" s="1013" t="s">
        <v>4369</v>
      </c>
      <c r="I404" s="2341"/>
      <c r="J404" s="3107">
        <f>IF(L381="", IF($J403&gt;=0.1, 3,IF($J403&gt;=0.05, 2,IF($J403&gt;=0.02,1,0))),0)</f>
        <v>0</v>
      </c>
      <c r="K404" s="3109"/>
      <c r="L404" s="503"/>
      <c r="M404" s="3107">
        <f>IF(R381="", IF($M403&gt;=0.1, 3,IF($M403&gt;=0.05, 2,IF($M403&gt;=0.02,1,0))),0)</f>
        <v>0</v>
      </c>
      <c r="N404" s="3108"/>
      <c r="O404" s="3108"/>
      <c r="P404" s="3109"/>
    </row>
    <row r="405" spans="1:23" ht="3" customHeight="1" thickBot="1"/>
    <row r="406" spans="1:23" s="102" customFormat="1" ht="12.75" customHeight="1" thickBot="1">
      <c r="A406" s="138" t="s">
        <v>1937</v>
      </c>
      <c r="B406" s="179" t="s">
        <v>3458</v>
      </c>
      <c r="D406" s="39"/>
      <c r="E406" s="36"/>
      <c r="F406" s="846"/>
      <c r="H406" s="36"/>
      <c r="I406" s="846"/>
      <c r="J406" s="856"/>
      <c r="K406" s="856"/>
      <c r="L406" s="374" t="str">
        <f>IF(OR($O406=$M406,$O406=0,$O406=""),"","* * Check Score! * *")</f>
        <v/>
      </c>
      <c r="M406" s="565">
        <v>1</v>
      </c>
      <c r="N406" s="64" t="s">
        <v>1937</v>
      </c>
      <c r="O406" s="2292"/>
      <c r="P406" s="4196"/>
      <c r="Q406" s="109" t="s">
        <v>433</v>
      </c>
      <c r="R406" s="974" t="s">
        <v>4765</v>
      </c>
      <c r="V406" s="1023"/>
      <c r="W406" s="1023"/>
    </row>
    <row r="407" spans="1:23" s="43" customFormat="1" ht="22.5" customHeight="1">
      <c r="A407" s="138"/>
      <c r="B407" s="986" t="s">
        <v>2371</v>
      </c>
      <c r="C407" s="2710" t="s">
        <v>3754</v>
      </c>
      <c r="D407" s="2710"/>
      <c r="E407" s="2710"/>
      <c r="F407" s="2710"/>
      <c r="G407" s="2710"/>
      <c r="H407" s="2710"/>
      <c r="I407" s="2710"/>
      <c r="J407" s="2710"/>
      <c r="K407" s="2710"/>
      <c r="L407" s="2710"/>
      <c r="M407" s="2710"/>
      <c r="N407" s="386" t="s">
        <v>2371</v>
      </c>
      <c r="O407" s="2274"/>
      <c r="P407" s="4224"/>
      <c r="V407" s="1023"/>
      <c r="W407" s="1023"/>
    </row>
    <row r="408" spans="1:23" s="43" customFormat="1" ht="12.75" customHeight="1">
      <c r="A408" s="138"/>
      <c r="B408" s="373" t="s">
        <v>2372</v>
      </c>
      <c r="C408" s="52" t="s">
        <v>3606</v>
      </c>
      <c r="D408" s="52"/>
      <c r="E408" s="52"/>
      <c r="F408" s="52"/>
      <c r="G408" s="52"/>
      <c r="H408" s="52"/>
      <c r="I408" s="52"/>
      <c r="J408" s="52"/>
      <c r="K408" s="52"/>
      <c r="M408" s="52"/>
      <c r="N408" s="386" t="s">
        <v>2372</v>
      </c>
      <c r="O408" s="2258"/>
      <c r="P408" s="520"/>
      <c r="V408" s="1023"/>
      <c r="W408" s="1023"/>
    </row>
    <row r="409" spans="1:23" ht="12.75" customHeight="1">
      <c r="B409" s="373" t="s">
        <v>2373</v>
      </c>
      <c r="C409" s="427" t="s">
        <v>4341</v>
      </c>
      <c r="N409" s="373" t="s">
        <v>2373</v>
      </c>
      <c r="O409" s="2258"/>
      <c r="P409" s="520"/>
    </row>
    <row r="410" spans="1:23" ht="12" customHeight="1" thickBot="1">
      <c r="B410" s="1132" t="s">
        <v>3566</v>
      </c>
    </row>
    <row r="411" spans="1:23" s="43" customFormat="1" ht="21.75" customHeight="1" thickTop="1" thickBot="1">
      <c r="A411" s="2940" t="s">
        <v>948</v>
      </c>
      <c r="B411" s="2941"/>
      <c r="C411" s="2941"/>
      <c r="D411" s="2941"/>
      <c r="E411" s="2941"/>
      <c r="F411" s="2941"/>
      <c r="G411" s="2941"/>
      <c r="H411" s="2941"/>
      <c r="I411" s="2941"/>
      <c r="J411" s="2941"/>
      <c r="K411" s="2941"/>
      <c r="L411" s="2941"/>
      <c r="M411" s="2941"/>
      <c r="N411" s="2941"/>
      <c r="O411" s="2941"/>
      <c r="P411" s="2942"/>
      <c r="Q411" s="1027" t="s">
        <v>1228</v>
      </c>
    </row>
    <row r="412" spans="1:23" s="102" customFormat="1" ht="11.25" customHeight="1" thickTop="1">
      <c r="A412" s="42"/>
      <c r="B412" s="494" t="s">
        <v>1819</v>
      </c>
      <c r="C412" s="98"/>
      <c r="D412" s="97"/>
      <c r="E412" s="2399"/>
      <c r="F412" s="2382"/>
      <c r="G412" s="2382"/>
      <c r="H412" s="2382"/>
      <c r="I412" s="2382"/>
      <c r="J412" s="2382"/>
      <c r="K412" s="2382"/>
      <c r="L412" s="2382"/>
      <c r="M412" s="2382"/>
      <c r="N412" s="93"/>
      <c r="O412" s="836"/>
      <c r="P412" s="2375"/>
      <c r="Q412" s="422"/>
    </row>
    <row r="413" spans="1:23" s="43" customFormat="1" ht="11.25" customHeight="1">
      <c r="A413" s="2877"/>
      <c r="B413" s="2878"/>
      <c r="C413" s="2878"/>
      <c r="D413" s="2878"/>
      <c r="E413" s="2878"/>
      <c r="F413" s="2878"/>
      <c r="G413" s="2878"/>
      <c r="H413" s="2878"/>
      <c r="I413" s="2878"/>
      <c r="J413" s="2878"/>
      <c r="K413" s="2878"/>
      <c r="L413" s="2878"/>
      <c r="M413" s="2878"/>
      <c r="N413" s="2878"/>
      <c r="O413" s="2878"/>
      <c r="P413" s="2879"/>
      <c r="Q413" s="440"/>
    </row>
    <row r="414" spans="1:23" s="43" customFormat="1" ht="3" customHeight="1" thickBot="1">
      <c r="A414" s="42"/>
      <c r="B414" s="42"/>
      <c r="C414" s="2378"/>
      <c r="D414" s="2378"/>
      <c r="E414" s="2378"/>
      <c r="F414" s="2378"/>
      <c r="G414" s="2378"/>
      <c r="H414" s="2378"/>
      <c r="I414" s="2378"/>
      <c r="J414" s="2378"/>
      <c r="K414" s="2378"/>
      <c r="L414" s="2378"/>
      <c r="M414" s="2378"/>
      <c r="N414" s="74"/>
      <c r="O414" s="70"/>
      <c r="P414" s="846"/>
    </row>
    <row r="415" spans="1:23" s="43" customFormat="1" ht="13.5" customHeight="1" thickBot="1">
      <c r="A415" s="1722" t="s">
        <v>3782</v>
      </c>
      <c r="B415" s="105" t="s">
        <v>2639</v>
      </c>
      <c r="D415" s="40"/>
      <c r="G415" s="61" t="s">
        <v>3279</v>
      </c>
      <c r="J415" s="36"/>
      <c r="K415" s="36"/>
      <c r="L415" s="36"/>
      <c r="M415" s="2375">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3344</v>
      </c>
      <c r="D417" s="3085" t="s">
        <v>4440</v>
      </c>
      <c r="E417" s="3086"/>
      <c r="F417" s="3086"/>
      <c r="G417" s="3086"/>
      <c r="H417" s="3086"/>
      <c r="I417" s="3087"/>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4580</v>
      </c>
      <c r="C419" s="389"/>
      <c r="D419" s="389"/>
      <c r="E419" s="389"/>
      <c r="F419" s="389"/>
      <c r="G419" s="389"/>
      <c r="H419" s="389"/>
      <c r="I419" s="389"/>
      <c r="M419" s="410">
        <v>2</v>
      </c>
      <c r="N419" s="160" t="s">
        <v>1935</v>
      </c>
      <c r="O419" s="2291"/>
      <c r="P419" s="4205"/>
      <c r="Q419" s="978" t="str">
        <f>IF(OR($O419=$M419,$O419=0,$O419=""),"","*CHECK!*")</f>
        <v/>
      </c>
      <c r="R419" s="974" t="s">
        <v>4765</v>
      </c>
    </row>
    <row r="420" spans="1:19" s="409" customFormat="1" ht="12" customHeight="1">
      <c r="A420" s="408"/>
      <c r="B420" s="2723" t="s">
        <v>4582</v>
      </c>
      <c r="C420" s="2723"/>
      <c r="D420" s="2723"/>
      <c r="E420" s="2723"/>
      <c r="F420" s="2723"/>
      <c r="G420" s="2723"/>
      <c r="H420" s="2723"/>
      <c r="I420" s="2723"/>
      <c r="J420" s="2723"/>
      <c r="K420" s="2723"/>
      <c r="L420" s="2723"/>
      <c r="M420" s="3092" t="s">
        <v>4441</v>
      </c>
      <c r="N420" s="3092"/>
      <c r="Q420" s="172"/>
    </row>
    <row r="421" spans="1:19" s="409" customFormat="1" ht="12" customHeight="1">
      <c r="B421" s="2723"/>
      <c r="C421" s="2723"/>
      <c r="D421" s="2723"/>
      <c r="E421" s="2723"/>
      <c r="F421" s="2723"/>
      <c r="G421" s="2723"/>
      <c r="H421" s="2723"/>
      <c r="I421" s="2723"/>
      <c r="J421" s="2723"/>
      <c r="K421" s="2723"/>
      <c r="L421" s="2723"/>
      <c r="M421" s="3092"/>
      <c r="N421" s="3092"/>
      <c r="O421" s="3105">
        <f>'Part VI-Revenues &amp; Expenses'!$P$123</f>
        <v>0</v>
      </c>
      <c r="P421" s="3106"/>
      <c r="Q421" s="172"/>
    </row>
    <row r="422" spans="1:19" s="409" customFormat="1" ht="12" customHeight="1">
      <c r="B422" s="2723"/>
      <c r="C422" s="2723"/>
      <c r="D422" s="2723"/>
      <c r="E422" s="2723"/>
      <c r="F422" s="2723"/>
      <c r="G422" s="2723"/>
      <c r="H422" s="2723"/>
      <c r="I422" s="2723"/>
      <c r="J422" s="2723"/>
      <c r="K422" s="2723"/>
      <c r="L422" s="2723"/>
      <c r="M422" s="983" t="s">
        <v>2730</v>
      </c>
      <c r="N422" s="410"/>
      <c r="O422" s="3090">
        <f>'Part VI-Revenues &amp; Expenses'!$P$67</f>
        <v>50</v>
      </c>
      <c r="P422" s="3091"/>
      <c r="Q422" s="172"/>
    </row>
    <row r="423" spans="1:19" s="409" customFormat="1" ht="12" customHeight="1">
      <c r="B423" s="3116"/>
      <c r="C423" s="3116"/>
      <c r="D423" s="3116"/>
      <c r="E423" s="3116"/>
      <c r="F423" s="3116"/>
      <c r="G423" s="3116"/>
      <c r="H423" s="3116"/>
      <c r="I423" s="3116"/>
      <c r="J423" s="3116"/>
      <c r="K423" s="3116"/>
      <c r="L423" s="3116"/>
      <c r="M423" s="1451" t="s">
        <v>2731</v>
      </c>
      <c r="N423" s="410"/>
      <c r="O423" s="3088">
        <f>IF(O422=0,0,O421/O422)</f>
        <v>0</v>
      </c>
      <c r="P423" s="3089"/>
      <c r="Q423" s="172"/>
    </row>
    <row r="424" spans="1:19" s="43" customFormat="1" ht="66.75" customHeight="1">
      <c r="A424" s="513"/>
      <c r="B424" s="2748" t="s">
        <v>3843</v>
      </c>
      <c r="C424" s="2749"/>
      <c r="D424" s="2749"/>
      <c r="E424" s="2749"/>
      <c r="F424" s="2749"/>
      <c r="G424" s="2749"/>
      <c r="H424" s="2749"/>
      <c r="I424" s="2749"/>
      <c r="J424" s="2749"/>
      <c r="K424" s="2749"/>
      <c r="L424" s="2749"/>
      <c r="M424" s="2749"/>
      <c r="N424" s="2749"/>
      <c r="O424" s="2749"/>
      <c r="P424" s="2750"/>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3842</v>
      </c>
      <c r="B426" s="886" t="s">
        <v>4581</v>
      </c>
      <c r="C426" s="139"/>
      <c r="D426" s="835"/>
      <c r="H426" s="389"/>
      <c r="M426" s="410">
        <v>2</v>
      </c>
      <c r="N426" s="160" t="s">
        <v>1937</v>
      </c>
      <c r="O426" s="2291"/>
      <c r="P426" s="4205"/>
      <c r="Q426" s="978" t="str">
        <f>IF(OR($O426=$M426,$O426=0,$O426=""),"","*CHECK!*")</f>
        <v/>
      </c>
      <c r="R426" s="974" t="s">
        <v>4765</v>
      </c>
    </row>
    <row r="427" spans="1:19" s="409" customFormat="1" ht="11.25" customHeight="1">
      <c r="A427" s="514"/>
      <c r="B427" s="2710" t="s">
        <v>4342</v>
      </c>
      <c r="C427" s="2710"/>
      <c r="D427" s="2710"/>
      <c r="E427" s="2710"/>
      <c r="F427" s="2710"/>
      <c r="G427" s="2710"/>
      <c r="H427" s="2710"/>
      <c r="I427" s="2710"/>
      <c r="J427" s="2710"/>
      <c r="K427" s="2710"/>
      <c r="L427" s="2710"/>
      <c r="M427" s="1504" t="s">
        <v>4343</v>
      </c>
      <c r="O427" s="3098">
        <f>'Part VI-Revenues &amp; Expenses'!$P$125</f>
        <v>0</v>
      </c>
      <c r="P427" s="3099"/>
      <c r="Q427" s="172"/>
    </row>
    <row r="428" spans="1:19" s="409" customFormat="1" ht="11.25" customHeight="1">
      <c r="A428" s="514"/>
      <c r="B428" s="2710"/>
      <c r="C428" s="2710"/>
      <c r="D428" s="2710"/>
      <c r="E428" s="2710"/>
      <c r="F428" s="2710"/>
      <c r="G428" s="2710"/>
      <c r="H428" s="2710"/>
      <c r="I428" s="2710"/>
      <c r="J428" s="2710"/>
      <c r="K428" s="2710"/>
      <c r="L428" s="2710"/>
      <c r="M428" s="1146" t="s">
        <v>2730</v>
      </c>
      <c r="N428" s="410"/>
      <c r="O428" s="3090">
        <f>'Part VI-Revenues &amp; Expenses'!$P$67</f>
        <v>50</v>
      </c>
      <c r="P428" s="3091"/>
      <c r="Q428" s="172"/>
    </row>
    <row r="429" spans="1:19" s="409" customFormat="1" ht="11.25" customHeight="1">
      <c r="A429" s="514"/>
      <c r="B429" s="2710"/>
      <c r="C429" s="2710"/>
      <c r="D429" s="2710"/>
      <c r="E429" s="2710"/>
      <c r="F429" s="2710"/>
      <c r="G429" s="2710"/>
      <c r="H429" s="2710"/>
      <c r="I429" s="2710"/>
      <c r="J429" s="2710"/>
      <c r="K429" s="2710"/>
      <c r="L429" s="2710"/>
      <c r="M429" s="1451" t="s">
        <v>2731</v>
      </c>
      <c r="N429" s="410"/>
      <c r="O429" s="3088">
        <f>IF(O428=0,0,L415/O428)</f>
        <v>0</v>
      </c>
      <c r="P429" s="3089"/>
      <c r="Q429" s="172"/>
    </row>
    <row r="430" spans="1:19" s="43" customFormat="1" ht="11.25" customHeight="1" thickBot="1">
      <c r="A430" s="42"/>
      <c r="B430" s="1132" t="s">
        <v>3566</v>
      </c>
      <c r="C430" s="42"/>
      <c r="D430" s="48"/>
      <c r="E430" s="48"/>
      <c r="F430" s="48"/>
      <c r="G430" s="48"/>
      <c r="H430" s="36"/>
      <c r="I430" s="36"/>
      <c r="J430" s="36"/>
      <c r="K430" s="36"/>
      <c r="M430" s="46"/>
      <c r="N430" s="62"/>
      <c r="O430" s="3"/>
      <c r="P430" s="2377"/>
    </row>
    <row r="431" spans="1:19" s="43" customFormat="1" ht="66.599999999999994" customHeight="1" thickTop="1" thickBot="1">
      <c r="A431" s="2940" t="s">
        <v>948</v>
      </c>
      <c r="B431" s="2941"/>
      <c r="C431" s="2941"/>
      <c r="D431" s="2941"/>
      <c r="E431" s="2941"/>
      <c r="F431" s="2941"/>
      <c r="G431" s="2941"/>
      <c r="H431" s="2941"/>
      <c r="I431" s="2941"/>
      <c r="J431" s="2941"/>
      <c r="K431" s="2941"/>
      <c r="L431" s="2941"/>
      <c r="M431" s="2941"/>
      <c r="N431" s="2941"/>
      <c r="O431" s="2941"/>
      <c r="P431" s="2942"/>
      <c r="Q431" s="1027" t="s">
        <v>1228</v>
      </c>
      <c r="R431" s="441"/>
    </row>
    <row r="432" spans="1:19" s="43" customFormat="1" ht="10.5" customHeight="1" thickTop="1">
      <c r="B432" s="85" t="s">
        <v>1819</v>
      </c>
      <c r="C432" s="98"/>
      <c r="D432" s="85"/>
      <c r="E432" s="99"/>
      <c r="F432" s="2378"/>
      <c r="G432" s="2378"/>
      <c r="H432" s="2378"/>
      <c r="I432" s="2378"/>
      <c r="J432" s="2378"/>
      <c r="K432" s="2378"/>
      <c r="L432" s="2378"/>
      <c r="M432" s="2378"/>
      <c r="N432" s="74"/>
      <c r="O432" s="70"/>
      <c r="P432" s="2375"/>
      <c r="Q432" s="422"/>
    </row>
    <row r="433" spans="1:18" s="43" customFormat="1" ht="22.2" customHeight="1">
      <c r="A433" s="2877"/>
      <c r="B433" s="2878"/>
      <c r="C433" s="2878"/>
      <c r="D433" s="2878"/>
      <c r="E433" s="2878"/>
      <c r="F433" s="2878"/>
      <c r="G433" s="2878"/>
      <c r="H433" s="2878"/>
      <c r="I433" s="2878"/>
      <c r="J433" s="2878"/>
      <c r="K433" s="2878"/>
      <c r="L433" s="2878"/>
      <c r="M433" s="2878"/>
      <c r="N433" s="2878"/>
      <c r="O433" s="2878"/>
      <c r="P433" s="2879"/>
      <c r="Q433" s="440"/>
    </row>
    <row r="434" spans="1:18" s="43" customFormat="1" ht="3" customHeight="1" thickBot="1">
      <c r="A434" s="42"/>
      <c r="B434" s="42"/>
      <c r="C434" s="2378"/>
      <c r="D434" s="2378"/>
      <c r="E434" s="2378"/>
      <c r="F434" s="2378"/>
      <c r="G434" s="2378"/>
      <c r="H434" s="2378"/>
      <c r="I434" s="2378"/>
      <c r="J434" s="2378"/>
      <c r="K434" s="2378"/>
      <c r="L434" s="2378"/>
      <c r="M434" s="2378"/>
      <c r="N434" s="74"/>
      <c r="O434" s="70"/>
      <c r="P434" s="846"/>
    </row>
    <row r="435" spans="1:18" s="102" customFormat="1" ht="11.25" customHeight="1" thickBot="1">
      <c r="A435" s="153" t="s">
        <v>3785</v>
      </c>
      <c r="B435" s="105" t="s">
        <v>4716</v>
      </c>
      <c r="D435" s="45"/>
      <c r="E435" s="45"/>
      <c r="F435" s="39"/>
      <c r="G435" s="36"/>
      <c r="I435" s="36"/>
      <c r="J435" s="36"/>
      <c r="K435" s="36"/>
      <c r="L435" s="374" t="str">
        <f>IF(OR($O435=$M435,$O435&lt;=0,$O435=""),"","* * Check Score! * *")</f>
        <v/>
      </c>
      <c r="M435" s="2375">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5"/>
      <c r="N436" s="6"/>
      <c r="O436" s="6"/>
      <c r="P436" s="6"/>
      <c r="Q436" s="109"/>
    </row>
    <row r="437" spans="1:18" s="102" customFormat="1" ht="10.5" customHeight="1">
      <c r="A437" s="153"/>
      <c r="B437" s="86" t="s">
        <v>3483</v>
      </c>
      <c r="D437" s="45"/>
      <c r="E437" s="45"/>
      <c r="F437" s="39"/>
      <c r="G437" s="36"/>
      <c r="I437" s="36"/>
      <c r="J437" s="36"/>
      <c r="K437" s="36"/>
      <c r="L437" s="374"/>
      <c r="M437" s="2375"/>
      <c r="N437" s="6"/>
      <c r="O437" s="1087">
        <v>10</v>
      </c>
      <c r="P437" s="1087">
        <v>10</v>
      </c>
      <c r="Q437" s="109"/>
    </row>
    <row r="438" spans="1:18" s="102" customFormat="1" ht="10.5" customHeight="1">
      <c r="A438" s="153"/>
      <c r="B438" s="86" t="s">
        <v>3484</v>
      </c>
      <c r="D438" s="45"/>
      <c r="E438" s="45"/>
      <c r="F438" s="39"/>
      <c r="G438" s="36"/>
      <c r="I438" s="36"/>
      <c r="J438" s="36"/>
      <c r="K438" s="36"/>
      <c r="L438" s="374"/>
      <c r="M438" s="2375"/>
      <c r="N438" s="6"/>
      <c r="O438" s="2342"/>
      <c r="P438" s="4212"/>
      <c r="Q438" s="109"/>
    </row>
    <row r="439" spans="1:18" s="102" customFormat="1" ht="10.5" customHeight="1">
      <c r="A439" s="153"/>
      <c r="B439" s="86" t="s">
        <v>3485</v>
      </c>
      <c r="D439" s="45"/>
      <c r="E439" s="45"/>
      <c r="F439" s="39"/>
      <c r="G439" s="36"/>
      <c r="I439" s="36"/>
      <c r="J439" s="36"/>
      <c r="K439" s="36"/>
      <c r="L439" s="374"/>
      <c r="M439" s="2375"/>
      <c r="N439" s="6"/>
      <c r="O439" s="2343"/>
      <c r="P439" s="4182"/>
      <c r="Q439" s="109"/>
    </row>
    <row r="440" spans="1:18" s="102" customFormat="1" ht="10.5" customHeight="1">
      <c r="A440" s="66"/>
      <c r="B440" s="66" t="s">
        <v>1819</v>
      </c>
      <c r="C440" s="50"/>
      <c r="D440" s="66"/>
      <c r="E440" s="2382"/>
      <c r="F440" s="2382"/>
      <c r="G440" s="2382"/>
      <c r="H440" s="2382"/>
      <c r="I440" s="2382"/>
      <c r="J440" s="2382"/>
      <c r="K440" s="2382"/>
      <c r="L440" s="2382"/>
      <c r="M440" s="2382"/>
      <c r="N440" s="93"/>
      <c r="O440" s="836"/>
      <c r="P440" s="2375"/>
    </row>
    <row r="441" spans="1:18" s="43" customFormat="1" ht="10.95" customHeight="1">
      <c r="A441" s="2877"/>
      <c r="B441" s="2878"/>
      <c r="C441" s="2878"/>
      <c r="D441" s="2878"/>
      <c r="E441" s="2878"/>
      <c r="F441" s="2878"/>
      <c r="G441" s="2878"/>
      <c r="H441" s="2878"/>
      <c r="I441" s="2878"/>
      <c r="J441" s="2878"/>
      <c r="K441" s="2878"/>
      <c r="L441" s="2878"/>
      <c r="M441" s="2878"/>
      <c r="N441" s="2878"/>
      <c r="O441" s="2878"/>
      <c r="P441" s="2879"/>
      <c r="Q441" s="1027" t="s">
        <v>1228</v>
      </c>
      <c r="R441" s="441"/>
    </row>
    <row r="442" spans="1:18" s="43" customFormat="1" ht="6" customHeight="1" thickBot="1">
      <c r="A442" s="153"/>
      <c r="B442" s="42"/>
      <c r="C442" s="2378"/>
      <c r="D442" s="2378"/>
      <c r="E442" s="2378"/>
      <c r="F442" s="2378"/>
      <c r="G442" s="2378"/>
      <c r="H442" s="2378"/>
      <c r="I442" s="2378"/>
      <c r="J442" s="2378"/>
      <c r="K442" s="2378"/>
      <c r="L442" s="2378"/>
      <c r="M442" s="2378"/>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54</v>
      </c>
      <c r="P443" s="1080">
        <f>-P8+P25+P50+P64+P74+P112+P150+P193+P232+P265+P286+P293+P301+P316+P333+P346+P364+P379+P415+P435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375"/>
      <c r="O444" s="2375"/>
      <c r="P444" s="453">
        <f>P232</f>
        <v>0</v>
      </c>
    </row>
    <row r="445" spans="1:18" s="42" customFormat="1" ht="11.25" customHeight="1">
      <c r="A445" s="54"/>
      <c r="B445" s="67"/>
      <c r="C445" s="54"/>
      <c r="D445" s="35"/>
      <c r="E445" s="35"/>
      <c r="F445" s="69"/>
      <c r="G445" s="69"/>
      <c r="H445" s="165" t="s">
        <v>3838</v>
      </c>
      <c r="J445" s="68"/>
      <c r="K445" s="68"/>
      <c r="L445" s="43"/>
      <c r="M445" s="35"/>
      <c r="N445" s="2375"/>
      <c r="O445" s="453"/>
      <c r="P445" s="453">
        <f>P346</f>
        <v>0</v>
      </c>
    </row>
    <row r="446" spans="1:18" s="43" customFormat="1" ht="11.25" customHeight="1">
      <c r="A446" s="42"/>
      <c r="D446" s="39"/>
      <c r="E446" s="36"/>
      <c r="F446" s="846"/>
      <c r="H446" s="165" t="s">
        <v>3840</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5"/>
      <c r="O447" s="2375"/>
      <c r="P447" s="3"/>
    </row>
    <row r="448" spans="1:18" s="43" customFormat="1" ht="22.5" customHeight="1">
      <c r="A448" s="3097" t="s">
        <v>6845</v>
      </c>
      <c r="B448" s="3097"/>
      <c r="C448" s="3097"/>
      <c r="D448" s="3097"/>
      <c r="E448" s="3097"/>
      <c r="F448" s="3097"/>
      <c r="G448" s="3097"/>
      <c r="H448" s="3097"/>
      <c r="I448" s="3097"/>
      <c r="J448" s="3097"/>
      <c r="K448" s="3097"/>
      <c r="L448" s="3097"/>
      <c r="M448" s="3097"/>
      <c r="N448" s="3097"/>
      <c r="O448" s="3097"/>
      <c r="P448" s="3097"/>
    </row>
    <row r="449" spans="1:20" s="43" customFormat="1" ht="409.2" customHeight="1">
      <c r="A449" s="2707" t="s">
        <v>7129</v>
      </c>
      <c r="B449" s="2708"/>
      <c r="C449" s="2708"/>
      <c r="D449" s="2708"/>
      <c r="E449" s="2708"/>
      <c r="F449" s="2708"/>
      <c r="G449" s="2708"/>
      <c r="H449" s="2708"/>
      <c r="I449" s="2708"/>
      <c r="J449" s="2708"/>
      <c r="K449" s="2708"/>
      <c r="L449" s="2708"/>
      <c r="M449" s="2708"/>
      <c r="N449" s="2708"/>
      <c r="O449" s="2708"/>
      <c r="P449" s="2709"/>
      <c r="Q449" s="440" t="s">
        <v>1228</v>
      </c>
      <c r="R449" s="441"/>
    </row>
    <row r="450" spans="1:20" s="158" customFormat="1">
      <c r="C450" s="446" t="s">
        <v>2041</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3299</v>
      </c>
      <c r="K465" s="446"/>
      <c r="L465" s="446"/>
      <c r="M465" s="446"/>
      <c r="N465" s="447"/>
      <c r="O465" s="1767" t="s">
        <v>3578</v>
      </c>
      <c r="P465" s="1760"/>
      <c r="Q465" s="1761"/>
      <c r="R465" s="1762"/>
      <c r="S465" s="1762"/>
      <c r="T465" s="1762"/>
    </row>
    <row r="466" spans="3:20" s="158" customFormat="1">
      <c r="C466" s="1765" t="s">
        <v>1362</v>
      </c>
      <c r="D466" s="446"/>
      <c r="E466" s="446"/>
      <c r="F466" s="446"/>
      <c r="G466" s="446"/>
      <c r="H466" s="446"/>
      <c r="I466" s="446"/>
      <c r="J466" s="1763" t="s">
        <v>3300</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3284</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3285</v>
      </c>
      <c r="K468" s="446"/>
      <c r="L468" s="446"/>
      <c r="M468" s="446"/>
      <c r="N468" s="447"/>
      <c r="O468" s="1760">
        <v>2</v>
      </c>
      <c r="P468" s="1760"/>
      <c r="Q468" s="1761"/>
      <c r="R468" s="1762"/>
      <c r="S468" s="1762"/>
      <c r="T468" s="1762"/>
    </row>
    <row r="469" spans="3:20" s="158" customFormat="1">
      <c r="C469" s="446"/>
      <c r="D469" s="446"/>
      <c r="E469" s="446"/>
      <c r="F469" s="446"/>
      <c r="G469" s="2927" t="s">
        <v>1472</v>
      </c>
      <c r="H469" s="2927"/>
      <c r="I469" s="2927"/>
      <c r="J469" s="446" t="s">
        <v>3286</v>
      </c>
      <c r="K469" s="446"/>
      <c r="L469" s="446"/>
      <c r="M469" s="446"/>
      <c r="N469" s="447"/>
      <c r="O469" s="1760">
        <v>2</v>
      </c>
      <c r="P469" s="1760"/>
      <c r="Q469" s="1761"/>
      <c r="R469" s="1762"/>
      <c r="S469" s="1762"/>
      <c r="T469" s="1762"/>
    </row>
    <row r="470" spans="3:20" s="158" customFormat="1">
      <c r="C470" s="446" t="s">
        <v>2694</v>
      </c>
      <c r="D470" s="446"/>
      <c r="E470" s="446"/>
      <c r="F470" s="446"/>
      <c r="G470" s="1768" t="s">
        <v>4771</v>
      </c>
      <c r="H470" s="1769" t="s">
        <v>4772</v>
      </c>
      <c r="I470" s="1768" t="s">
        <v>4770</v>
      </c>
      <c r="J470" s="446" t="s">
        <v>3287</v>
      </c>
      <c r="K470" s="446"/>
      <c r="L470" s="1768"/>
      <c r="M470" s="446"/>
      <c r="N470" s="447"/>
      <c r="O470" s="1760">
        <v>2</v>
      </c>
      <c r="P470" s="1760"/>
      <c r="Q470" s="1761"/>
      <c r="R470" s="1762"/>
      <c r="S470" s="1762"/>
      <c r="T470" s="1762"/>
    </row>
    <row r="471" spans="3:20" s="158" customFormat="1">
      <c r="C471" s="1770" t="s">
        <v>2696</v>
      </c>
      <c r="D471" s="446"/>
      <c r="E471" s="446"/>
      <c r="F471" s="446"/>
      <c r="G471" s="1771" t="s">
        <v>2455</v>
      </c>
      <c r="H471" s="1769"/>
      <c r="I471" s="1771"/>
      <c r="J471" s="446" t="s">
        <v>3576</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4774</v>
      </c>
      <c r="I472" s="1768" t="s">
        <v>2614</v>
      </c>
      <c r="J472" s="1769" t="s">
        <v>3288</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4773</v>
      </c>
      <c r="J473" s="1769" t="s">
        <v>3289</v>
      </c>
      <c r="K473" s="446"/>
      <c r="L473" s="1772"/>
      <c r="M473" s="446"/>
      <c r="N473" s="447"/>
      <c r="O473" s="1760">
        <v>1</v>
      </c>
      <c r="P473" s="1760"/>
      <c r="Q473" s="1761"/>
      <c r="R473" s="1762"/>
      <c r="S473" s="1762"/>
      <c r="T473" s="1762"/>
    </row>
    <row r="474" spans="3:20" s="158" customFormat="1">
      <c r="C474" s="1770" t="s">
        <v>2699</v>
      </c>
      <c r="D474" s="446"/>
      <c r="E474" s="446"/>
      <c r="F474" s="446"/>
      <c r="G474" s="1771" t="s">
        <v>2487</v>
      </c>
      <c r="H474" s="447" t="s">
        <v>1690</v>
      </c>
      <c r="I474" s="1768" t="s">
        <v>2614</v>
      </c>
      <c r="J474" s="1769" t="s">
        <v>3290</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4773</v>
      </c>
      <c r="J475" s="1769" t="s">
        <v>3577</v>
      </c>
      <c r="K475" s="446"/>
      <c r="L475" s="1772"/>
      <c r="M475" s="446"/>
      <c r="N475" s="447"/>
      <c r="O475" s="1760">
        <v>1</v>
      </c>
      <c r="P475" s="1760"/>
      <c r="Q475" s="1761"/>
      <c r="R475" s="1762"/>
      <c r="S475" s="1762"/>
      <c r="T475" s="1762"/>
    </row>
    <row r="476" spans="3:20" s="158" customFormat="1">
      <c r="C476" s="1770" t="s">
        <v>2701</v>
      </c>
      <c r="D476" s="446"/>
      <c r="E476" s="446"/>
      <c r="F476" s="446"/>
      <c r="G476" s="1771" t="s">
        <v>3612</v>
      </c>
      <c r="H476" s="447">
        <v>2019</v>
      </c>
      <c r="I476" s="447" t="s">
        <v>4773</v>
      </c>
      <c r="J476" s="1769" t="s">
        <v>3298</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2614</v>
      </c>
      <c r="J477" s="1769" t="s">
        <v>3291</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4773</v>
      </c>
      <c r="J478" s="1769" t="s">
        <v>3292</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4774</v>
      </c>
      <c r="I479" s="1768" t="s">
        <v>2614</v>
      </c>
      <c r="J479" s="1769" t="s">
        <v>3293</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4774</v>
      </c>
      <c r="I480" s="1768" t="s">
        <v>2614</v>
      </c>
      <c r="J480" s="1769" t="s">
        <v>3294</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4773</v>
      </c>
      <c r="J481" s="1769" t="s">
        <v>3297</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2089</v>
      </c>
      <c r="H482" s="447" t="s">
        <v>4774</v>
      </c>
      <c r="I482" s="1768" t="s">
        <v>2614</v>
      </c>
      <c r="J482" s="1769" t="s">
        <v>3295</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2009</v>
      </c>
      <c r="H483" s="447">
        <v>2019</v>
      </c>
      <c r="I483" s="447" t="s">
        <v>4773</v>
      </c>
      <c r="J483" s="1769" t="s">
        <v>3296</v>
      </c>
      <c r="K483" s="446"/>
      <c r="L483" s="1772"/>
      <c r="M483" s="446"/>
      <c r="N483" s="447"/>
      <c r="O483" s="1760">
        <v>1</v>
      </c>
      <c r="P483" s="1760"/>
      <c r="Q483" s="1761"/>
      <c r="R483" s="1762"/>
      <c r="S483" s="1762"/>
      <c r="T483" s="1762"/>
    </row>
    <row r="484" spans="1:20" s="158" customFormat="1">
      <c r="A484" s="1778" t="s">
        <v>3264</v>
      </c>
      <c r="B484" s="1762"/>
      <c r="C484" s="446"/>
      <c r="D484" s="1770"/>
      <c r="E484" s="1770">
        <v>3</v>
      </c>
      <c r="F484" s="446"/>
      <c r="G484" s="1771" t="s">
        <v>330</v>
      </c>
      <c r="H484" s="447">
        <v>2019</v>
      </c>
      <c r="I484" s="447" t="s">
        <v>4773</v>
      </c>
      <c r="J484" s="446"/>
      <c r="K484" s="446"/>
      <c r="L484" s="1772"/>
      <c r="M484" s="446"/>
      <c r="N484" s="447"/>
      <c r="O484" s="1760"/>
      <c r="P484" s="1760"/>
      <c r="Q484" s="1761"/>
      <c r="R484" s="1762"/>
      <c r="S484" s="1762"/>
      <c r="T484" s="1762"/>
    </row>
    <row r="485" spans="1:20" s="158" customFormat="1">
      <c r="A485" s="1778" t="s">
        <v>3265</v>
      </c>
      <c r="B485" s="1762"/>
      <c r="C485" s="446"/>
      <c r="D485" s="1770"/>
      <c r="E485" s="1770">
        <v>2</v>
      </c>
      <c r="F485" s="446"/>
      <c r="G485" s="1771" t="s">
        <v>852</v>
      </c>
      <c r="H485" s="447">
        <v>2019</v>
      </c>
      <c r="I485" s="447" t="s">
        <v>4773</v>
      </c>
      <c r="J485" s="446"/>
      <c r="K485" s="446"/>
      <c r="L485" s="1772"/>
      <c r="M485" s="446"/>
      <c r="N485" s="447"/>
      <c r="O485" s="1760"/>
      <c r="P485" s="1760"/>
      <c r="Q485" s="1761"/>
      <c r="R485" s="1762"/>
      <c r="S485" s="1762"/>
      <c r="T485" s="1762"/>
    </row>
    <row r="486" spans="1:20" s="158" customFormat="1">
      <c r="A486" s="1778" t="s">
        <v>3266</v>
      </c>
      <c r="B486" s="1762"/>
      <c r="C486" s="446"/>
      <c r="D486" s="1770"/>
      <c r="E486" s="1770">
        <v>10</v>
      </c>
      <c r="F486" s="446"/>
      <c r="G486" s="1771" t="s">
        <v>1880</v>
      </c>
      <c r="H486" s="447">
        <v>2019</v>
      </c>
      <c r="I486" s="447" t="s">
        <v>4773</v>
      </c>
      <c r="J486" s="1773" t="s">
        <v>3587</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4773</v>
      </c>
      <c r="J487" s="1769" t="s">
        <v>3724</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4773</v>
      </c>
      <c r="J488" s="1769" t="s">
        <v>3719</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4773</v>
      </c>
      <c r="J489" s="1769" t="s">
        <v>3580</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4774</v>
      </c>
      <c r="I490" s="1768" t="s">
        <v>2614</v>
      </c>
      <c r="J490" s="1769" t="s">
        <v>3715</v>
      </c>
      <c r="K490" s="446"/>
      <c r="L490" s="1772"/>
      <c r="M490" s="446"/>
      <c r="N490" s="447"/>
      <c r="O490" s="1760"/>
      <c r="P490" s="1760"/>
      <c r="Q490" s="1761"/>
      <c r="R490" s="1762"/>
      <c r="S490" s="1762"/>
      <c r="T490" s="1762"/>
    </row>
    <row r="491" spans="1:20" s="158" customFormat="1">
      <c r="C491" s="1770"/>
      <c r="D491" s="446"/>
      <c r="E491" s="446"/>
      <c r="F491" s="446"/>
      <c r="G491" s="1771" t="s">
        <v>3280</v>
      </c>
      <c r="H491" s="447">
        <v>2019</v>
      </c>
      <c r="I491" s="447" t="s">
        <v>4773</v>
      </c>
      <c r="J491" s="1769" t="s">
        <v>3581</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4773</v>
      </c>
      <c r="J492" s="1769" t="s">
        <v>3716</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4773</v>
      </c>
      <c r="J493" s="1769" t="s">
        <v>3582</v>
      </c>
      <c r="K493" s="446"/>
      <c r="L493" s="1769"/>
      <c r="M493" s="446"/>
      <c r="N493" s="447"/>
      <c r="O493" s="1760"/>
      <c r="P493" s="1760"/>
      <c r="Q493" s="1761"/>
      <c r="R493" s="1762"/>
      <c r="S493" s="1762"/>
      <c r="T493" s="1762"/>
    </row>
    <row r="494" spans="1:20" s="158" customFormat="1">
      <c r="C494" s="446"/>
      <c r="D494" s="446"/>
      <c r="E494" s="446"/>
      <c r="F494" s="446"/>
      <c r="G494" s="1771" t="s">
        <v>3751</v>
      </c>
      <c r="H494" s="447" t="s">
        <v>4774</v>
      </c>
      <c r="I494" s="1768" t="s">
        <v>2614</v>
      </c>
      <c r="J494" s="1769" t="s">
        <v>3717</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4773</v>
      </c>
      <c r="J495" s="1769" t="s">
        <v>3720</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4773</v>
      </c>
      <c r="J496" s="1769" t="s">
        <v>3723</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4774</v>
      </c>
      <c r="I497" s="1768" t="s">
        <v>2614</v>
      </c>
      <c r="J497" s="1769" t="s">
        <v>3583</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4774</v>
      </c>
      <c r="I498" s="1768" t="s">
        <v>2614</v>
      </c>
      <c r="J498" s="1769" t="s">
        <v>3584</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4773</v>
      </c>
      <c r="J499" s="1769" t="s">
        <v>3718</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4773</v>
      </c>
      <c r="J500" s="1769" t="s">
        <v>3721</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4773</v>
      </c>
      <c r="J501" s="1769" t="s">
        <v>3722</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4773</v>
      </c>
      <c r="J502" s="1769" t="s">
        <v>3585</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4773</v>
      </c>
      <c r="J503" s="1769" t="s">
        <v>3586</v>
      </c>
      <c r="K503" s="446"/>
      <c r="L503" s="1772"/>
      <c r="M503" s="446"/>
      <c r="N503" s="447"/>
      <c r="O503" s="1760"/>
      <c r="P503" s="1760"/>
      <c r="Q503" s="1761"/>
      <c r="R503" s="1762"/>
      <c r="S503" s="1762"/>
      <c r="T503" s="1762"/>
    </row>
    <row r="504" spans="3:20" s="158" customFormat="1">
      <c r="C504" s="1774"/>
      <c r="D504" s="446"/>
      <c r="E504" s="446"/>
      <c r="F504" s="446"/>
      <c r="G504" s="1771" t="s">
        <v>4768</v>
      </c>
      <c r="H504" s="447" t="s">
        <v>4774</v>
      </c>
      <c r="I504" s="1768" t="s">
        <v>2614</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4774</v>
      </c>
      <c r="I505" s="1768" t="s">
        <v>2614</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4774</v>
      </c>
      <c r="I506" s="1768" t="s">
        <v>2614</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4774</v>
      </c>
      <c r="I507" s="1768" t="s">
        <v>2614</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4773</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4773</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4773</v>
      </c>
      <c r="J510" s="1769"/>
      <c r="K510" s="446"/>
      <c r="L510" s="1769"/>
      <c r="M510" s="446"/>
      <c r="N510" s="447"/>
      <c r="O510" s="1760"/>
      <c r="P510" s="1760"/>
      <c r="Q510" s="1761"/>
      <c r="R510" s="1762"/>
      <c r="S510" s="1762"/>
      <c r="T510" s="1762"/>
    </row>
    <row r="511" spans="3:20" s="158" customFormat="1">
      <c r="C511" s="1775"/>
      <c r="D511" s="446"/>
      <c r="E511" s="446"/>
      <c r="F511" s="446"/>
      <c r="G511" s="1771" t="s">
        <v>4769</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4773</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4773</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4773</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4773</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4773</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4773</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4773</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4774</v>
      </c>
      <c r="I519" s="1768" t="s">
        <v>2614</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0YUhF13sUe6cIUcpC1jc/NSqElVv/61KvKZnwBu2q9PwCT/vYDCpRN9eYQ7wfUor3DvOF+Vhc8CHcNw4P7Gcfw==" saltValue="SoBrsunFiq6yylEQwAcMKw=="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15" t="s">
        <v>2809</v>
      </c>
      <c r="B1" s="3215"/>
      <c r="C1" s="3215"/>
      <c r="D1" s="3215"/>
      <c r="E1" s="3215"/>
      <c r="F1" s="3215"/>
      <c r="G1" s="3215"/>
      <c r="H1" s="3215"/>
      <c r="I1" s="3215"/>
      <c r="J1" s="3215"/>
    </row>
    <row r="2" spans="1:16" ht="15.6">
      <c r="A2" s="3215" t="str">
        <f>'Sensitivity Analysis'!C8</f>
        <v>Spring Creek Crossing</v>
      </c>
      <c r="B2" s="3215"/>
      <c r="C2" s="3215"/>
      <c r="D2" s="3215"/>
      <c r="E2" s="3215"/>
      <c r="F2" s="3215"/>
      <c r="G2" s="3215"/>
      <c r="H2" s="3215"/>
      <c r="I2" s="3215"/>
      <c r="J2" s="3215"/>
    </row>
    <row r="3" spans="1:16" ht="15.6">
      <c r="A3" s="3215" t="str">
        <f>'Subsidy Layering Memo'!F14</f>
        <v>Montezuma, Macon</v>
      </c>
      <c r="B3" s="3215"/>
      <c r="C3" s="3215"/>
      <c r="D3" s="3215"/>
      <c r="E3" s="3215"/>
      <c r="F3" s="3215"/>
      <c r="G3" s="3215"/>
      <c r="H3" s="3215"/>
      <c r="I3" s="3215"/>
      <c r="J3" s="3215"/>
    </row>
    <row r="4" spans="1:16" ht="15.6">
      <c r="A4" s="3216" t="s">
        <v>2810</v>
      </c>
      <c r="B4" s="3215"/>
      <c r="C4" s="3215"/>
      <c r="D4" s="3215"/>
      <c r="E4" s="3215"/>
      <c r="F4" s="3215"/>
      <c r="G4" s="3215"/>
      <c r="H4" s="3215"/>
      <c r="I4" s="3215"/>
      <c r="J4" s="3215"/>
    </row>
    <row r="5" spans="1:16" ht="5.25" customHeight="1"/>
    <row r="6" spans="1:16" ht="5.25" customHeight="1"/>
    <row r="7" spans="1:16" ht="15.6">
      <c r="A7" s="3217" t="s">
        <v>2811</v>
      </c>
      <c r="B7" s="3217"/>
      <c r="C7" s="3218"/>
      <c r="M7" s="3219"/>
      <c r="N7" s="3219"/>
      <c r="O7" s="3219"/>
      <c r="P7" s="3219"/>
    </row>
    <row r="8" spans="1:16" ht="57" customHeight="1">
      <c r="A8" s="3220" t="s">
        <v>4471</v>
      </c>
      <c r="B8" s="3220"/>
      <c r="C8" s="3220"/>
      <c r="D8" s="3220"/>
      <c r="E8" s="3220"/>
      <c r="F8" s="3220"/>
      <c r="G8" s="3220"/>
      <c r="H8" s="3220"/>
      <c r="I8" s="3220"/>
      <c r="J8" s="3220"/>
      <c r="K8" s="611"/>
    </row>
    <row r="9" spans="1:16" ht="45.75" customHeight="1">
      <c r="A9" s="3220"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Montezuma, Macon County, Georgia, with the development of 50 units (UNIT DESCRIPTION) set aside for Family.</v>
      </c>
      <c r="B9" s="3220"/>
      <c r="C9" s="3220"/>
      <c r="D9" s="3220"/>
      <c r="E9" s="3220"/>
      <c r="F9" s="3220"/>
      <c r="G9" s="3220"/>
      <c r="H9" s="3220"/>
      <c r="I9" s="3220"/>
      <c r="J9" s="3220"/>
      <c r="K9" s="611"/>
    </row>
    <row r="10" spans="1:16" ht="15.6">
      <c r="A10" s="612" t="s">
        <v>2812</v>
      </c>
    </row>
    <row r="11" spans="1:16" ht="16.5" customHeight="1">
      <c r="A11" s="3220" t="str">
        <f>'Subsidy Layering Memo'!A44</f>
        <v xml:space="preserve">Ownership entity:  (NAME) LP, a Georgia Limited Partnership, will be the ownership entity for the proposed project. </v>
      </c>
      <c r="B11" s="3222"/>
      <c r="C11" s="3222"/>
      <c r="D11" s="3222"/>
      <c r="E11" s="3222"/>
      <c r="F11" s="3222"/>
      <c r="G11" s="3222"/>
      <c r="H11" s="3222"/>
      <c r="I11" s="3222"/>
      <c r="J11" s="3220"/>
    </row>
    <row r="12" spans="1:16" ht="63.75" customHeight="1">
      <c r="A12" s="3220" t="s">
        <v>2842</v>
      </c>
      <c r="B12" s="3220"/>
      <c r="C12" s="3220"/>
      <c r="D12" s="3220"/>
      <c r="E12" s="3220"/>
      <c r="F12" s="3220"/>
      <c r="G12" s="3220"/>
      <c r="H12" s="3220"/>
      <c r="I12" s="3220"/>
      <c r="J12" s="3220"/>
    </row>
    <row r="13" spans="1:16" ht="48.75" customHeight="1">
      <c r="A13" s="3220" t="s">
        <v>2843</v>
      </c>
      <c r="B13" s="3220"/>
      <c r="C13" s="3220"/>
      <c r="D13" s="3220"/>
      <c r="E13" s="3220"/>
      <c r="F13" s="3220"/>
      <c r="G13" s="3220"/>
      <c r="H13" s="3220"/>
      <c r="I13" s="3220"/>
      <c r="J13" s="3220"/>
    </row>
    <row r="14" spans="1:16" ht="15.6">
      <c r="A14" s="612" t="s">
        <v>2813</v>
      </c>
      <c r="B14" s="613"/>
    </row>
    <row r="15" spans="1:16">
      <c r="A15" s="610" t="s">
        <v>2814</v>
      </c>
      <c r="D15" s="1530" t="s">
        <v>2815</v>
      </c>
    </row>
    <row r="16" spans="1:16">
      <c r="A16" s="610" t="s">
        <v>2816</v>
      </c>
      <c r="D16" s="1528">
        <f>'Sensitivity Analysis'!C25</f>
        <v>0</v>
      </c>
    </row>
    <row r="17" spans="1:11">
      <c r="A17" s="614" t="s">
        <v>2817</v>
      </c>
      <c r="D17" s="1529">
        <f>'Sensitivity Analysis'!C13</f>
        <v>50</v>
      </c>
    </row>
    <row r="18" spans="1:11" ht="14.25" customHeight="1"/>
    <row r="19" spans="1:11" ht="15.6">
      <c r="A19" s="612" t="s">
        <v>2818</v>
      </c>
      <c r="B19" s="613"/>
      <c r="C19" s="613"/>
    </row>
    <row r="20" spans="1:11" ht="48.75" customHeight="1">
      <c r="A20" s="3223" t="s">
        <v>2845</v>
      </c>
      <c r="B20" s="3223"/>
      <c r="C20" s="3223"/>
      <c r="D20" s="3223"/>
      <c r="E20" s="3223"/>
      <c r="F20" s="3223"/>
      <c r="G20" s="3223"/>
      <c r="H20" s="3223"/>
      <c r="I20" s="3223"/>
      <c r="J20" s="3223"/>
    </row>
    <row r="21" spans="1:11" ht="72.75" customHeight="1">
      <c r="A21" s="3220" t="s">
        <v>4470</v>
      </c>
      <c r="B21" s="3220"/>
      <c r="C21" s="3220"/>
      <c r="D21" s="3220"/>
      <c r="E21" s="3220"/>
      <c r="F21" s="3220"/>
      <c r="G21" s="3220"/>
      <c r="H21" s="3220"/>
      <c r="I21" s="3220"/>
      <c r="J21" s="3220"/>
    </row>
    <row r="22" spans="1:11" ht="15.6">
      <c r="A22" s="612" t="s">
        <v>2819</v>
      </c>
      <c r="B22" s="613"/>
      <c r="C22" s="613"/>
      <c r="D22" s="613"/>
      <c r="E22" s="613"/>
      <c r="F22" s="613"/>
    </row>
    <row r="23" spans="1:11" ht="102.75" customHeight="1">
      <c r="A23" s="3224" t="s">
        <v>2838</v>
      </c>
      <c r="B23" s="3224"/>
      <c r="C23" s="3224"/>
      <c r="D23" s="3224"/>
      <c r="E23" s="3224"/>
      <c r="F23" s="3224"/>
      <c r="G23" s="3224"/>
      <c r="H23" s="3224"/>
      <c r="I23" s="3224"/>
      <c r="J23" s="3224"/>
      <c r="K23" s="1232"/>
    </row>
    <row r="24" spans="1:11" ht="15" customHeight="1">
      <c r="A24" s="3221"/>
      <c r="B24" s="3221"/>
      <c r="C24" s="3221"/>
      <c r="D24" s="3221"/>
      <c r="E24" s="3221"/>
      <c r="F24" s="3221"/>
      <c r="G24" s="3221"/>
      <c r="H24" s="3221"/>
      <c r="I24" s="3221"/>
      <c r="J24" s="3221"/>
      <c r="K24" s="610" t="s">
        <v>238</v>
      </c>
    </row>
    <row r="25" spans="1:11" ht="15" customHeight="1">
      <c r="B25" s="1231"/>
      <c r="C25" s="1231"/>
      <c r="D25" s="1231"/>
      <c r="E25" s="1231"/>
      <c r="F25" s="1231"/>
      <c r="G25" s="1231"/>
      <c r="H25" s="1231"/>
      <c r="I25" s="1231" t="s">
        <v>238</v>
      </c>
      <c r="J25" s="1231"/>
    </row>
    <row r="26" spans="1:11" ht="15.6">
      <c r="A26" s="613" t="s">
        <v>2820</v>
      </c>
    </row>
    <row r="28" spans="1:11" ht="15.6" thickBot="1">
      <c r="A28" s="615"/>
      <c r="B28" s="615"/>
      <c r="C28" s="615"/>
      <c r="D28" s="615"/>
      <c r="F28" s="615"/>
      <c r="G28" s="615"/>
      <c r="H28" s="615"/>
      <c r="I28" s="615"/>
    </row>
    <row r="29" spans="1:11">
      <c r="A29" s="610" t="s">
        <v>2821</v>
      </c>
      <c r="D29" s="610" t="s">
        <v>904</v>
      </c>
      <c r="F29" s="610" t="s">
        <v>2822</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2823</v>
      </c>
      <c r="B2" s="617"/>
      <c r="C2" s="617"/>
      <c r="D2" s="617"/>
      <c r="E2" s="618"/>
      <c r="F2" s="617"/>
      <c r="G2" s="617"/>
      <c r="H2" s="617"/>
      <c r="I2" s="617"/>
      <c r="J2" s="617"/>
    </row>
    <row r="3" spans="1:10">
      <c r="A3" s="620"/>
    </row>
    <row r="4" spans="1:10">
      <c r="A4" s="620" t="s">
        <v>2824</v>
      </c>
      <c r="D4" s="619" t="s">
        <v>2825</v>
      </c>
    </row>
    <row r="5" spans="1:10">
      <c r="A5" s="620"/>
    </row>
    <row r="6" spans="1:10">
      <c r="A6" s="620" t="s">
        <v>2826</v>
      </c>
      <c r="D6" s="619" t="s">
        <v>2827</v>
      </c>
    </row>
    <row r="7" spans="1:10">
      <c r="A7" s="620"/>
    </row>
    <row r="8" spans="1:10">
      <c r="A8" s="620" t="s">
        <v>2828</v>
      </c>
      <c r="D8" s="621" t="s">
        <v>2829</v>
      </c>
    </row>
    <row r="9" spans="1:10">
      <c r="A9" s="620"/>
    </row>
    <row r="10" spans="1:10">
      <c r="A10" s="620" t="s">
        <v>2830</v>
      </c>
      <c r="D10" s="621" t="s">
        <v>2831</v>
      </c>
    </row>
    <row r="11" spans="1:10">
      <c r="A11" s="620"/>
      <c r="D11" s="1527"/>
    </row>
    <row r="12" spans="1:10">
      <c r="A12" s="620" t="s">
        <v>2832</v>
      </c>
      <c r="D12" s="619" t="s">
        <v>599</v>
      </c>
      <c r="F12" s="1527" t="str">
        <f>'Sensitivity Analysis'!$C$8</f>
        <v>Spring Creek Crossing</v>
      </c>
    </row>
    <row r="13" spans="1:10">
      <c r="A13" s="620"/>
      <c r="D13" s="619" t="s">
        <v>2833</v>
      </c>
      <c r="F13" s="1527" t="str">
        <f>'Sensitivity Analysis'!E8</f>
        <v>2020-079</v>
      </c>
    </row>
    <row r="14" spans="1:10">
      <c r="A14" s="620"/>
      <c r="D14" s="619" t="s">
        <v>2834</v>
      </c>
      <c r="F14" s="1527" t="str">
        <f>'Sensitivity Analysis'!H8</f>
        <v>Montezuma, Macon</v>
      </c>
    </row>
    <row r="15" spans="1:10">
      <c r="A15" s="620"/>
      <c r="D15" s="619" t="s">
        <v>3196</v>
      </c>
      <c r="F15" s="3237">
        <f>'Sensitivity Analysis'!$C$25</f>
        <v>0</v>
      </c>
      <c r="G15" s="3237"/>
      <c r="H15" s="3237"/>
    </row>
    <row r="16" spans="1:10">
      <c r="A16" s="620"/>
      <c r="D16" s="622" t="s">
        <v>2835</v>
      </c>
      <c r="F16" s="623">
        <f>'Sensitivity Analysis'!C13</f>
        <v>50</v>
      </c>
      <c r="G16" s="624" t="s">
        <v>3197</v>
      </c>
      <c r="H16" s="1168">
        <f>'Sensitivity Analysis'!E13</f>
        <v>50</v>
      </c>
    </row>
    <row r="17" spans="1:18">
      <c r="A17" s="620"/>
      <c r="D17" s="622" t="s">
        <v>2799</v>
      </c>
      <c r="F17" s="623" t="str">
        <f>'Sensitivity Analysis'!C14</f>
        <v>Family</v>
      </c>
    </row>
    <row r="18" spans="1:18">
      <c r="A18" s="620"/>
      <c r="D18" s="622" t="s">
        <v>3201</v>
      </c>
      <c r="F18" s="1527" t="str">
        <f>'Sensitivity Analysis'!H15</f>
        <v>Rural</v>
      </c>
    </row>
    <row r="19" spans="1:18">
      <c r="A19" s="620"/>
      <c r="D19" s="622" t="s">
        <v>3198</v>
      </c>
      <c r="F19" s="1527" t="str">
        <f>'Sensitivity Analysis'!E16</f>
        <v>No</v>
      </c>
    </row>
    <row r="20" spans="1:18">
      <c r="A20" s="620"/>
      <c r="D20" s="622"/>
    </row>
    <row r="21" spans="1:18">
      <c r="A21" s="625" t="s">
        <v>2836</v>
      </c>
    </row>
    <row r="22" spans="1:18" ht="111.75" customHeight="1">
      <c r="A22" s="3226" t="s">
        <v>3374</v>
      </c>
      <c r="B22" s="3226"/>
      <c r="C22" s="3226"/>
      <c r="D22" s="3226"/>
      <c r="E22" s="3226"/>
      <c r="F22" s="3226"/>
      <c r="G22" s="3226"/>
      <c r="H22" s="3226"/>
      <c r="I22" s="3226"/>
      <c r="J22" s="3226"/>
      <c r="K22" s="3225" t="s">
        <v>4472</v>
      </c>
      <c r="L22" s="3225"/>
      <c r="M22" s="3225"/>
      <c r="N22" s="3225"/>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27"/>
      <c r="B24" s="3227"/>
      <c r="C24" s="3227"/>
      <c r="D24" s="3227"/>
      <c r="E24" s="3227"/>
      <c r="F24" s="3227"/>
      <c r="G24" s="3227"/>
      <c r="H24" s="3227"/>
      <c r="I24" s="3227"/>
      <c r="J24" s="3227"/>
    </row>
    <row r="25" spans="1:18" ht="10.5" hidden="1" customHeight="1">
      <c r="A25" s="3228"/>
      <c r="B25" s="3228"/>
      <c r="C25" s="3228"/>
      <c r="D25" s="3228"/>
      <c r="E25" s="3228"/>
      <c r="F25" s="3228"/>
      <c r="G25" s="3228"/>
      <c r="H25" s="3228"/>
      <c r="I25" s="3228"/>
      <c r="J25" s="3228"/>
    </row>
    <row r="26" spans="1:18">
      <c r="A26" s="625" t="s">
        <v>2837</v>
      </c>
    </row>
    <row r="27" spans="1:18" ht="14.25" customHeight="1">
      <c r="A27" s="3229" t="s">
        <v>2838</v>
      </c>
      <c r="B27" s="3229"/>
      <c r="C27" s="3229"/>
      <c r="D27" s="3229"/>
      <c r="E27" s="3229"/>
      <c r="F27" s="3229"/>
      <c r="G27" s="3229"/>
      <c r="H27" s="3229"/>
      <c r="I27" s="3229"/>
      <c r="J27" s="3229"/>
    </row>
    <row r="28" spans="1:18" ht="14.25" customHeight="1">
      <c r="A28" s="3229"/>
      <c r="B28" s="3229"/>
      <c r="C28" s="3229"/>
      <c r="D28" s="3229"/>
      <c r="E28" s="3229"/>
      <c r="F28" s="3229"/>
      <c r="G28" s="3229"/>
      <c r="H28" s="3229"/>
      <c r="I28" s="3229"/>
      <c r="J28" s="3229"/>
    </row>
    <row r="29" spans="1:18" ht="6.75" customHeight="1">
      <c r="A29" s="3229"/>
      <c r="B29" s="3229"/>
      <c r="C29" s="3229"/>
      <c r="D29" s="3229"/>
      <c r="E29" s="3229"/>
      <c r="F29" s="3229"/>
      <c r="G29" s="3229"/>
      <c r="H29" s="3229"/>
      <c r="I29" s="3229"/>
      <c r="J29" s="3229"/>
    </row>
    <row r="30" spans="1:18" ht="14.25" customHeight="1">
      <c r="A30" s="3229"/>
      <c r="B30" s="3229"/>
      <c r="C30" s="3229"/>
      <c r="D30" s="3229"/>
      <c r="E30" s="3229"/>
      <c r="F30" s="3229"/>
      <c r="G30" s="3229"/>
      <c r="H30" s="3229"/>
      <c r="I30" s="3229"/>
      <c r="J30" s="3229"/>
    </row>
    <row r="31" spans="1:18" ht="14.25" customHeight="1">
      <c r="A31" s="3229"/>
      <c r="B31" s="3229"/>
      <c r="C31" s="3229"/>
      <c r="D31" s="3229"/>
      <c r="E31" s="3229"/>
      <c r="F31" s="3229"/>
      <c r="G31" s="3229"/>
      <c r="H31" s="3229"/>
      <c r="I31" s="3229"/>
      <c r="J31" s="3229"/>
    </row>
    <row r="32" spans="1:18" ht="54.75" customHeight="1">
      <c r="A32" s="3229"/>
      <c r="B32" s="3229"/>
      <c r="C32" s="3229"/>
      <c r="D32" s="3229"/>
      <c r="E32" s="3229"/>
      <c r="F32" s="3229"/>
      <c r="G32" s="3229"/>
      <c r="H32" s="3229"/>
      <c r="I32" s="3229"/>
      <c r="J32" s="3229"/>
    </row>
    <row r="33" spans="1:10" ht="0.75" hidden="1" customHeight="1">
      <c r="A33" s="3229"/>
      <c r="B33" s="3229"/>
      <c r="C33" s="3229"/>
      <c r="D33" s="3229"/>
      <c r="E33" s="3229"/>
      <c r="F33" s="3229"/>
      <c r="G33" s="3229"/>
      <c r="H33" s="3229"/>
      <c r="I33" s="3229"/>
      <c r="J33" s="3229"/>
    </row>
    <row r="34" spans="1:10" ht="3.75" hidden="1" customHeight="1">
      <c r="A34" s="3229"/>
      <c r="B34" s="3229"/>
      <c r="C34" s="3229"/>
      <c r="D34" s="3229"/>
      <c r="E34" s="3229"/>
      <c r="F34" s="3229"/>
      <c r="G34" s="3229"/>
      <c r="H34" s="3229"/>
      <c r="I34" s="3229"/>
      <c r="J34" s="3229"/>
    </row>
    <row r="35" spans="1:10" ht="5.25" customHeight="1">
      <c r="A35" s="1523"/>
      <c r="B35" s="1523"/>
      <c r="C35" s="1523"/>
      <c r="D35" s="1523"/>
      <c r="E35" s="1523"/>
      <c r="F35" s="1523"/>
      <c r="G35" s="1523"/>
      <c r="H35" s="1523"/>
      <c r="I35" s="1523"/>
      <c r="J35" s="1523"/>
    </row>
    <row r="36" spans="1:10" ht="19.5" customHeight="1">
      <c r="A36" s="3227" t="s">
        <v>2839</v>
      </c>
      <c r="B36" s="3227"/>
      <c r="C36" s="3227"/>
      <c r="D36" s="1521"/>
      <c r="E36" s="1521"/>
      <c r="F36" s="1521"/>
      <c r="G36" s="1521"/>
      <c r="H36" s="1521"/>
      <c r="I36" s="1521"/>
      <c r="J36" s="1521"/>
    </row>
    <row r="37" spans="1:10" ht="15" customHeight="1">
      <c r="A37" s="3220"/>
      <c r="B37" s="3220"/>
      <c r="C37" s="3220"/>
      <c r="D37" s="3220"/>
      <c r="E37" s="3220"/>
      <c r="F37" s="3220"/>
      <c r="G37" s="3220"/>
      <c r="H37" s="3220"/>
      <c r="I37" s="3220"/>
      <c r="J37" s="3220"/>
    </row>
    <row r="38" spans="1:10" ht="33.75" customHeight="1">
      <c r="A38" s="3220"/>
      <c r="B38" s="3220"/>
      <c r="C38" s="3220"/>
      <c r="D38" s="3220"/>
      <c r="E38" s="3220"/>
      <c r="F38" s="3220"/>
      <c r="G38" s="3220"/>
      <c r="H38" s="3220"/>
      <c r="I38" s="3220"/>
      <c r="J38" s="3220"/>
    </row>
    <row r="39" spans="1:10" ht="2.25" customHeight="1">
      <c r="A39" s="1521"/>
      <c r="B39" s="1521"/>
      <c r="C39" s="1521"/>
      <c r="D39" s="1521"/>
      <c r="E39" s="1521"/>
      <c r="F39" s="1521"/>
      <c r="G39" s="1521"/>
      <c r="H39" s="1521"/>
      <c r="I39" s="1521"/>
      <c r="J39" s="1521"/>
    </row>
    <row r="40" spans="1:10">
      <c r="A40" s="625" t="s">
        <v>2840</v>
      </c>
    </row>
    <row r="41" spans="1:10" ht="135" customHeight="1">
      <c r="A41" s="3228" t="s">
        <v>4469</v>
      </c>
      <c r="B41" s="3228"/>
      <c r="C41" s="3228"/>
      <c r="D41" s="3228"/>
      <c r="E41" s="3228"/>
      <c r="F41" s="3228"/>
      <c r="G41" s="3228"/>
      <c r="H41" s="3228"/>
      <c r="I41" s="3228"/>
      <c r="J41" s="3228"/>
    </row>
    <row r="42" spans="1:10" ht="6" customHeight="1">
      <c r="A42" s="1522"/>
      <c r="B42" s="1522"/>
      <c r="C42" s="1522"/>
      <c r="D42" s="1522"/>
      <c r="E42" s="1522"/>
      <c r="F42" s="1522"/>
      <c r="G42" s="1522"/>
      <c r="H42" s="1522"/>
      <c r="I42" s="1522"/>
      <c r="J42" s="1522"/>
    </row>
    <row r="43" spans="1:10">
      <c r="A43" s="625" t="s">
        <v>2841</v>
      </c>
    </row>
    <row r="44" spans="1:10" ht="33" customHeight="1">
      <c r="A44" s="3220" t="s">
        <v>3881</v>
      </c>
      <c r="B44" s="3222"/>
      <c r="C44" s="3222"/>
      <c r="D44" s="3222"/>
      <c r="E44" s="3222"/>
      <c r="F44" s="3222"/>
      <c r="G44" s="3222"/>
      <c r="H44" s="3222"/>
      <c r="I44" s="3222"/>
      <c r="J44" s="3220"/>
    </row>
    <row r="45" spans="1:10" ht="3" customHeight="1"/>
    <row r="46" spans="1:10" ht="72.75" customHeight="1">
      <c r="A46" s="3220" t="s">
        <v>3882</v>
      </c>
      <c r="B46" s="3220"/>
      <c r="C46" s="3220"/>
      <c r="D46" s="3220"/>
      <c r="E46" s="3220"/>
      <c r="F46" s="3220"/>
      <c r="G46" s="3220"/>
      <c r="H46" s="3220"/>
      <c r="I46" s="3220"/>
      <c r="J46" s="3220"/>
    </row>
    <row r="47" spans="1:10" ht="3" customHeight="1">
      <c r="A47" s="1521"/>
      <c r="B47" s="1521"/>
      <c r="C47" s="1521"/>
      <c r="D47" s="1521"/>
      <c r="E47" s="1521"/>
      <c r="F47" s="1521"/>
      <c r="G47" s="1521"/>
      <c r="H47" s="1521"/>
      <c r="I47" s="1521"/>
      <c r="J47" s="1521"/>
    </row>
    <row r="48" spans="1:10" ht="56.25" customHeight="1">
      <c r="A48" s="3220" t="s">
        <v>3883</v>
      </c>
      <c r="B48" s="3220"/>
      <c r="C48" s="3220"/>
      <c r="D48" s="3220"/>
      <c r="E48" s="3220"/>
      <c r="F48" s="3220"/>
      <c r="G48" s="3220"/>
      <c r="H48" s="3220"/>
      <c r="I48" s="3220"/>
      <c r="J48" s="3220"/>
    </row>
    <row r="49" spans="1:17" ht="3" customHeight="1">
      <c r="A49" s="1521"/>
      <c r="B49" s="1521"/>
      <c r="C49" s="1521"/>
      <c r="D49" s="1521"/>
      <c r="E49" s="1521"/>
      <c r="F49" s="1521"/>
      <c r="G49" s="1521"/>
      <c r="H49" s="1521"/>
      <c r="I49" s="1521"/>
      <c r="J49" s="1521"/>
    </row>
    <row r="50" spans="1:17" ht="49.5" customHeight="1">
      <c r="A50" s="3220" t="s">
        <v>3884</v>
      </c>
      <c r="B50" s="3220"/>
      <c r="C50" s="3220"/>
      <c r="D50" s="3220"/>
      <c r="E50" s="3220"/>
      <c r="F50" s="3220"/>
      <c r="G50" s="3220"/>
      <c r="H50" s="3220"/>
      <c r="I50" s="3220"/>
      <c r="J50" s="1521"/>
    </row>
    <row r="51" spans="1:17" ht="3" customHeight="1">
      <c r="A51" s="1521"/>
      <c r="B51" s="1521"/>
      <c r="C51" s="1521"/>
      <c r="D51" s="1521"/>
      <c r="E51" s="1521"/>
      <c r="F51" s="1521"/>
      <c r="G51" s="1521"/>
      <c r="H51" s="1521"/>
      <c r="I51" s="1521"/>
      <c r="J51" s="1521"/>
    </row>
    <row r="52" spans="1:17" ht="54.75" customHeight="1">
      <c r="A52" s="3242" t="s">
        <v>3206</v>
      </c>
      <c r="B52" s="3232"/>
      <c r="C52" s="3232"/>
      <c r="D52" s="3232"/>
      <c r="E52" s="3232"/>
      <c r="F52" s="3232"/>
      <c r="G52" s="3232"/>
      <c r="H52" s="3232"/>
      <c r="I52" s="3232"/>
      <c r="J52" s="1521"/>
    </row>
    <row r="53" spans="1:17" ht="3" customHeight="1">
      <c r="A53" s="1521"/>
      <c r="B53" s="1521"/>
      <c r="C53" s="1521"/>
      <c r="D53" s="1521"/>
      <c r="E53" s="1521"/>
      <c r="F53" s="1521"/>
      <c r="G53" s="1521"/>
      <c r="H53" s="1521"/>
      <c r="I53" s="1521"/>
      <c r="J53" s="1521"/>
    </row>
    <row r="54" spans="1:17" ht="62.25" customHeight="1">
      <c r="A54" s="3232" t="s">
        <v>3885</v>
      </c>
      <c r="B54" s="3232"/>
      <c r="C54" s="3232"/>
      <c r="D54" s="3232"/>
      <c r="E54" s="3232"/>
      <c r="F54" s="3232"/>
      <c r="G54" s="3232"/>
      <c r="H54" s="3232"/>
      <c r="I54" s="3232"/>
      <c r="J54" s="3232"/>
    </row>
    <row r="55" spans="1:17" ht="3" customHeight="1"/>
    <row r="56" spans="1:17" ht="73.5" customHeight="1">
      <c r="A56" s="3220" t="s">
        <v>3886</v>
      </c>
      <c r="B56" s="3220"/>
      <c r="C56" s="3220"/>
      <c r="D56" s="3220"/>
      <c r="E56" s="3220"/>
      <c r="F56" s="3220"/>
      <c r="G56" s="3220"/>
      <c r="H56" s="3220"/>
      <c r="I56" s="3220"/>
      <c r="J56" s="3220"/>
    </row>
    <row r="57" spans="1:17" ht="6" customHeight="1">
      <c r="A57" s="1521" t="s">
        <v>238</v>
      </c>
      <c r="B57" s="1521"/>
      <c r="C57" s="1521"/>
      <c r="D57" s="1521"/>
      <c r="E57" s="1521"/>
      <c r="F57" s="1521"/>
      <c r="G57" s="1521"/>
      <c r="H57" s="1521"/>
      <c r="I57" s="1521"/>
      <c r="J57" s="1521"/>
    </row>
    <row r="58" spans="1:17">
      <c r="A58" s="625" t="s">
        <v>2844</v>
      </c>
      <c r="L58" s="626" t="s">
        <v>3366</v>
      </c>
    </row>
    <row r="59" spans="1:17" ht="73.5" customHeight="1">
      <c r="A59" s="3226" t="s">
        <v>2845</v>
      </c>
      <c r="B59" s="3226"/>
      <c r="C59" s="3226"/>
      <c r="D59" s="3226"/>
      <c r="E59" s="3226"/>
      <c r="F59" s="3226"/>
      <c r="G59" s="3226"/>
      <c r="H59" s="3226"/>
      <c r="I59" s="3226"/>
      <c r="J59" s="3226"/>
      <c r="L59" s="627">
        <f>'Closing term sheet'!C133</f>
        <v>596271.5</v>
      </c>
      <c r="M59" s="628"/>
      <c r="N59" s="628"/>
      <c r="O59" s="628"/>
    </row>
    <row r="60" spans="1:17" ht="7.5" customHeight="1">
      <c r="A60" s="1521"/>
      <c r="B60" s="1521"/>
      <c r="C60" s="1521"/>
      <c r="D60" s="1521"/>
      <c r="E60" s="1521"/>
      <c r="F60" s="1521"/>
      <c r="G60" s="1521"/>
      <c r="H60" s="1521"/>
      <c r="I60" s="1521"/>
      <c r="J60" s="1521"/>
      <c r="L60" s="629" t="s">
        <v>3367</v>
      </c>
      <c r="M60" s="630" t="s">
        <v>3372</v>
      </c>
      <c r="N60" s="631" t="s">
        <v>3369</v>
      </c>
      <c r="O60" s="629" t="s">
        <v>3368</v>
      </c>
      <c r="P60" s="630" t="s">
        <v>3371</v>
      </c>
      <c r="Q60" s="631" t="s">
        <v>3370</v>
      </c>
    </row>
    <row r="61" spans="1:17" ht="78.75" customHeight="1">
      <c r="A61" s="3232" t="s">
        <v>3278</v>
      </c>
      <c r="B61" s="3232"/>
      <c r="C61" s="3232"/>
      <c r="D61" s="3232"/>
      <c r="E61" s="3232"/>
      <c r="F61" s="3232"/>
      <c r="G61" s="3232"/>
      <c r="H61" s="3232"/>
      <c r="I61" s="3232"/>
      <c r="J61" s="632"/>
      <c r="L61" s="633">
        <f>'Part III-Sources of Funds'!I49</f>
        <v>7393806</v>
      </c>
      <c r="M61" s="634">
        <f>'Part IV-A-Uses of Funds'!$J$184</f>
        <v>900000</v>
      </c>
      <c r="N61" s="635">
        <f>'Part IV-A-Uses of Funds'!N175</f>
        <v>0.83</v>
      </c>
      <c r="O61" s="633">
        <f>'Part III-Sources of Funds'!I50</f>
        <v>3404700</v>
      </c>
      <c r="P61" s="634">
        <f>M61</f>
        <v>900000</v>
      </c>
      <c r="Q61" s="635">
        <f>'Part IV-A-Uses of Funds'!Q175</f>
        <v>0.37</v>
      </c>
    </row>
    <row r="62" spans="1:17" ht="18.75" customHeight="1">
      <c r="A62" s="636" t="s">
        <v>2846</v>
      </c>
    </row>
    <row r="63" spans="1:17" ht="177" customHeight="1">
      <c r="A63" s="3232" t="s">
        <v>3887</v>
      </c>
      <c r="B63" s="3232"/>
      <c r="C63" s="3232"/>
      <c r="D63" s="3232"/>
      <c r="E63" s="3232"/>
      <c r="F63" s="3232"/>
      <c r="G63" s="3232"/>
      <c r="H63" s="3232"/>
      <c r="I63" s="3232"/>
      <c r="J63" s="3232"/>
      <c r="L63" s="637" t="str">
        <f>'Part VII-Pro Forma'!K71</f>
        <v/>
      </c>
      <c r="M63" s="3230" t="s">
        <v>3373</v>
      </c>
      <c r="N63" s="3231"/>
    </row>
    <row r="64" spans="1:17" ht="6" customHeight="1">
      <c r="A64" s="625"/>
    </row>
    <row r="65" spans="1:10">
      <c r="A65" s="625" t="s">
        <v>2847</v>
      </c>
    </row>
    <row r="66" spans="1:10" ht="72.599999999999994" customHeight="1">
      <c r="A66" s="3232" t="s">
        <v>2848</v>
      </c>
      <c r="B66" s="3232"/>
      <c r="C66" s="3232"/>
      <c r="D66" s="3232"/>
      <c r="E66" s="3232"/>
      <c r="F66" s="3232"/>
      <c r="G66" s="3232"/>
      <c r="H66" s="3232"/>
      <c r="I66" s="3232"/>
      <c r="J66" s="3232"/>
    </row>
    <row r="67" spans="1:10" ht="36" customHeight="1">
      <c r="A67" s="3232" t="s">
        <v>2849</v>
      </c>
      <c r="B67" s="3232"/>
      <c r="C67" s="3232"/>
      <c r="D67" s="3232"/>
      <c r="E67" s="3232"/>
      <c r="F67" s="3232"/>
      <c r="G67" s="3232"/>
      <c r="H67" s="3232"/>
      <c r="I67" s="3232"/>
      <c r="J67" s="3232"/>
    </row>
    <row r="68" spans="1:10" ht="6" customHeight="1">
      <c r="A68" s="625"/>
    </row>
    <row r="69" spans="1:10">
      <c r="A69" s="625" t="s">
        <v>2850</v>
      </c>
    </row>
    <row r="70" spans="1:10" ht="105.75" customHeight="1">
      <c r="A70" s="3220" t="s">
        <v>2851</v>
      </c>
      <c r="B70" s="3220"/>
      <c r="C70" s="3220"/>
      <c r="D70" s="3220"/>
      <c r="E70" s="3220"/>
      <c r="F70" s="3220"/>
      <c r="G70" s="3220"/>
      <c r="H70" s="3220"/>
      <c r="I70" s="3220"/>
      <c r="J70" s="3220"/>
    </row>
    <row r="71" spans="1:10" ht="6" customHeight="1">
      <c r="A71" s="625"/>
    </row>
    <row r="72" spans="1:10">
      <c r="A72" s="625" t="s">
        <v>2852</v>
      </c>
    </row>
    <row r="73" spans="1:10" ht="66" customHeight="1">
      <c r="A73" s="3220" t="s">
        <v>2853</v>
      </c>
      <c r="B73" s="3220"/>
      <c r="C73" s="3220"/>
      <c r="D73" s="3220"/>
      <c r="E73" s="3220"/>
      <c r="F73" s="3220"/>
      <c r="G73" s="3220"/>
      <c r="H73" s="3220"/>
      <c r="I73" s="3220"/>
      <c r="J73" s="3220"/>
    </row>
    <row r="74" spans="1:10" s="1523" customFormat="1" ht="6" customHeight="1">
      <c r="A74" s="3220"/>
      <c r="B74" s="3220"/>
      <c r="C74" s="3220"/>
      <c r="D74" s="3220"/>
      <c r="E74" s="3220"/>
      <c r="F74" s="3220"/>
      <c r="G74" s="3220"/>
      <c r="H74" s="3220"/>
      <c r="I74" s="3220"/>
      <c r="J74" s="3220"/>
    </row>
    <row r="75" spans="1:10" ht="16.5" customHeight="1">
      <c r="A75" s="1525" t="s">
        <v>2854</v>
      </c>
      <c r="B75" s="624"/>
      <c r="C75" s="624"/>
      <c r="D75" s="1527"/>
      <c r="E75" s="624"/>
      <c r="F75" s="624"/>
      <c r="G75" s="624"/>
      <c r="H75" s="624"/>
      <c r="I75" s="624"/>
      <c r="J75" s="638"/>
    </row>
    <row r="76" spans="1:10" s="1523" customFormat="1" ht="63" customHeight="1">
      <c r="A76" s="3220" t="s">
        <v>4095</v>
      </c>
      <c r="B76" s="3220"/>
      <c r="C76" s="3220"/>
      <c r="D76" s="3220"/>
      <c r="E76" s="3220"/>
      <c r="F76" s="3220"/>
      <c r="G76" s="3220"/>
      <c r="H76" s="3220"/>
      <c r="I76" s="3220"/>
      <c r="J76" s="3220"/>
    </row>
    <row r="77" spans="1:10" s="1523" customFormat="1" ht="6" customHeight="1">
      <c r="A77" s="1521"/>
      <c r="B77" s="1521"/>
      <c r="C77" s="1521"/>
      <c r="D77" s="1521"/>
      <c r="E77" s="1521"/>
      <c r="F77" s="1521"/>
      <c r="G77" s="1521"/>
      <c r="H77" s="1521"/>
      <c r="I77" s="1521"/>
      <c r="J77" s="1521"/>
    </row>
    <row r="78" spans="1:10" ht="16.5" customHeight="1">
      <c r="A78" s="3234" t="s">
        <v>2855</v>
      </c>
      <c r="B78" s="3235"/>
      <c r="C78" s="3235"/>
      <c r="D78" s="624"/>
      <c r="E78" s="624"/>
      <c r="F78" s="624"/>
      <c r="G78" s="624"/>
      <c r="H78" s="624"/>
      <c r="I78" s="624"/>
      <c r="J78" s="638"/>
    </row>
    <row r="79" spans="1:10" ht="41.25" customHeight="1">
      <c r="A79" s="3232" t="s">
        <v>3888</v>
      </c>
      <c r="B79" s="3236"/>
      <c r="C79" s="3236"/>
      <c r="D79" s="3236"/>
      <c r="E79" s="3236"/>
      <c r="F79" s="3236"/>
      <c r="G79" s="3236"/>
      <c r="H79" s="3236"/>
      <c r="I79" s="3236"/>
      <c r="J79" s="3236"/>
    </row>
    <row r="80" spans="1:10" ht="6" customHeight="1">
      <c r="A80" s="639"/>
      <c r="B80" s="624"/>
      <c r="C80" s="624"/>
      <c r="D80" s="624"/>
      <c r="E80" s="624"/>
      <c r="F80" s="624"/>
      <c r="G80" s="624"/>
      <c r="H80" s="624"/>
      <c r="I80" s="624"/>
      <c r="J80" s="638"/>
    </row>
    <row r="81" spans="1:15">
      <c r="A81" s="625" t="s">
        <v>2856</v>
      </c>
    </row>
    <row r="82" spans="1:15" ht="124.2" customHeight="1">
      <c r="A82" s="3232" t="s">
        <v>2857</v>
      </c>
      <c r="B82" s="3232"/>
      <c r="C82" s="3232"/>
      <c r="D82" s="3232"/>
      <c r="E82" s="3232"/>
      <c r="F82" s="3232"/>
      <c r="G82" s="3232"/>
      <c r="H82" s="3232"/>
      <c r="I82" s="3232"/>
      <c r="J82" s="3232"/>
      <c r="L82" s="3225" t="s">
        <v>2858</v>
      </c>
      <c r="M82" s="3225"/>
      <c r="N82" s="3225"/>
    </row>
    <row r="83" spans="1:15" ht="6" customHeight="1">
      <c r="A83" s="1524"/>
      <c r="B83" s="1524"/>
      <c r="C83" s="1524"/>
      <c r="D83" s="1524"/>
      <c r="E83" s="1524"/>
      <c r="F83" s="1524"/>
      <c r="G83" s="1524"/>
      <c r="H83" s="1524"/>
      <c r="I83" s="1524"/>
      <c r="J83" s="1524"/>
      <c r="L83" s="1526"/>
      <c r="M83" s="1526"/>
      <c r="N83" s="1526"/>
    </row>
    <row r="84" spans="1:15" ht="17.25" customHeight="1">
      <c r="A84" s="625" t="s">
        <v>2859</v>
      </c>
    </row>
    <row r="85" spans="1:15" ht="105" customHeight="1">
      <c r="A85" s="3232" t="s">
        <v>2860</v>
      </c>
      <c r="B85" s="3232"/>
      <c r="C85" s="3232"/>
      <c r="D85" s="3232"/>
      <c r="E85" s="3232"/>
      <c r="F85" s="3232"/>
      <c r="G85" s="3232"/>
      <c r="H85" s="3232"/>
      <c r="I85" s="3232"/>
      <c r="J85" s="3232"/>
      <c r="L85" s="3225" t="s">
        <v>2861</v>
      </c>
      <c r="M85" s="3225"/>
      <c r="N85" s="640" t="e">
        <f>'After-Tax Analysis'!G66</f>
        <v>#VALUE!</v>
      </c>
      <c r="O85" s="641" t="s">
        <v>2862</v>
      </c>
    </row>
    <row r="86" spans="1:15" ht="6" customHeight="1">
      <c r="A86" s="625"/>
    </row>
    <row r="87" spans="1:15">
      <c r="A87" s="625" t="s">
        <v>2863</v>
      </c>
    </row>
    <row r="88" spans="1:15" ht="118.5" customHeight="1">
      <c r="A88" s="3220" t="s">
        <v>2864</v>
      </c>
      <c r="B88" s="3220"/>
      <c r="C88" s="3220"/>
      <c r="D88" s="3220"/>
      <c r="E88" s="3220"/>
      <c r="F88" s="3220"/>
      <c r="G88" s="3220"/>
      <c r="H88" s="3220"/>
      <c r="I88" s="3220"/>
      <c r="J88" s="3220"/>
    </row>
    <row r="89" spans="1:15" ht="20.25" customHeight="1">
      <c r="A89" s="3222" t="s">
        <v>2865</v>
      </c>
      <c r="B89" s="3222"/>
      <c r="C89" s="3222"/>
      <c r="D89" s="3220"/>
      <c r="E89" s="1521"/>
      <c r="F89" s="1521"/>
      <c r="G89" s="1521"/>
      <c r="H89" s="1521"/>
      <c r="I89" s="1521"/>
      <c r="J89" s="1521"/>
    </row>
    <row r="90" spans="1:15" ht="109.5" customHeight="1">
      <c r="A90" s="3240" t="s">
        <v>2866</v>
      </c>
      <c r="B90" s="3241"/>
      <c r="C90" s="3241"/>
      <c r="D90" s="3241"/>
      <c r="E90" s="3241"/>
      <c r="F90" s="3241"/>
      <c r="G90" s="3241"/>
      <c r="H90" s="3241"/>
      <c r="I90" s="3241"/>
      <c r="J90" s="3241"/>
    </row>
    <row r="91" spans="1:15" ht="11.25" customHeight="1">
      <c r="A91" s="625"/>
    </row>
    <row r="92" spans="1:15">
      <c r="A92" s="625" t="s">
        <v>2867</v>
      </c>
    </row>
    <row r="93" spans="1:15" ht="110.4" customHeight="1">
      <c r="A93" s="3226" t="s">
        <v>2868</v>
      </c>
      <c r="B93" s="3226"/>
      <c r="C93" s="3226"/>
      <c r="D93" s="3226"/>
      <c r="E93" s="3226"/>
      <c r="F93" s="3226"/>
      <c r="G93" s="3226"/>
      <c r="H93" s="3226"/>
      <c r="I93" s="3226"/>
      <c r="J93" s="3226"/>
      <c r="L93" s="1172" t="str">
        <f>'Part VII-Pro Forma'!K71</f>
        <v/>
      </c>
      <c r="M93" s="3233" t="s">
        <v>2869</v>
      </c>
      <c r="N93" s="3233"/>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22" t="s">
        <v>2870</v>
      </c>
      <c r="B97" s="3222"/>
      <c r="C97" s="3222"/>
      <c r="D97" s="1521"/>
      <c r="E97" s="1521"/>
      <c r="F97" s="1521"/>
      <c r="G97" s="1521"/>
      <c r="H97" s="1521"/>
      <c r="I97" s="1521"/>
      <c r="J97" s="638"/>
    </row>
    <row r="98" spans="1:10" ht="37.5" customHeight="1">
      <c r="A98" s="3232" t="s">
        <v>2871</v>
      </c>
      <c r="B98" s="3232"/>
      <c r="C98" s="3232"/>
      <c r="D98" s="3232"/>
      <c r="E98" s="3232"/>
      <c r="F98" s="3232"/>
      <c r="G98" s="3232"/>
      <c r="H98" s="3232"/>
      <c r="I98" s="3232"/>
      <c r="J98" s="3232"/>
    </row>
    <row r="99" spans="1:10" ht="6" customHeight="1">
      <c r="A99" s="625"/>
    </row>
    <row r="100" spans="1:10">
      <c r="A100" s="625" t="s">
        <v>2872</v>
      </c>
    </row>
    <row r="101" spans="1:10" ht="43.5" customHeight="1">
      <c r="A101" s="3220" t="s">
        <v>2873</v>
      </c>
      <c r="B101" s="3220"/>
      <c r="C101" s="3220"/>
      <c r="D101" s="3220"/>
      <c r="E101" s="3220"/>
      <c r="F101" s="3220"/>
      <c r="G101" s="3220"/>
      <c r="H101" s="3220"/>
      <c r="I101" s="3220"/>
      <c r="J101" s="3220"/>
    </row>
    <row r="102" spans="1:10" ht="6" customHeight="1">
      <c r="A102" s="1521"/>
      <c r="B102" s="1521"/>
      <c r="C102" s="1521"/>
      <c r="D102" s="1521"/>
      <c r="E102" s="1521"/>
      <c r="F102" s="1521"/>
      <c r="G102" s="1521"/>
      <c r="H102" s="1521"/>
      <c r="I102" s="1521"/>
      <c r="J102" s="1521"/>
    </row>
    <row r="103" spans="1:10">
      <c r="A103" s="625" t="s">
        <v>2874</v>
      </c>
    </row>
    <row r="105" spans="1:10" ht="18" thickBot="1">
      <c r="A105" s="2026" t="s">
        <v>2875</v>
      </c>
      <c r="B105" s="2026"/>
      <c r="C105" s="2026"/>
      <c r="D105" s="2026"/>
      <c r="E105" s="2026"/>
      <c r="F105" s="2026"/>
      <c r="G105" s="2027"/>
      <c r="H105" s="619" t="s">
        <v>2876</v>
      </c>
      <c r="I105" s="2026"/>
      <c r="J105" s="2026"/>
    </row>
    <row r="108" spans="1:10" ht="13.95" customHeight="1" thickBot="1">
      <c r="G108" s="2027"/>
      <c r="H108" s="619" t="s">
        <v>2877</v>
      </c>
    </row>
    <row r="109" spans="1:10">
      <c r="A109" s="619" t="s">
        <v>2878</v>
      </c>
    </row>
    <row r="112" spans="1:10" ht="14.4" thickBot="1">
      <c r="A112" s="642"/>
      <c r="B112" s="642"/>
      <c r="C112" s="642"/>
      <c r="D112" s="642"/>
      <c r="E112" s="2024"/>
      <c r="F112" s="642"/>
      <c r="G112" s="642"/>
      <c r="H112" s="642"/>
      <c r="I112" s="642"/>
      <c r="J112" s="642"/>
    </row>
    <row r="113" spans="1:10">
      <c r="A113" s="3238" t="s">
        <v>6834</v>
      </c>
      <c r="B113" s="3238"/>
      <c r="C113" s="3238"/>
      <c r="D113" s="3238"/>
      <c r="E113" s="3239"/>
      <c r="F113" s="2022" t="s">
        <v>6835</v>
      </c>
      <c r="G113" s="2022"/>
      <c r="H113" s="2025"/>
      <c r="I113" s="2025"/>
      <c r="J113" s="2022"/>
    </row>
    <row r="115" spans="1:10" ht="14.4" thickBot="1">
      <c r="A115" s="619" t="s">
        <v>2879</v>
      </c>
      <c r="B115" s="642"/>
      <c r="C115" s="642"/>
      <c r="H115" s="619" t="s">
        <v>2879</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2880</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2020-079  Spring Creek Crossing</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2881</v>
      </c>
      <c r="B7" s="610"/>
      <c r="C7" s="647"/>
      <c r="D7" s="648"/>
      <c r="E7" s="648"/>
      <c r="F7" s="613" t="s">
        <v>3209</v>
      </c>
      <c r="G7" s="610"/>
      <c r="H7" s="324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3"/>
      <c r="J7" s="3243"/>
      <c r="K7" s="3243"/>
      <c r="L7" s="610"/>
      <c r="M7" s="610"/>
    </row>
    <row r="8" spans="1:14" ht="15.6">
      <c r="A8" s="613" t="s">
        <v>2882</v>
      </c>
      <c r="B8" s="613"/>
      <c r="C8" s="3243" t="str">
        <f>'Part I-Project Information'!F34</f>
        <v>Spring Creek Crossing</v>
      </c>
      <c r="D8" s="3243"/>
      <c r="E8" s="1233" t="str">
        <f>'Part I-Project Information'!O6</f>
        <v>2020-079</v>
      </c>
      <c r="F8" s="649" t="s">
        <v>2883</v>
      </c>
      <c r="G8" s="648"/>
      <c r="H8" s="3243" t="str">
        <f>CONCATENATE('Part I-Project Information'!F38,", ",'Part I-Project Information'!J39)</f>
        <v>Montezuma, Macon</v>
      </c>
      <c r="I8" s="3243"/>
      <c r="J8" s="3243"/>
      <c r="K8" s="3243"/>
      <c r="L8" s="610"/>
      <c r="M8" s="650"/>
    </row>
    <row r="9" spans="1:14" ht="15.6">
      <c r="A9" s="613" t="s">
        <v>2885</v>
      </c>
      <c r="B9" s="613"/>
      <c r="C9" s="3243" t="s">
        <v>1727</v>
      </c>
      <c r="D9" s="3243"/>
      <c r="E9" s="648"/>
      <c r="F9" s="649" t="s">
        <v>2886</v>
      </c>
      <c r="G9" s="648"/>
      <c r="H9" s="3243" t="str">
        <f>'Part II-Development Team'!H5</f>
        <v>Spring Creek Crossing Montezuma, LP</v>
      </c>
      <c r="I9" s="3243"/>
      <c r="J9" s="3243"/>
      <c r="K9" s="3243"/>
      <c r="L9" s="3243"/>
      <c r="M9" s="650"/>
    </row>
    <row r="10" spans="1:14" ht="15.6">
      <c r="A10" s="613" t="s">
        <v>2888</v>
      </c>
      <c r="B10" s="610"/>
      <c r="C10" s="1233" t="str">
        <f>'Part II-Development Team'!H14</f>
        <v>Spring Creek Crossing GP, Inc.</v>
      </c>
      <c r="D10" s="648"/>
      <c r="E10" s="648"/>
      <c r="F10" s="649" t="s">
        <v>3428</v>
      </c>
      <c r="G10" s="648"/>
      <c r="H10" s="3243" t="str">
        <f>'Part II-Development Team'!H33</f>
        <v>Affordable Equity Partners, Inc.</v>
      </c>
      <c r="I10" s="3243"/>
      <c r="J10" s="3243"/>
      <c r="K10" s="3243" t="str">
        <f>'Part II-Development Team'!H39</f>
        <v>Affordable Equity Partners, Inc.</v>
      </c>
      <c r="L10" s="3243"/>
    </row>
    <row r="11" spans="1:14" ht="15.6">
      <c r="A11" s="613" t="s">
        <v>2889</v>
      </c>
      <c r="B11" s="610"/>
      <c r="C11" s="1233" t="str">
        <f>IF('Part II-Development Team'!H20="","",'Part II-Development Team'!H20)</f>
        <v/>
      </c>
      <c r="D11" s="648"/>
      <c r="E11" s="1165" t="str">
        <f>IF('Part II-Development Team'!H26="","",'Part II-Development Team'!H26)</f>
        <v/>
      </c>
      <c r="F11" s="649" t="s">
        <v>634</v>
      </c>
      <c r="G11" s="648"/>
      <c r="H11" s="3243" t="str">
        <f>'Part II-Development Team'!H54</f>
        <v>Bennett &amp; Company, LLC</v>
      </c>
      <c r="I11" s="3243"/>
      <c r="J11" s="3243"/>
      <c r="K11" s="3243">
        <f>'Part II-Development Team'!H60</f>
        <v>0</v>
      </c>
      <c r="L11" s="3243"/>
      <c r="M11" s="3243">
        <f>'Part II-Development Team'!H66</f>
        <v>0</v>
      </c>
      <c r="N11" s="3243"/>
    </row>
    <row r="12" spans="1:14" ht="15.6">
      <c r="A12" s="613" t="s">
        <v>2890</v>
      </c>
      <c r="B12" s="610"/>
      <c r="C12" s="1233" t="str">
        <f>'Part II-Development Team'!H86</f>
        <v>Fairway Construction Company, Inc.</v>
      </c>
      <c r="D12" s="648"/>
      <c r="E12" s="648"/>
      <c r="F12" s="649" t="s">
        <v>2891</v>
      </c>
      <c r="G12" s="648"/>
      <c r="H12" s="3243" t="str">
        <f>'Part II-Development Team'!H92</f>
        <v>Fairway Management Co., Inc</v>
      </c>
      <c r="I12" s="3243"/>
      <c r="J12" s="3243"/>
      <c r="K12" s="3243"/>
      <c r="L12" s="610"/>
      <c r="M12" s="610"/>
    </row>
    <row r="13" spans="1:14" ht="15.6">
      <c r="A13" s="613" t="s">
        <v>2892</v>
      </c>
      <c r="B13" s="649"/>
      <c r="C13" s="609">
        <f>'Part VI-Revenues &amp; Expenses'!$P$67</f>
        <v>50</v>
      </c>
      <c r="E13" s="1166">
        <f>'Part VI-Revenues &amp; Expenses'!$P$63</f>
        <v>50</v>
      </c>
      <c r="F13" s="649" t="s">
        <v>3880</v>
      </c>
      <c r="G13" s="648"/>
      <c r="H13" s="1234">
        <f>'Part I-Project Information'!H76</f>
        <v>10</v>
      </c>
      <c r="I13" s="1167"/>
      <c r="J13" s="1167"/>
      <c r="K13" s="1234">
        <f>'Part I-Project Information'!P75</f>
        <v>55158</v>
      </c>
      <c r="L13" s="610"/>
      <c r="M13" s="610"/>
    </row>
    <row r="14" spans="1:14" ht="15.6">
      <c r="A14" s="613" t="s">
        <v>3199</v>
      </c>
      <c r="B14" s="610"/>
      <c r="C14" s="1234" t="str">
        <f>'Part I-Project Information'!H82</f>
        <v>Family</v>
      </c>
      <c r="D14" s="3243" t="str">
        <f>IF('Part I-Project Information'!N74=0,"",'Part I-Project Information'!N74)</f>
        <v/>
      </c>
      <c r="E14" s="3243"/>
      <c r="F14" s="649" t="s">
        <v>2893</v>
      </c>
      <c r="G14" s="648"/>
      <c r="H14" s="3244" t="s">
        <v>3375</v>
      </c>
      <c r="I14" s="3244"/>
      <c r="J14" s="3244"/>
      <c r="K14" s="3244" t="s">
        <v>3375</v>
      </c>
      <c r="L14" s="3244"/>
      <c r="M14" s="610"/>
    </row>
    <row r="15" spans="1:14" ht="15.6">
      <c r="A15" s="613" t="s">
        <v>2894</v>
      </c>
      <c r="B15" s="610"/>
      <c r="C15" s="651" t="s">
        <v>1727</v>
      </c>
      <c r="D15" s="648"/>
      <c r="E15" s="648"/>
      <c r="F15" s="649" t="s">
        <v>3200</v>
      </c>
      <c r="G15" s="648"/>
      <c r="H15" s="1233" t="str">
        <f>'Part I-Project Information'!K40</f>
        <v>Rural</v>
      </c>
      <c r="I15" s="648"/>
      <c r="J15" s="648"/>
      <c r="K15" s="648"/>
      <c r="L15" s="610"/>
      <c r="M15" s="610"/>
    </row>
    <row r="16" spans="1:14" ht="15.6">
      <c r="A16" s="613" t="s">
        <v>3404</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3202</v>
      </c>
      <c r="B18" s="610"/>
      <c r="C18" s="1236">
        <f>'Part IV-A-Uses of Funds'!G132</f>
        <v>10856073</v>
      </c>
      <c r="D18" s="1212">
        <f>IF(C18=0,"",$C$29/C18)</f>
        <v>0</v>
      </c>
      <c r="E18" s="648" t="s">
        <v>3203</v>
      </c>
      <c r="F18" s="649" t="s">
        <v>3204</v>
      </c>
      <c r="G18" s="648"/>
      <c r="H18" s="3245">
        <f>'Part IV-A-Uses of Funds'!B44</f>
        <v>7499950</v>
      </c>
      <c r="I18" s="3245"/>
      <c r="J18" s="1211">
        <f>IF(H18=0,"",$C$29/H18)</f>
        <v>0</v>
      </c>
      <c r="K18" s="3243" t="s">
        <v>3205</v>
      </c>
      <c r="L18" s="3243"/>
      <c r="M18" s="610"/>
    </row>
    <row r="19" spans="1:13" ht="15.6">
      <c r="A19" s="613" t="s">
        <v>2895</v>
      </c>
      <c r="B19" s="610"/>
      <c r="C19" s="1235">
        <f>C18/C13</f>
        <v>217121.46</v>
      </c>
      <c r="D19" s="648"/>
      <c r="E19" s="610"/>
      <c r="F19" s="613" t="s">
        <v>2895</v>
      </c>
      <c r="G19" s="610"/>
      <c r="H19" s="3246">
        <f>H18/C13</f>
        <v>149999</v>
      </c>
      <c r="I19" s="3246"/>
      <c r="J19" s="610"/>
      <c r="K19" s="610"/>
      <c r="L19" s="610"/>
      <c r="M19" s="610"/>
    </row>
    <row r="20" spans="1:13" ht="15.6">
      <c r="A20" s="613" t="s">
        <v>2896</v>
      </c>
      <c r="B20" s="610"/>
      <c r="C20" s="1237">
        <f>C18/K13</f>
        <v>196.81774176003481</v>
      </c>
      <c r="D20" s="653"/>
      <c r="E20" s="654"/>
      <c r="F20" s="613" t="s">
        <v>2896</v>
      </c>
      <c r="G20" s="610"/>
      <c r="H20" s="3247">
        <f>H18/K13</f>
        <v>135.97211646542658</v>
      </c>
      <c r="I20" s="3246"/>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2897</v>
      </c>
      <c r="B23" s="657"/>
      <c r="C23" s="657"/>
      <c r="D23" s="657"/>
      <c r="E23" s="648"/>
      <c r="F23" s="648"/>
      <c r="G23" s="648"/>
      <c r="H23" s="648"/>
      <c r="I23" s="648"/>
      <c r="J23" s="648"/>
      <c r="K23" s="648"/>
      <c r="L23" s="610"/>
      <c r="M23" s="650"/>
    </row>
    <row r="24" spans="1:13" ht="27" customHeight="1">
      <c r="A24" s="610"/>
      <c r="B24" s="610"/>
      <c r="C24" s="610"/>
      <c r="D24" s="658" t="s">
        <v>2898</v>
      </c>
      <c r="E24" s="610"/>
      <c r="F24" s="610"/>
      <c r="G24" s="610"/>
      <c r="H24" s="610"/>
      <c r="I24" s="610"/>
      <c r="J24" s="610"/>
      <c r="K24" s="610"/>
      <c r="L24" s="610"/>
      <c r="M24" s="650"/>
    </row>
    <row r="25" spans="1:13" ht="15.6">
      <c r="A25" s="613" t="s">
        <v>2899</v>
      </c>
      <c r="B25" s="659">
        <f>'Part III-Sources of Funds'!E38</f>
        <v>0</v>
      </c>
      <c r="C25" s="660">
        <f>'Part III-Sources of Funds'!I38</f>
        <v>0</v>
      </c>
      <c r="D25" s="661" t="s">
        <v>2900</v>
      </c>
      <c r="E25" s="610"/>
      <c r="F25" s="648"/>
      <c r="G25" s="610" t="s">
        <v>2901</v>
      </c>
      <c r="H25" s="610"/>
      <c r="I25" s="610"/>
      <c r="K25" s="660"/>
      <c r="L25" s="648"/>
      <c r="M25" s="650"/>
    </row>
    <row r="26" spans="1:13" ht="15">
      <c r="A26" s="610"/>
      <c r="B26" s="659"/>
      <c r="C26" s="660"/>
      <c r="D26" s="661"/>
      <c r="E26" s="610"/>
      <c r="F26" s="648"/>
      <c r="G26" s="610" t="s">
        <v>2902</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2903</v>
      </c>
      <c r="H28" s="610"/>
      <c r="I28" s="610"/>
      <c r="K28" s="660"/>
      <c r="L28" s="648"/>
      <c r="M28" s="610"/>
    </row>
    <row r="29" spans="1:13" ht="16.2" thickBot="1">
      <c r="A29" s="610"/>
      <c r="B29" s="663" t="s">
        <v>2904</v>
      </c>
      <c r="C29" s="664">
        <f>SUM(C25:C27)</f>
        <v>0</v>
      </c>
      <c r="D29" s="610"/>
      <c r="E29" s="610"/>
      <c r="F29" s="648"/>
      <c r="G29" s="610" t="s">
        <v>2905</v>
      </c>
      <c r="H29" s="610"/>
      <c r="I29" s="610"/>
      <c r="K29" s="662" t="e">
        <f>C29/K28</f>
        <v>#DIV/0!</v>
      </c>
      <c r="L29" s="648"/>
      <c r="M29" s="610"/>
    </row>
    <row r="30" spans="1:13" ht="16.2" thickTop="1">
      <c r="A30" s="613" t="s">
        <v>2906</v>
      </c>
      <c r="B30" s="663"/>
      <c r="C30" s="665">
        <f>'Part III-Sources of Funds'!$I$49+'Part III-Sources of Funds'!$I$50</f>
        <v>10798506</v>
      </c>
      <c r="D30" s="610"/>
      <c r="E30" s="610"/>
      <c r="F30" s="648"/>
      <c r="G30" s="610"/>
      <c r="H30" s="610"/>
      <c r="I30" s="610"/>
      <c r="K30" s="666"/>
      <c r="L30" s="648"/>
      <c r="M30" s="610"/>
    </row>
    <row r="31" spans="1:13" ht="15">
      <c r="A31" s="667" t="s">
        <v>2907</v>
      </c>
      <c r="B31" s="659">
        <f>'Part III-Sources of Funds'!E39</f>
        <v>0</v>
      </c>
      <c r="C31" s="660">
        <f>'Part III-Sources of Funds'!I39</f>
        <v>0</v>
      </c>
      <c r="D31" s="661"/>
      <c r="E31" s="610"/>
      <c r="F31" s="648"/>
      <c r="G31" s="610"/>
      <c r="H31" s="610"/>
      <c r="I31" s="610"/>
      <c r="K31" s="610"/>
      <c r="L31" s="648"/>
      <c r="M31" s="610"/>
    </row>
    <row r="32" spans="1:13" ht="15">
      <c r="A32" s="667" t="s">
        <v>2907</v>
      </c>
      <c r="B32" s="659">
        <f>'Part III-Sources of Funds'!E40</f>
        <v>0</v>
      </c>
      <c r="C32" s="660">
        <f>'Part III-Sources of Funds'!I40</f>
        <v>0</v>
      </c>
      <c r="D32" s="661"/>
      <c r="E32" s="610" t="s">
        <v>238</v>
      </c>
      <c r="F32" s="648"/>
      <c r="G32" s="610" t="s">
        <v>2908</v>
      </c>
      <c r="H32" s="610"/>
      <c r="I32" s="610"/>
      <c r="K32" s="660"/>
      <c r="L32" s="648"/>
      <c r="M32" s="648"/>
    </row>
    <row r="33" spans="1:13" ht="15.6">
      <c r="A33" s="610"/>
      <c r="B33" s="648"/>
      <c r="C33" s="668"/>
      <c r="D33" s="610"/>
      <c r="E33" s="610"/>
      <c r="F33" s="648"/>
      <c r="G33" s="1170" t="s">
        <v>2909</v>
      </c>
      <c r="H33" s="1170"/>
      <c r="I33" s="1170"/>
      <c r="K33" s="662" t="e">
        <f>$C$29/K32</f>
        <v>#DIV/0!</v>
      </c>
      <c r="L33" s="648"/>
      <c r="M33" s="669"/>
    </row>
    <row r="34" spans="1:13" ht="15.6">
      <c r="A34" s="610"/>
      <c r="B34" s="663" t="s">
        <v>2910</v>
      </c>
      <c r="C34" s="668">
        <f>SUM(C31:C32)</f>
        <v>0</v>
      </c>
      <c r="D34" s="610"/>
      <c r="E34" s="610"/>
      <c r="F34" s="610"/>
      <c r="G34" s="610"/>
      <c r="H34" s="610"/>
      <c r="I34" s="610"/>
      <c r="K34" s="648"/>
      <c r="L34" s="610"/>
      <c r="M34" s="669"/>
    </row>
    <row r="35" spans="1:13" ht="15.6">
      <c r="A35" s="610"/>
      <c r="B35" s="663"/>
      <c r="C35" s="610"/>
      <c r="D35" s="610"/>
      <c r="E35" s="610"/>
      <c r="F35" s="610"/>
      <c r="G35" s="1170" t="s">
        <v>2911</v>
      </c>
      <c r="H35" s="1170"/>
      <c r="I35" s="1170"/>
      <c r="K35" s="670" t="e">
        <f>(C36)/K25</f>
        <v>#DIV/0!</v>
      </c>
      <c r="L35" s="610"/>
      <c r="M35" s="648"/>
    </row>
    <row r="36" spans="1:13" ht="15.6">
      <c r="A36" s="610"/>
      <c r="B36" s="663" t="s">
        <v>2912</v>
      </c>
      <c r="C36" s="668">
        <f>C29+C34</f>
        <v>0</v>
      </c>
      <c r="D36" s="610"/>
      <c r="E36" s="610"/>
      <c r="F36" s="610"/>
      <c r="G36" s="610"/>
      <c r="H36" s="610"/>
      <c r="I36" s="610"/>
      <c r="K36" s="648"/>
      <c r="L36" s="610"/>
      <c r="M36" s="648"/>
    </row>
    <row r="37" spans="1:13" ht="15.6">
      <c r="A37" s="610"/>
      <c r="B37" s="663"/>
      <c r="C37" s="671"/>
      <c r="D37" s="610"/>
      <c r="E37" s="610"/>
      <c r="F37" s="610"/>
      <c r="G37" s="1170" t="s">
        <v>2913</v>
      </c>
      <c r="H37" s="1170"/>
      <c r="I37" s="1170"/>
      <c r="K37" s="1171" t="e">
        <f>+(C36)/K32</f>
        <v>#DIV/0!</v>
      </c>
      <c r="L37" s="610"/>
      <c r="M37" s="669"/>
    </row>
    <row r="38" spans="1:13" ht="15.6">
      <c r="A38" s="610"/>
      <c r="B38" s="663" t="s">
        <v>2914</v>
      </c>
      <c r="C38" s="672">
        <f>C36/C18</f>
        <v>0</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2915</v>
      </c>
      <c r="C40" s="672">
        <f>C36/H18</f>
        <v>0</v>
      </c>
      <c r="D40" s="610"/>
      <c r="E40" s="610"/>
      <c r="F40" s="613"/>
      <c r="G40" s="613" t="s">
        <v>2916</v>
      </c>
      <c r="H40" s="610"/>
      <c r="I40" s="610"/>
      <c r="K40" s="662">
        <f>C30/C18</f>
        <v>0.99469725378596852</v>
      </c>
      <c r="L40" s="610"/>
      <c r="M40" s="610"/>
    </row>
    <row r="46" spans="1:13" ht="15.6">
      <c r="A46" s="673" t="s">
        <v>2917</v>
      </c>
      <c r="B46" s="643"/>
      <c r="C46" s="643"/>
      <c r="D46" s="643"/>
      <c r="E46" s="643"/>
      <c r="F46" s="643"/>
      <c r="G46" s="643"/>
      <c r="H46" s="643"/>
      <c r="I46" s="643"/>
      <c r="J46" s="643"/>
      <c r="K46" s="643"/>
      <c r="L46" s="643"/>
      <c r="M46" s="610"/>
    </row>
    <row r="47" spans="1:13" ht="15.6">
      <c r="A47" s="673" t="str">
        <f>C8</f>
        <v>Spring Creek Crossing</v>
      </c>
      <c r="B47" s="643"/>
      <c r="C47" s="643"/>
      <c r="D47" s="643"/>
      <c r="E47" s="643"/>
      <c r="F47" s="643"/>
      <c r="G47" s="643"/>
      <c r="H47" s="643"/>
      <c r="I47" s="643"/>
      <c r="J47" s="643"/>
      <c r="K47" s="643"/>
      <c r="L47" s="643"/>
      <c r="M47" s="610"/>
    </row>
    <row r="50" spans="1:14" s="610" customFormat="1" ht="15.6">
      <c r="A50" s="613" t="s">
        <v>2918</v>
      </c>
      <c r="C50" s="674" t="s">
        <v>2919</v>
      </c>
      <c r="E50" s="675" t="s">
        <v>3376</v>
      </c>
      <c r="F50" s="676">
        <v>0.1</v>
      </c>
      <c r="G50" s="675" t="s">
        <v>3377</v>
      </c>
      <c r="H50" s="676">
        <v>0.05</v>
      </c>
      <c r="I50" s="675" t="s">
        <v>3378</v>
      </c>
      <c r="J50" s="676">
        <v>0.03</v>
      </c>
      <c r="K50" s="3248" t="s">
        <v>2920</v>
      </c>
      <c r="L50" s="3249"/>
      <c r="M50" s="27"/>
      <c r="N50" s="27"/>
    </row>
    <row r="51" spans="1:14" s="610" customFormat="1" ht="15.6">
      <c r="A51" s="613"/>
      <c r="C51" s="674"/>
      <c r="E51" s="674"/>
      <c r="F51" s="677"/>
      <c r="G51" s="674"/>
      <c r="H51" s="677"/>
      <c r="I51" s="674"/>
      <c r="J51" s="677"/>
      <c r="K51" s="674"/>
      <c r="M51" s="27"/>
      <c r="N51" s="27"/>
    </row>
    <row r="52" spans="1:14" s="610" customFormat="1" ht="18.75" customHeight="1">
      <c r="B52" s="678" t="s">
        <v>2921</v>
      </c>
      <c r="C52" s="679">
        <f>'Part VII-Pro Forma'!B14</f>
        <v>322920</v>
      </c>
      <c r="D52" s="679"/>
      <c r="E52" s="679">
        <f>$C$52</f>
        <v>322920</v>
      </c>
      <c r="F52" s="679"/>
      <c r="G52" s="679">
        <f>$C$52</f>
        <v>322920</v>
      </c>
      <c r="H52" s="679"/>
      <c r="I52" s="679">
        <f>$C$52</f>
        <v>322920</v>
      </c>
      <c r="J52" s="679"/>
      <c r="K52" s="679">
        <f>$C$52</f>
        <v>322920</v>
      </c>
      <c r="L52" s="680"/>
      <c r="M52" s="27"/>
      <c r="N52" s="27"/>
    </row>
    <row r="53" spans="1:14" s="610" customFormat="1" ht="18.75" customHeight="1">
      <c r="B53" s="678" t="s">
        <v>2924</v>
      </c>
      <c r="C53" s="679">
        <f>'Part VII-Pro Forma'!B15</f>
        <v>6458.4000000000005</v>
      </c>
      <c r="D53" s="679"/>
      <c r="E53" s="679">
        <f>$C$53</f>
        <v>6458.4000000000005</v>
      </c>
      <c r="F53" s="679"/>
      <c r="G53" s="679">
        <f>$C$53</f>
        <v>6458.4000000000005</v>
      </c>
      <c r="H53" s="679"/>
      <c r="I53" s="679">
        <f>$C$53</f>
        <v>6458.4000000000005</v>
      </c>
      <c r="J53" s="679"/>
      <c r="K53" s="679">
        <f>$C$53</f>
        <v>6458.4000000000005</v>
      </c>
      <c r="L53" s="680"/>
      <c r="M53" s="27"/>
      <c r="N53" s="27"/>
    </row>
    <row r="54" spans="1:14" s="610" customFormat="1" ht="18.75" customHeight="1">
      <c r="B54" s="678" t="s">
        <v>2922</v>
      </c>
      <c r="C54" s="679">
        <f>'Part VII-Pro Forma'!B16</f>
        <v>-23056.488000000005</v>
      </c>
      <c r="D54" s="679"/>
      <c r="E54" s="679">
        <f>-($C$52+E53)*F50</f>
        <v>-32937.840000000004</v>
      </c>
      <c r="F54" s="681"/>
      <c r="G54" s="679">
        <f>-($C$52+G53)*0.07</f>
        <v>-23056.488000000005</v>
      </c>
      <c r="H54" s="679"/>
      <c r="I54" s="679">
        <f>-($C$52+I53)*0.07</f>
        <v>-23056.488000000005</v>
      </c>
      <c r="J54" s="679"/>
      <c r="K54" s="679">
        <f>-($C$52+K53)*L54</f>
        <v>-32937.840000000004</v>
      </c>
      <c r="L54" s="682">
        <v>0.1</v>
      </c>
      <c r="M54" s="27"/>
      <c r="N54" s="27"/>
    </row>
    <row r="55" spans="1:14" s="610" customFormat="1" ht="18.75" customHeight="1">
      <c r="B55" s="678" t="s">
        <v>2923</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2925</v>
      </c>
      <c r="C56" s="685">
        <f>SUM(C52:C55)</f>
        <v>306321.91200000001</v>
      </c>
      <c r="D56" s="679"/>
      <c r="E56" s="685">
        <f>SUM(E52:E55)</f>
        <v>296440.56</v>
      </c>
      <c r="F56" s="679"/>
      <c r="G56" s="685">
        <f>SUM(G52:G55)</f>
        <v>306321.91200000001</v>
      </c>
      <c r="H56" s="679"/>
      <c r="I56" s="685">
        <f>SUM(I52:I55)</f>
        <v>306321.91200000001</v>
      </c>
      <c r="J56" s="679"/>
      <c r="K56" s="685">
        <f>SUM(K52:K55)</f>
        <v>296440.56</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2926</v>
      </c>
      <c r="C58" s="679">
        <f>+'Part VI-Revenues &amp; Expenses'!F226+'Part VI-Revenues &amp; Expenses'!F235+'Part VI-Revenues &amp; Expenses'!L222+'Part VI-Revenues &amp; Expenses'!L230</f>
        <v>93968</v>
      </c>
      <c r="D58" s="679"/>
      <c r="E58" s="679">
        <f>$C$58</f>
        <v>93968</v>
      </c>
      <c r="F58" s="679"/>
      <c r="G58" s="679">
        <f>$C$58</f>
        <v>93968</v>
      </c>
      <c r="H58" s="679"/>
      <c r="I58" s="679">
        <f>$C$58</f>
        <v>93968</v>
      </c>
      <c r="J58" s="679"/>
      <c r="K58" s="679">
        <f>$C$58</f>
        <v>93968</v>
      </c>
      <c r="L58" s="680"/>
      <c r="M58" s="27"/>
      <c r="N58" s="27"/>
    </row>
    <row r="59" spans="1:14" s="610" customFormat="1" ht="18.75" customHeight="1">
      <c r="B59" s="678" t="s">
        <v>2927</v>
      </c>
      <c r="C59" s="679">
        <f>+'Part VI-Revenues &amp; Expenses'!F246</f>
        <v>33400</v>
      </c>
      <c r="D59" s="679"/>
      <c r="E59" s="679">
        <f>$C$59</f>
        <v>33400</v>
      </c>
      <c r="F59" s="679"/>
      <c r="G59" s="679">
        <f>$C$59</f>
        <v>33400</v>
      </c>
      <c r="H59" s="679"/>
      <c r="I59" s="679">
        <f>$C$59</f>
        <v>33400</v>
      </c>
      <c r="J59" s="679"/>
      <c r="K59" s="679">
        <f>$C$59*(1+$L$59)</f>
        <v>34736</v>
      </c>
      <c r="L59" s="687">
        <v>0.04</v>
      </c>
      <c r="M59" s="27"/>
      <c r="N59" s="27"/>
    </row>
    <row r="60" spans="1:14" s="610" customFormat="1" ht="18.75" customHeight="1">
      <c r="B60" s="678" t="s">
        <v>1348</v>
      </c>
      <c r="C60" s="679">
        <f>+'Part VI-Revenues &amp; Expenses'!L239</f>
        <v>19350</v>
      </c>
      <c r="D60" s="679"/>
      <c r="E60" s="679">
        <f>$C$60</f>
        <v>19350</v>
      </c>
      <c r="F60" s="679"/>
      <c r="G60" s="679">
        <f>$C$60</f>
        <v>19350</v>
      </c>
      <c r="H60" s="679"/>
      <c r="I60" s="679">
        <f>$C$60*(1+$J$50)</f>
        <v>19930.5</v>
      </c>
      <c r="J60" s="681"/>
      <c r="K60" s="679">
        <f>$C$60*(1+$J$50)</f>
        <v>19930.5</v>
      </c>
      <c r="L60" s="682">
        <v>0.03</v>
      </c>
      <c r="M60" s="27"/>
      <c r="N60" s="27"/>
    </row>
    <row r="61" spans="1:14" s="610" customFormat="1" ht="18.75" customHeight="1">
      <c r="B61" s="678" t="s">
        <v>1349</v>
      </c>
      <c r="C61" s="679">
        <f>+'Part VI-Revenues &amp; Expenses'!L246</f>
        <v>60600</v>
      </c>
      <c r="D61" s="679"/>
      <c r="E61" s="679">
        <f>$C$61</f>
        <v>60600</v>
      </c>
      <c r="F61" s="679"/>
      <c r="G61" s="679">
        <f>$C$61*(1+H50)</f>
        <v>63630</v>
      </c>
      <c r="H61" s="681"/>
      <c r="I61" s="679">
        <f>$C$61</f>
        <v>60600</v>
      </c>
      <c r="J61" s="679"/>
      <c r="K61" s="679">
        <f>$C$61*(1+$L$61)</f>
        <v>63630</v>
      </c>
      <c r="L61" s="682">
        <v>0.05</v>
      </c>
      <c r="M61" s="27"/>
      <c r="N61" s="27"/>
    </row>
    <row r="62" spans="1:14" s="610" customFormat="1" ht="18.75" customHeight="1">
      <c r="B62" s="684" t="s">
        <v>2928</v>
      </c>
      <c r="C62" s="685">
        <f>SUM(C58:C61)</f>
        <v>207318</v>
      </c>
      <c r="D62" s="679"/>
      <c r="E62" s="685">
        <f>SUM(E58:E61)</f>
        <v>207318</v>
      </c>
      <c r="F62" s="679"/>
      <c r="G62" s="685">
        <f>SUM(G58:G61)</f>
        <v>210348</v>
      </c>
      <c r="H62" s="679"/>
      <c r="I62" s="685">
        <f>SUM(I58:I61)</f>
        <v>207898.5</v>
      </c>
      <c r="J62" s="679"/>
      <c r="K62" s="685">
        <f>SUM(K58:K61)</f>
        <v>212264.5</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2929</v>
      </c>
      <c r="C64" s="691">
        <f>C56-C62</f>
        <v>99003.912000000011</v>
      </c>
      <c r="D64" s="691"/>
      <c r="E64" s="691">
        <f>E56-E62</f>
        <v>89122.559999999998</v>
      </c>
      <c r="F64" s="691"/>
      <c r="G64" s="691">
        <f>G56-G62</f>
        <v>95973.912000000011</v>
      </c>
      <c r="H64" s="691"/>
      <c r="I64" s="691">
        <f>I56-I62</f>
        <v>98423.412000000011</v>
      </c>
      <c r="J64" s="691"/>
      <c r="K64" s="691">
        <f>K56-K62</f>
        <v>84176.06</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2930</v>
      </c>
      <c r="C66" s="686">
        <f>'Part VI-Revenues &amp; Expenses'!Q233</f>
        <v>12500</v>
      </c>
      <c r="D66" s="686"/>
      <c r="E66" s="686">
        <f>$C$66</f>
        <v>12500</v>
      </c>
      <c r="F66" s="686"/>
      <c r="G66" s="686">
        <f>$C$66</f>
        <v>12500</v>
      </c>
      <c r="H66" s="686"/>
      <c r="I66" s="686">
        <f>$C$66</f>
        <v>12500</v>
      </c>
      <c r="J66" s="686"/>
      <c r="K66" s="686">
        <f>$C$66</f>
        <v>12500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2931</v>
      </c>
      <c r="C68" s="686">
        <f>'Part VI-Revenues &amp; Expenses'!Q219</f>
        <v>24000</v>
      </c>
      <c r="D68" s="686"/>
      <c r="E68" s="686">
        <f>$C$68</f>
        <v>24000</v>
      </c>
      <c r="F68" s="686"/>
      <c r="G68" s="686">
        <f>$C$68</f>
        <v>24000</v>
      </c>
      <c r="H68" s="686"/>
      <c r="I68" s="686">
        <f>$C$68</f>
        <v>24000</v>
      </c>
      <c r="J68" s="686"/>
      <c r="K68" s="686">
        <f>$C$68</f>
        <v>24000</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2932</v>
      </c>
      <c r="C70" s="694">
        <f>C64-C66-C68</f>
        <v>62503.912000000011</v>
      </c>
      <c r="D70" s="695"/>
      <c r="E70" s="694">
        <f>E64-E66-E68</f>
        <v>52622.559999999998</v>
      </c>
      <c r="F70" s="695"/>
      <c r="G70" s="694">
        <f>G64-G66-G68</f>
        <v>59473.912000000011</v>
      </c>
      <c r="H70" s="695"/>
      <c r="I70" s="694">
        <f>I64-I66-I68</f>
        <v>61923.412000000011</v>
      </c>
      <c r="J70" s="695"/>
      <c r="K70" s="694">
        <f>K64-K66-K68</f>
        <v>47676.06</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2933</v>
      </c>
      <c r="C72" s="1213" t="e">
        <f>-C70/C75</f>
        <v>#DIV/0!</v>
      </c>
      <c r="D72" s="697"/>
      <c r="E72" s="1213" t="e">
        <f>-E70/E75</f>
        <v>#DIV/0!</v>
      </c>
      <c r="F72" s="697"/>
      <c r="G72" s="1213" t="e">
        <f>-G70/G75</f>
        <v>#DIV/0!</v>
      </c>
      <c r="H72" s="697"/>
      <c r="I72" s="1213" t="e">
        <f>-I70/I75</f>
        <v>#DIV/0!</v>
      </c>
      <c r="J72" s="697"/>
      <c r="K72" s="1213" t="e">
        <f>-K70/K75</f>
        <v>#DIV/0!</v>
      </c>
      <c r="L72" s="698"/>
      <c r="M72" s="245"/>
      <c r="N72" s="245"/>
    </row>
    <row r="73" spans="1:14" s="610" customFormat="1" ht="18.75" customHeight="1">
      <c r="A73" s="27"/>
      <c r="B73" s="678" t="s">
        <v>2934</v>
      </c>
      <c r="C73" s="1214">
        <f>C76/C62</f>
        <v>0.30148811005315512</v>
      </c>
      <c r="D73" s="699"/>
      <c r="E73" s="1214">
        <f>E76/E62</f>
        <v>0.25382533113381373</v>
      </c>
      <c r="F73" s="699"/>
      <c r="G73" s="1214">
        <f>G76/G62</f>
        <v>0.2827405632570788</v>
      </c>
      <c r="H73" s="699"/>
      <c r="I73" s="1214">
        <f>I76/I62</f>
        <v>0.29785405859109138</v>
      </c>
      <c r="J73" s="699"/>
      <c r="K73" s="1214">
        <f>K76/K62</f>
        <v>0.22460684664651884</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2935</v>
      </c>
      <c r="C75" s="679">
        <f>+SUM('Part VII-Pro Forma'!B25:B28)</f>
        <v>0</v>
      </c>
      <c r="D75" s="679"/>
      <c r="E75" s="679">
        <f>$C$75</f>
        <v>0</v>
      </c>
      <c r="F75" s="679"/>
      <c r="G75" s="679">
        <f>$C$75</f>
        <v>0</v>
      </c>
      <c r="H75" s="679"/>
      <c r="I75" s="679">
        <f>$C$75</f>
        <v>0</v>
      </c>
      <c r="J75" s="679"/>
      <c r="K75" s="679">
        <f>$C$75</f>
        <v>0</v>
      </c>
      <c r="L75" s="33"/>
      <c r="M75" s="27"/>
      <c r="N75" s="27"/>
    </row>
    <row r="76" spans="1:14" s="610" customFormat="1" ht="18.75" customHeight="1">
      <c r="A76" s="27"/>
      <c r="B76" s="678" t="s">
        <v>1142</v>
      </c>
      <c r="C76" s="679">
        <f>C70+C75</f>
        <v>62503.912000000011</v>
      </c>
      <c r="D76" s="679"/>
      <c r="E76" s="679">
        <f>E70+E75</f>
        <v>52622.559999999998</v>
      </c>
      <c r="F76" s="679"/>
      <c r="G76" s="679">
        <f>G70+G75</f>
        <v>59473.912000000011</v>
      </c>
      <c r="H76" s="679"/>
      <c r="I76" s="679">
        <f>I70+I75</f>
        <v>61923.412000000011</v>
      </c>
      <c r="J76" s="679"/>
      <c r="K76" s="679">
        <f>K70+K75</f>
        <v>47676.06</v>
      </c>
      <c r="L76" s="33"/>
      <c r="M76" s="27"/>
      <c r="N76" s="27"/>
    </row>
    <row r="77" spans="1:14" s="610" customFormat="1" ht="15" hidden="1">
      <c r="A77" s="27"/>
      <c r="B77" s="678" t="s">
        <v>2936</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2937</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2938</v>
      </c>
      <c r="C80" s="702" t="e">
        <f>MIN(C77,E77,G77,I77,K77)</f>
        <v>#NAME?</v>
      </c>
      <c r="D80" s="688"/>
      <c r="E80" s="688" t="s">
        <v>2939</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3844</v>
      </c>
    </row>
    <row r="3" spans="1:7" ht="3" customHeight="1"/>
    <row r="4" spans="1:7">
      <c r="A4" s="1150" t="s">
        <v>3845</v>
      </c>
      <c r="B4" s="1151">
        <f>+'Part IV-A-Uses of Funds'!$G$132</f>
        <v>10856073</v>
      </c>
    </row>
    <row r="5" spans="1:7">
      <c r="A5" s="1150" t="s">
        <v>3876</v>
      </c>
      <c r="B5" s="1151">
        <f>+B18+B26+B38</f>
        <v>110</v>
      </c>
    </row>
    <row r="6" spans="1:7">
      <c r="A6" s="1150" t="s">
        <v>3846</v>
      </c>
      <c r="B6" s="1152">
        <f>+B5-B4</f>
        <v>-10855963</v>
      </c>
    </row>
    <row r="7" spans="1:7">
      <c r="A7" s="1150" t="s">
        <v>3847</v>
      </c>
      <c r="B7" s="1153">
        <f>+B6/B4</f>
        <v>-0.99998986742259377</v>
      </c>
    </row>
    <row r="8" spans="1:7" ht="9" customHeight="1"/>
    <row r="9" spans="1:7">
      <c r="A9" s="1150" t="s">
        <v>3848</v>
      </c>
      <c r="B9" s="1151">
        <f>+B18+B26+B33</f>
        <v>0</v>
      </c>
    </row>
    <row r="10" spans="1:7">
      <c r="A10" s="1150" t="s">
        <v>3846</v>
      </c>
      <c r="B10" s="1152">
        <f>+B9-B4</f>
        <v>-10856073</v>
      </c>
    </row>
    <row r="11" spans="1:7">
      <c r="A11" s="1150" t="s">
        <v>3847</v>
      </c>
      <c r="B11" s="1153">
        <f>+B10/B4</f>
        <v>-1</v>
      </c>
    </row>
    <row r="12" spans="1:7" ht="24" customHeight="1"/>
    <row r="13" spans="1:7">
      <c r="A13" s="1149" t="s">
        <v>3849</v>
      </c>
      <c r="D13" s="1219" t="s">
        <v>4105</v>
      </c>
      <c r="E13" s="1220"/>
    </row>
    <row r="14" spans="1:7">
      <c r="A14" s="1150" t="s">
        <v>3850</v>
      </c>
      <c r="B14" s="1154">
        <f>+SUM('Part III-Sources of Funds'!L49:M50)</f>
        <v>10800000</v>
      </c>
      <c r="D14" s="1220"/>
      <c r="E14" s="1220"/>
    </row>
    <row r="15" spans="1:7">
      <c r="A15" s="1150" t="s">
        <v>3851</v>
      </c>
      <c r="B15" s="1155">
        <f>+'Part IV-A-Uses of Funds'!J173</f>
        <v>1085596.3</v>
      </c>
      <c r="D15" s="1220" t="s">
        <v>1996</v>
      </c>
      <c r="G15" s="1221">
        <f>'Part IV-A-Uses of Funds'!J155</f>
        <v>12936084.200000001</v>
      </c>
    </row>
    <row r="16" spans="1:7" ht="12.75" customHeight="1">
      <c r="D16" s="1220" t="s">
        <v>4106</v>
      </c>
      <c r="G16" s="1225">
        <v>3.2800000000000003E-2</v>
      </c>
    </row>
    <row r="17" spans="1:7" ht="12.75" customHeight="1">
      <c r="A17" s="1150" t="s">
        <v>3852</v>
      </c>
      <c r="B17" s="1224">
        <v>1.45</v>
      </c>
      <c r="D17" s="1220" t="s">
        <v>4107</v>
      </c>
      <c r="G17" s="1226">
        <v>1.45</v>
      </c>
    </row>
    <row r="18" spans="1:7" ht="12.75" customHeight="1">
      <c r="A18" s="1150" t="s">
        <v>3853</v>
      </c>
      <c r="B18" s="1156">
        <f>+'Part IV-A-Uses of Funds'!J183*B17*10</f>
        <v>0</v>
      </c>
      <c r="D18" s="1220" t="s">
        <v>4108</v>
      </c>
      <c r="G18" s="1226">
        <v>3.28</v>
      </c>
    </row>
    <row r="19" spans="1:7" ht="12.75" customHeight="1">
      <c r="D19" s="1220" t="s">
        <v>4109</v>
      </c>
      <c r="G19" s="1222">
        <f>+G15*G16*G17*10</f>
        <v>6152401.6455200016</v>
      </c>
    </row>
    <row r="20" spans="1:7">
      <c r="A20" s="1150" t="s">
        <v>3854</v>
      </c>
      <c r="B20" s="1154">
        <f>+B18-B14</f>
        <v>-10800000</v>
      </c>
      <c r="D20" s="1220" t="s">
        <v>4110</v>
      </c>
      <c r="G20" s="1223">
        <f>+B14-G19</f>
        <v>4647598.3544799984</v>
      </c>
    </row>
    <row r="21" spans="1:7">
      <c r="A21" s="1150" t="s">
        <v>3855</v>
      </c>
      <c r="B21" s="1153">
        <f>+B20/B14</f>
        <v>-1</v>
      </c>
      <c r="D21" s="1220" t="s">
        <v>4111</v>
      </c>
      <c r="G21" s="1220" t="str">
        <f>+IF(G20&gt;(B28+B35),"No","Yes")</f>
        <v>No</v>
      </c>
    </row>
    <row r="22" spans="1:7" ht="24" customHeight="1"/>
    <row r="23" spans="1:7">
      <c r="A23" s="1149" t="s">
        <v>3856</v>
      </c>
    </row>
    <row r="24" spans="1:7">
      <c r="A24" s="1150" t="s">
        <v>3857</v>
      </c>
      <c r="B24" s="1157">
        <f>+SUM('Part III-Sources of Funds'!I38:J41)</f>
        <v>0</v>
      </c>
    </row>
    <row r="25" spans="1:7">
      <c r="A25" s="1150" t="s">
        <v>3858</v>
      </c>
      <c r="B25" s="1158">
        <f>IF('Part III-Sources of Funds'!E5="Yes","N/A",MAX(B46:P46))</f>
        <v>-39962.840762000465</v>
      </c>
    </row>
    <row r="26" spans="1:7">
      <c r="A26" s="1150" t="s">
        <v>3859</v>
      </c>
      <c r="B26" s="1148">
        <f>IFERROR(PV('Part III-Sources of Funds'!K38,'Part III-Sources of Funds'!L38,B25+B45),B24)</f>
        <v>0</v>
      </c>
    </row>
    <row r="27" spans="1:7" ht="9" customHeight="1">
      <c r="B27" s="1148"/>
    </row>
    <row r="28" spans="1:7">
      <c r="A28" s="1150" t="s">
        <v>3860</v>
      </c>
      <c r="B28" s="1159">
        <f>+B26-B24</f>
        <v>0</v>
      </c>
      <c r="C28" s="1160"/>
    </row>
    <row r="29" spans="1:7">
      <c r="A29" s="1150" t="s">
        <v>3855</v>
      </c>
      <c r="B29" s="1161" t="e">
        <f>+B28/B24</f>
        <v>#DIV/0!</v>
      </c>
    </row>
    <row r="30" spans="1:7" ht="24" customHeight="1"/>
    <row r="31" spans="1:7">
      <c r="A31" s="1149" t="s">
        <v>3768</v>
      </c>
    </row>
    <row r="32" spans="1:7">
      <c r="A32" s="1150" t="s">
        <v>3861</v>
      </c>
      <c r="B32" s="1162">
        <f>+'Part III-Sources of Funds'!I43</f>
        <v>57457</v>
      </c>
    </row>
    <row r="33" spans="1:11">
      <c r="A33" s="1150" t="s">
        <v>3862</v>
      </c>
      <c r="B33" s="1148"/>
    </row>
    <row r="34" spans="1:11" ht="9" customHeight="1">
      <c r="B34" s="1148"/>
    </row>
    <row r="35" spans="1:11">
      <c r="A35" s="1150" t="s">
        <v>3863</v>
      </c>
      <c r="B35" s="1162">
        <f>+B33-B32</f>
        <v>-57457</v>
      </c>
    </row>
    <row r="36" spans="1:11">
      <c r="A36" s="1150" t="s">
        <v>3864</v>
      </c>
      <c r="B36" s="1147">
        <f>+B35/B32</f>
        <v>-1</v>
      </c>
    </row>
    <row r="37" spans="1:11" ht="24" customHeight="1">
      <c r="B37" s="1148"/>
    </row>
    <row r="38" spans="1:11">
      <c r="A38" s="1149" t="s">
        <v>3865</v>
      </c>
      <c r="B38" s="1148">
        <f>+SUM('Part III-Sources of Funds'!I42,'Part III-Sources of Funds'!I47,'Part III-Sources of Funds'!I48,'Part III-Sources of Funds'!I51:I57)</f>
        <v>110</v>
      </c>
    </row>
    <row r="39" spans="1:11">
      <c r="B39" s="1148"/>
    </row>
    <row r="40" spans="1:11">
      <c r="B40" s="1148"/>
    </row>
    <row r="41" spans="1:11">
      <c r="B41" s="1148"/>
    </row>
    <row r="42" spans="1:11">
      <c r="A42" s="1149" t="s">
        <v>3866</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62503.912000000011</v>
      </c>
      <c r="C44" s="1151">
        <f>+'Part VII-Pro Forma'!C24</f>
        <v>61315.81024000005</v>
      </c>
      <c r="D44" s="1151">
        <f>+'Part VII-Pro Forma'!D24</f>
        <v>60030.401044800063</v>
      </c>
      <c r="E44" s="1151">
        <f>+'Part VII-Pro Forma'!E24</f>
        <v>58645.199903695953</v>
      </c>
      <c r="F44" s="1151">
        <f>+'Part VII-Pro Forma'!F24</f>
        <v>57153.593264909905</v>
      </c>
      <c r="G44" s="1151">
        <f>+'Part VII-Pro Forma'!G24</f>
        <v>55551.834174242329</v>
      </c>
      <c r="H44" s="1151">
        <f>+'Part VII-Pro Forma'!H24</f>
        <v>53837.037773082469</v>
      </c>
      <c r="I44" s="1151">
        <f>+'Part VII-Pro Forma'!I24</f>
        <v>52002.176651359878</v>
      </c>
      <c r="J44" s="1151">
        <f>+'Part VII-Pro Forma'!J24</f>
        <v>50044.076050887554</v>
      </c>
      <c r="K44" s="1151">
        <f>+'Part VII-Pro Forma'!K24</f>
        <v>47955.408914400556</v>
      </c>
    </row>
    <row r="45" spans="1:11">
      <c r="A45" s="1150" t="s">
        <v>3867</v>
      </c>
      <c r="B45" s="1151">
        <f>SUM('Part VII-Pro Forma'!B25:B28)</f>
        <v>0</v>
      </c>
      <c r="C45" s="1151">
        <f>SUM('Part VII-Pro Forma'!C25:C28)</f>
        <v>0</v>
      </c>
      <c r="D45" s="1151">
        <f>SUM('Part VII-Pro Forma'!D25:D28)</f>
        <v>0</v>
      </c>
      <c r="E45" s="1151">
        <f>SUM('Part VII-Pro Forma'!E25:E28)</f>
        <v>0</v>
      </c>
      <c r="F45" s="1151">
        <f>SUM('Part VII-Pro Forma'!F25:F28)</f>
        <v>0</v>
      </c>
      <c r="G45" s="1151">
        <f>SUM('Part VII-Pro Forma'!G25:G28)</f>
        <v>0</v>
      </c>
      <c r="H45" s="1151">
        <f>SUM('Part VII-Pro Forma'!H25:H28)</f>
        <v>0</v>
      </c>
      <c r="I45" s="1151">
        <f>SUM('Part VII-Pro Forma'!I25:I28)</f>
        <v>0</v>
      </c>
      <c r="J45" s="1151">
        <f>SUM('Part VII-Pro Forma'!J25:J28)</f>
        <v>0</v>
      </c>
      <c r="K45" s="1151">
        <f>SUM('Part VII-Pro Forma'!K25:K28)</f>
        <v>0</v>
      </c>
    </row>
    <row r="46" spans="1:11">
      <c r="A46" s="1150" t="s">
        <v>3868</v>
      </c>
      <c r="B46" s="1152">
        <f t="shared" ref="B46:K46" si="0">-B44/B48-B45</f>
        <v>-52086.593333333345</v>
      </c>
      <c r="C46" s="1152">
        <f t="shared" si="0"/>
        <v>-51096.508533333377</v>
      </c>
      <c r="D46" s="1152">
        <f t="shared" si="0"/>
        <v>-50025.334204000057</v>
      </c>
      <c r="E46" s="1152">
        <f t="shared" si="0"/>
        <v>-48870.999919746631</v>
      </c>
      <c r="F46" s="1152">
        <f t="shared" si="0"/>
        <v>-47627.994387424922</v>
      </c>
      <c r="G46" s="1152">
        <f t="shared" si="0"/>
        <v>-46293.195145201942</v>
      </c>
      <c r="H46" s="1152">
        <f t="shared" si="0"/>
        <v>-44864.198144235394</v>
      </c>
      <c r="I46" s="1152">
        <f t="shared" si="0"/>
        <v>-43335.147209466566</v>
      </c>
      <c r="J46" s="1152">
        <f t="shared" si="0"/>
        <v>-41703.396709072964</v>
      </c>
      <c r="K46" s="1152">
        <f t="shared" si="0"/>
        <v>-39962.840762000465</v>
      </c>
    </row>
    <row r="48" spans="1:11">
      <c r="A48" s="1150" t="s">
        <v>3869</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62503.912000000011</v>
      </c>
      <c r="C51" s="1152">
        <f t="shared" ref="C51:K51" si="2">+C44</f>
        <v>61315.81024000005</v>
      </c>
      <c r="D51" s="1152">
        <f t="shared" si="2"/>
        <v>60030.401044800063</v>
      </c>
      <c r="E51" s="1152">
        <f t="shared" si="2"/>
        <v>58645.199903695953</v>
      </c>
      <c r="F51" s="1152">
        <f t="shared" si="2"/>
        <v>57153.593264909905</v>
      </c>
      <c r="G51" s="1152">
        <f t="shared" si="2"/>
        <v>55551.834174242329</v>
      </c>
      <c r="H51" s="1152">
        <f t="shared" si="2"/>
        <v>53837.037773082469</v>
      </c>
      <c r="I51" s="1152">
        <f t="shared" si="2"/>
        <v>52002.176651359878</v>
      </c>
      <c r="J51" s="1152">
        <f t="shared" si="2"/>
        <v>50044.076050887554</v>
      </c>
      <c r="K51" s="1152">
        <f t="shared" si="2"/>
        <v>47955.408914400556</v>
      </c>
    </row>
    <row r="52" spans="1:17">
      <c r="A52" s="1150" t="s">
        <v>3870</v>
      </c>
      <c r="B52" s="1152">
        <f>IF($B$25="N/A",B45,B45+$B$25)</f>
        <v>-39962.840762000465</v>
      </c>
      <c r="C52" s="1152">
        <f t="shared" ref="C52:K52" si="3">IF($B$25="N/A",C45,C45+$B$25)</f>
        <v>-39962.840762000465</v>
      </c>
      <c r="D52" s="1152">
        <f t="shared" si="3"/>
        <v>-39962.840762000465</v>
      </c>
      <c r="E52" s="1152">
        <f t="shared" si="3"/>
        <v>-39962.840762000465</v>
      </c>
      <c r="F52" s="1152">
        <f t="shared" si="3"/>
        <v>-39962.840762000465</v>
      </c>
      <c r="G52" s="1152">
        <f t="shared" si="3"/>
        <v>-39962.840762000465</v>
      </c>
      <c r="H52" s="1152">
        <f t="shared" si="3"/>
        <v>-39962.840762000465</v>
      </c>
      <c r="I52" s="1152">
        <f t="shared" si="3"/>
        <v>-39962.840762000465</v>
      </c>
      <c r="J52" s="1152">
        <f t="shared" si="3"/>
        <v>-39962.840762000465</v>
      </c>
      <c r="K52" s="1152">
        <f t="shared" si="3"/>
        <v>-39962.840762000465</v>
      </c>
    </row>
    <row r="53" spans="1:17">
      <c r="A53" s="1150" t="s">
        <v>3871</v>
      </c>
      <c r="B53" s="1151">
        <f>+'Part VII-Pro Forma'!B30</f>
        <v>-5000</v>
      </c>
      <c r="C53" s="1151">
        <f>+'Part VII-Pro Forma'!C30</f>
        <v>-5000</v>
      </c>
      <c r="D53" s="1151">
        <f>+'Part VII-Pro Forma'!D30</f>
        <v>-5000</v>
      </c>
      <c r="E53" s="1151">
        <f>+'Part VII-Pro Forma'!E30</f>
        <v>-5000</v>
      </c>
      <c r="F53" s="1151">
        <f>+'Part VII-Pro Forma'!F30</f>
        <v>-5000</v>
      </c>
      <c r="G53" s="1151">
        <f>+'Part VII-Pro Forma'!G30</f>
        <v>-5000</v>
      </c>
      <c r="H53" s="1151">
        <f>+'Part VII-Pro Forma'!H30</f>
        <v>-5000</v>
      </c>
      <c r="I53" s="1151">
        <f>+'Part VII-Pro Forma'!I30</f>
        <v>-5000</v>
      </c>
      <c r="J53" s="1151">
        <f>+'Part VII-Pro Forma'!J30</f>
        <v>-5000</v>
      </c>
      <c r="K53" s="1151">
        <f>+'Part VII-Pro Forma'!K30</f>
        <v>-5000</v>
      </c>
    </row>
    <row r="54" spans="1:17">
      <c r="A54" s="1150" t="s">
        <v>3872</v>
      </c>
      <c r="B54" s="1152">
        <f>+SUM(B51:B53)</f>
        <v>17541.071237999546</v>
      </c>
      <c r="C54" s="1152">
        <f t="shared" ref="C54:K54" si="4">+SUM(C51:C53)</f>
        <v>16352.969477999584</v>
      </c>
      <c r="D54" s="1152">
        <f t="shared" si="4"/>
        <v>15067.560282799597</v>
      </c>
      <c r="E54" s="1152">
        <f t="shared" si="4"/>
        <v>13682.359141695488</v>
      </c>
      <c r="F54" s="1152">
        <f t="shared" si="4"/>
        <v>12190.752502909439</v>
      </c>
      <c r="G54" s="1152">
        <f t="shared" si="4"/>
        <v>10588.993412241864</v>
      </c>
      <c r="H54" s="1152">
        <f t="shared" si="4"/>
        <v>8874.1970110820039</v>
      </c>
      <c r="I54" s="1152">
        <f t="shared" si="4"/>
        <v>7039.3358893594122</v>
      </c>
      <c r="J54" s="1152">
        <f t="shared" si="4"/>
        <v>5081.2352888870882</v>
      </c>
      <c r="K54" s="1152">
        <f t="shared" si="4"/>
        <v>2992.5681524000902</v>
      </c>
    </row>
    <row r="55" spans="1:17">
      <c r="A55" s="1150" t="s">
        <v>3768</v>
      </c>
      <c r="B55" s="1152">
        <f>-B54</f>
        <v>-17541.071237999546</v>
      </c>
      <c r="C55" s="1152">
        <f t="shared" ref="C55:K55" si="5">-C54</f>
        <v>-16352.969477999584</v>
      </c>
      <c r="D55" s="1152">
        <f t="shared" si="5"/>
        <v>-15067.560282799597</v>
      </c>
      <c r="E55" s="1152">
        <f t="shared" si="5"/>
        <v>-13682.359141695488</v>
      </c>
      <c r="F55" s="1152">
        <f t="shared" si="5"/>
        <v>-12190.752502909439</v>
      </c>
      <c r="G55" s="1152">
        <f t="shared" si="5"/>
        <v>-10588.993412241864</v>
      </c>
      <c r="H55" s="1152">
        <f t="shared" si="5"/>
        <v>-8874.1970110820039</v>
      </c>
      <c r="I55" s="1152">
        <f t="shared" si="5"/>
        <v>-7039.3358893594122</v>
      </c>
      <c r="J55" s="1152">
        <f t="shared" si="5"/>
        <v>-5081.2352888870882</v>
      </c>
      <c r="K55" s="1152">
        <f t="shared" si="5"/>
        <v>-2992.5681524000902</v>
      </c>
    </row>
    <row r="56" spans="1:17">
      <c r="A56" s="1150" t="s">
        <v>3873</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3874</v>
      </c>
      <c r="B58" s="1151">
        <f>IF($B$26="","",-FV('Part III-Sources of Funds'!$K$38/12,12,B52/12,B26))</f>
        <v>-39962.840762000465</v>
      </c>
      <c r="C58" s="1151">
        <f>IF($B$26="","",-FV('Part III-Sources of Funds'!$K$38/12,12,C52/12,B58))</f>
        <v>-79925.681524000931</v>
      </c>
      <c r="D58" s="1151">
        <f>IF($B$26="","",-FV('Part III-Sources of Funds'!$K$38/12,12,D52/12,C58))</f>
        <v>-119888.52228600139</v>
      </c>
      <c r="E58" s="1151">
        <f>IF($B$26="","",-FV('Part III-Sources of Funds'!$K$38/12,12,E52/12,D58))</f>
        <v>-159851.36304800186</v>
      </c>
      <c r="F58" s="1151">
        <f>IF($B$26="","",-FV('Part III-Sources of Funds'!$K$38/12,12,F52/12,E58))</f>
        <v>-199814.20381000233</v>
      </c>
      <c r="G58" s="1151">
        <f>IF($B$26="","",-FV('Part III-Sources of Funds'!$K$38/12,12,G52/12,F58))</f>
        <v>-239777.04457200281</v>
      </c>
      <c r="H58" s="1151">
        <f>IF($B$26="","",-FV('Part III-Sources of Funds'!$K$38/12,12,H52/12,G58))</f>
        <v>-279739.88533400325</v>
      </c>
      <c r="I58" s="1151">
        <f>IF($B$26="","",-FV('Part III-Sources of Funds'!$K$38/12,12,I52/12,H58))</f>
        <v>-319702.72609600372</v>
      </c>
      <c r="J58" s="1151">
        <f>IF($B$26="","",-FV('Part III-Sources of Funds'!$K$38/12,12,J52/12,I58))</f>
        <v>-359665.5668580042</v>
      </c>
      <c r="K58" s="1151">
        <f>IF($B$26="","",-FV('Part III-Sources of Funds'!$K$38/12,12,K52/12,J58))</f>
        <v>-399628.40762000467</v>
      </c>
    </row>
    <row r="59" spans="1:17">
      <c r="A59" s="1150" t="s">
        <v>3769</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3866</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45733.690775458839</v>
      </c>
      <c r="C64" s="1151">
        <f>+'Part VII-Pro Forma'!C56</f>
        <v>43371.274484221285</v>
      </c>
      <c r="D64" s="1151">
        <f>+'Part VII-Pro Forma'!D56</f>
        <v>40864.344763956746</v>
      </c>
      <c r="E64" s="1151">
        <f>+'Part VII-Pro Forma'!E56</f>
        <v>38204.912592988338</v>
      </c>
      <c r="F64" s="1151">
        <f>+'Part VII-Pro Forma'!F56</f>
        <v>35388.809406613233</v>
      </c>
      <c r="G64" s="1151">
        <f>+'Part VII-Pro Forma'!G56</f>
        <v>32408.681113363269</v>
      </c>
      <c r="H64" s="1151">
        <f>+'Part VII-Pro Forma'!H56</f>
        <v>29257.981919807247</v>
      </c>
      <c r="I64" s="1151">
        <f>+'Part VII-Pro Forma'!I56</f>
        <v>25930.96795790525</v>
      </c>
      <c r="J64" s="1151">
        <f>+'Part VII-Pro Forma'!J56</f>
        <v>22419.690708756127</v>
      </c>
      <c r="K64" s="1151">
        <f>+'Part VII-Pro Forma'!K56</f>
        <v>18716.990216374961</v>
      </c>
    </row>
    <row r="65" spans="1:11">
      <c r="A65" s="1150" t="s">
        <v>3867</v>
      </c>
      <c r="B65" s="1151">
        <f>SUM('Part VII-Pro Forma'!B57:B60)</f>
        <v>0</v>
      </c>
      <c r="C65" s="1151">
        <f>SUM('Part VII-Pro Forma'!C57:C60)</f>
        <v>0</v>
      </c>
      <c r="D65" s="1151">
        <f>SUM('Part VII-Pro Forma'!D57:D60)</f>
        <v>0</v>
      </c>
      <c r="E65" s="1151">
        <f>SUM('Part VII-Pro Forma'!E57:E60)</f>
        <v>0</v>
      </c>
      <c r="F65" s="1151">
        <f>SUM('Part VII-Pro Forma'!F57:F60)</f>
        <v>0</v>
      </c>
      <c r="G65" s="1151">
        <f>SUM('Part VII-Pro Forma'!G57:G60)</f>
        <v>0</v>
      </c>
      <c r="H65" s="1151">
        <f>SUM('Part VII-Pro Forma'!H57:H60)</f>
        <v>0</v>
      </c>
      <c r="I65" s="1151">
        <f>SUM('Part VII-Pro Forma'!I57:I60)</f>
        <v>0</v>
      </c>
      <c r="J65" s="1151">
        <f>SUM('Part VII-Pro Forma'!J57:J60)</f>
        <v>0</v>
      </c>
      <c r="K65" s="1151">
        <f>SUM('Part VII-Pro Forma'!K57:K60)</f>
        <v>0</v>
      </c>
    </row>
    <row r="66" spans="1:11">
      <c r="A66" s="1150" t="s">
        <v>3868</v>
      </c>
      <c r="B66" s="1152">
        <f t="shared" ref="B66:K66" si="7">-B64/B68-B65</f>
        <v>-38111.408979549036</v>
      </c>
      <c r="C66" s="1152">
        <f t="shared" si="7"/>
        <v>-36142.728736851073</v>
      </c>
      <c r="D66" s="1152">
        <f t="shared" si="7"/>
        <v>-34053.620636630621</v>
      </c>
      <c r="E66" s="1152">
        <f t="shared" si="7"/>
        <v>-31837.427160823616</v>
      </c>
      <c r="F66" s="1152">
        <f t="shared" si="7"/>
        <v>-29490.67450551103</v>
      </c>
      <c r="G66" s="1152">
        <f t="shared" si="7"/>
        <v>-27007.234261136058</v>
      </c>
      <c r="H66" s="1152">
        <f t="shared" si="7"/>
        <v>-24381.651599839373</v>
      </c>
      <c r="I66" s="1152">
        <f t="shared" si="7"/>
        <v>-21609.139964921043</v>
      </c>
      <c r="J66" s="1152">
        <f t="shared" si="7"/>
        <v>-18683.075590630106</v>
      </c>
      <c r="K66" s="1152">
        <f t="shared" si="7"/>
        <v>-15597.491846979136</v>
      </c>
    </row>
    <row r="68" spans="1:11">
      <c r="A68" s="1150" t="s">
        <v>3869</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45733.690775458839</v>
      </c>
      <c r="C71" s="1152">
        <f t="shared" si="9"/>
        <v>43371.274484221285</v>
      </c>
      <c r="D71" s="1152">
        <f t="shared" si="9"/>
        <v>40864.344763956746</v>
      </c>
      <c r="E71" s="1152">
        <f t="shared" si="9"/>
        <v>38204.912592988338</v>
      </c>
      <c r="F71" s="1152">
        <f t="shared" si="9"/>
        <v>35388.809406613233</v>
      </c>
      <c r="G71" s="1152">
        <f t="shared" si="9"/>
        <v>32408.681113363269</v>
      </c>
      <c r="H71" s="1152">
        <f>+H64</f>
        <v>29257.981919807247</v>
      </c>
      <c r="I71" s="1152">
        <f>+I64</f>
        <v>25930.96795790525</v>
      </c>
      <c r="J71" s="1152">
        <f>+J64</f>
        <v>22419.690708756127</v>
      </c>
      <c r="K71" s="1152">
        <f>+K64</f>
        <v>18716.990216374961</v>
      </c>
    </row>
    <row r="72" spans="1:11">
      <c r="A72" s="1150" t="s">
        <v>3870</v>
      </c>
      <c r="B72" s="1152">
        <f t="shared" ref="B72:G72" si="10">IF($B$25="N/A",B65,B65+$B$25)</f>
        <v>-39962.840762000465</v>
      </c>
      <c r="C72" s="1152">
        <f t="shared" si="10"/>
        <v>-39962.840762000465</v>
      </c>
      <c r="D72" s="1152">
        <f t="shared" si="10"/>
        <v>-39962.840762000465</v>
      </c>
      <c r="E72" s="1152">
        <f t="shared" si="10"/>
        <v>-39962.840762000465</v>
      </c>
      <c r="F72" s="1152">
        <f t="shared" si="10"/>
        <v>-39962.840762000465</v>
      </c>
      <c r="G72" s="1152">
        <f t="shared" si="10"/>
        <v>-39962.840762000465</v>
      </c>
      <c r="H72" s="1152">
        <f>IF($B$25="N/A",H65,H65+$B$25)</f>
        <v>-39962.840762000465</v>
      </c>
      <c r="I72" s="1152">
        <f>IF($B$25="N/A",I65,I65+$B$25)</f>
        <v>-39962.840762000465</v>
      </c>
      <c r="J72" s="1152">
        <f>IF($B$25="N/A",J65,J65+$B$25)</f>
        <v>-39962.840762000465</v>
      </c>
      <c r="K72" s="1152">
        <f>IF($B$25="N/A",K65,K65+$B$25)</f>
        <v>-39962.840762000465</v>
      </c>
    </row>
    <row r="73" spans="1:11">
      <c r="A73" s="1150" t="s">
        <v>3871</v>
      </c>
      <c r="B73" s="1151">
        <f>+'Part VII-Pro Forma'!B62</f>
        <v>-5000</v>
      </c>
      <c r="C73" s="1151">
        <f>+'Part VII-Pro Forma'!C62</f>
        <v>-5000</v>
      </c>
      <c r="D73" s="1151">
        <f>+'Part VII-Pro Forma'!D62</f>
        <v>-5000</v>
      </c>
      <c r="E73" s="1151">
        <f>+'Part VII-Pro Forma'!E62</f>
        <v>-5000</v>
      </c>
      <c r="F73" s="1151">
        <f>+'Part VII-Pro Forma'!F62</f>
        <v>-5000</v>
      </c>
      <c r="G73" s="1151">
        <f>+'Part VII-Pro Forma'!G62</f>
        <v>-5000</v>
      </c>
      <c r="H73" s="1151">
        <f>+'Part VII-Pro Forma'!H62</f>
        <v>-5000</v>
      </c>
      <c r="I73" s="1151">
        <f>+'Part VII-Pro Forma'!I62</f>
        <v>-5000</v>
      </c>
      <c r="J73" s="1151">
        <f>+'Part VII-Pro Forma'!J62</f>
        <v>-5000</v>
      </c>
      <c r="K73" s="1151">
        <f>+'Part VII-Pro Forma'!K62</f>
        <v>-5000</v>
      </c>
    </row>
    <row r="74" spans="1:11">
      <c r="A74" s="1150" t="s">
        <v>3872</v>
      </c>
      <c r="B74" s="1152">
        <f t="shared" ref="B74:G74" si="11">+SUM(B71:B73)</f>
        <v>770.85001345837372</v>
      </c>
      <c r="C74" s="1152">
        <f t="shared" si="11"/>
        <v>-1591.5662777791804</v>
      </c>
      <c r="D74" s="1152">
        <f t="shared" si="11"/>
        <v>-4098.4959980437197</v>
      </c>
      <c r="E74" s="1152">
        <f t="shared" si="11"/>
        <v>-6757.9281690121279</v>
      </c>
      <c r="F74" s="1152">
        <f t="shared" si="11"/>
        <v>-9574.0313553872329</v>
      </c>
      <c r="G74" s="1152">
        <f t="shared" si="11"/>
        <v>-12554.159648637196</v>
      </c>
      <c r="H74" s="1152">
        <f>+SUM(H71:H73)</f>
        <v>-15704.858842193218</v>
      </c>
      <c r="I74" s="1152">
        <f>+SUM(I71:I73)</f>
        <v>-19031.872804095216</v>
      </c>
      <c r="J74" s="1152">
        <f>+SUM(J71:J73)</f>
        <v>-22543.150053244339</v>
      </c>
      <c r="K74" s="1152">
        <f>+SUM(K71:K73)</f>
        <v>-26245.850545625504</v>
      </c>
    </row>
    <row r="75" spans="1:11">
      <c r="A75" s="1150" t="s">
        <v>3768</v>
      </c>
      <c r="B75" s="1152">
        <f t="shared" ref="B75:G75" si="12">-B74</f>
        <v>-770.85001345837372</v>
      </c>
      <c r="C75" s="1152">
        <f t="shared" si="12"/>
        <v>1591.5662777791804</v>
      </c>
      <c r="D75" s="1152">
        <f t="shared" si="12"/>
        <v>4098.4959980437197</v>
      </c>
      <c r="E75" s="1152">
        <f t="shared" si="12"/>
        <v>6757.9281690121279</v>
      </c>
      <c r="F75" s="1152">
        <f t="shared" si="12"/>
        <v>9574.0313553872329</v>
      </c>
      <c r="G75" s="1152">
        <f t="shared" si="12"/>
        <v>12554.159648637196</v>
      </c>
      <c r="H75" s="1152">
        <f>-H74</f>
        <v>15704.858842193218</v>
      </c>
      <c r="I75" s="1152">
        <f>-I74</f>
        <v>19031.872804095216</v>
      </c>
      <c r="J75" s="1152">
        <f>-J74</f>
        <v>22543.150053244339</v>
      </c>
      <c r="K75" s="1152">
        <f>-K74</f>
        <v>26245.850545625504</v>
      </c>
    </row>
    <row r="76" spans="1:11">
      <c r="A76" s="1150" t="s">
        <v>3873</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3874</v>
      </c>
      <c r="B78" s="1151">
        <f>IF($B$26="","",-FV('Part III-Sources of Funds'!$K$38/12,12,B72/12,K58))</f>
        <v>-439591.24838200514</v>
      </c>
      <c r="C78" s="1151">
        <f>IF($B$26="","",-FV('Part III-Sources of Funds'!$K$38/12,12,C72/12,B78))</f>
        <v>-479554.08914400561</v>
      </c>
      <c r="D78" s="1151">
        <f>IF($B$26="","",-FV('Part III-Sources of Funds'!$K$38/12,12,D72/12,C78))</f>
        <v>-519516.92990600609</v>
      </c>
      <c r="E78" s="1151">
        <f>IF($B$26="","",-FV('Part III-Sources of Funds'!$K$38/12,12,E72/12,D78))</f>
        <v>-559479.7706680065</v>
      </c>
      <c r="F78" s="1151">
        <f>IF($B$26="","",-FV('Part III-Sources of Funds'!$K$38/12,12,F72/12,E78))</f>
        <v>-599442.61143000692</v>
      </c>
      <c r="G78" s="1151">
        <f>IF($B$26="","",-FV('Part III-Sources of Funds'!$K$38/12,12,G72/12,F78))</f>
        <v>-639405.45219200733</v>
      </c>
      <c r="H78" s="1151">
        <f>IF($B$26="","",-FV('Part III-Sources of Funds'!$K$38/12,12,H72/12,G78))</f>
        <v>-679368.29295400775</v>
      </c>
      <c r="I78" s="1151">
        <f>IF($B$26="","",-FV('Part III-Sources of Funds'!$K$38/12,12,I72/12,H78))</f>
        <v>-719331.13371600816</v>
      </c>
      <c r="J78" s="1151">
        <f>IF($B$26="","",-FV('Part III-Sources of Funds'!$K$38/12,12,J72/12,I78))</f>
        <v>-759293.97447800857</v>
      </c>
      <c r="K78" s="1151">
        <f>IF($B$26="","",-FV('Part III-Sources of Funds'!$K$38/12,12,K72/12,J78))</f>
        <v>-799256.81524000899</v>
      </c>
    </row>
    <row r="79" spans="1:11">
      <c r="A79" s="1150" t="s">
        <v>3769</v>
      </c>
    </row>
    <row r="82" spans="1:2">
      <c r="A82" s="1150" t="s">
        <v>3875</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2940</v>
      </c>
      <c r="B1" s="704"/>
      <c r="C1" s="619" t="str">
        <f>'Sensitivity Analysis'!C8</f>
        <v>Spring Creek Crossing</v>
      </c>
    </row>
    <row r="2" spans="1:15" ht="13.5" customHeight="1"/>
    <row r="3" spans="1:15" ht="13.5" customHeight="1">
      <c r="A3" s="620" t="s">
        <v>2941</v>
      </c>
      <c r="C3" s="619" t="s">
        <v>2942</v>
      </c>
      <c r="E3" s="705">
        <f>SUM('Part IV-A-Uses of Funds'!J149,'Part IV-A-Uses of Funds'!M149,'Part IV-A-Uses of Funds'!P149)</f>
        <v>9950834</v>
      </c>
      <c r="F3" s="1238" t="s">
        <v>2943</v>
      </c>
      <c r="H3" s="1215">
        <v>27.5</v>
      </c>
      <c r="I3" s="619" t="s">
        <v>2404</v>
      </c>
      <c r="K3" s="624" t="s">
        <v>2964</v>
      </c>
      <c r="M3" s="1238"/>
      <c r="O3" s="706"/>
    </row>
    <row r="4" spans="1:15" ht="13.5" customHeight="1">
      <c r="C4" s="619" t="s">
        <v>3424</v>
      </c>
      <c r="E4" s="705">
        <f>SUM('Part IV-A-Uses of Funds'!G85:H89)</f>
        <v>0</v>
      </c>
      <c r="F4" s="1238" t="s">
        <v>4097</v>
      </c>
      <c r="H4" s="620">
        <f>'Part III-Sources of Funds'!M38</f>
        <v>0</v>
      </c>
      <c r="I4" s="619" t="s">
        <v>2404</v>
      </c>
      <c r="K4" s="707" t="s">
        <v>3207</v>
      </c>
      <c r="M4" s="1238"/>
    </row>
    <row r="5" spans="1:15" ht="13.5" customHeight="1">
      <c r="C5" s="619" t="s">
        <v>3425</v>
      </c>
      <c r="E5" s="705">
        <f>SUM('Part IV-A-Uses of Funds'!G96:H102)</f>
        <v>135500</v>
      </c>
      <c r="F5" s="1238" t="s">
        <v>4096</v>
      </c>
      <c r="H5" s="1215">
        <v>15</v>
      </c>
      <c r="I5" s="619" t="s">
        <v>2404</v>
      </c>
      <c r="K5" s="706">
        <f>-E6</f>
        <v>-10798506</v>
      </c>
    </row>
    <row r="6" spans="1:15" ht="13.5" customHeight="1">
      <c r="C6" s="619" t="s">
        <v>2944</v>
      </c>
      <c r="E6" s="708">
        <f>'Part III-Sources of Funds'!$I$49+'Part III-Sources of Funds'!$I$50</f>
        <v>10798506</v>
      </c>
      <c r="F6" s="1238" t="s">
        <v>2945</v>
      </c>
      <c r="H6" s="709">
        <v>0.35</v>
      </c>
      <c r="K6" s="706" t="e">
        <f>C24</f>
        <v>#VALUE!</v>
      </c>
      <c r="M6" s="619" t="s">
        <v>2946</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2947</v>
      </c>
      <c r="O8" s="1178" t="e">
        <f>'Part VII-Pro Forma'!$K$71+'Part VII-Pro Forma'!$K$72+'Part VII-Pro Forma'!$K$73</f>
        <v>#VALUE!</v>
      </c>
    </row>
    <row r="9" spans="1:15" ht="13.5" customHeight="1">
      <c r="A9" s="619" t="s">
        <v>2948</v>
      </c>
      <c r="C9" s="713">
        <f>'Part VII-Pro Forma'!B32</f>
        <v>46.912000000011176</v>
      </c>
      <c r="D9" s="713">
        <f>'Part VII-Pro Forma'!C32</f>
        <v>56315.81024000005</v>
      </c>
      <c r="E9" s="713">
        <f>'Part VII-Pro Forma'!D32</f>
        <v>55030.401044800063</v>
      </c>
      <c r="F9" s="713">
        <f>'Part VII-Pro Forma'!E32</f>
        <v>53645.199903695953</v>
      </c>
      <c r="G9" s="713">
        <f>'Part VII-Pro Forma'!F32</f>
        <v>52153.593264909905</v>
      </c>
      <c r="H9" s="713">
        <f>'Part VII-Pro Forma'!G32</f>
        <v>50551.834174242329</v>
      </c>
      <c r="I9" s="713">
        <f>'Part VII-Pro Forma'!H32</f>
        <v>48837.037773082469</v>
      </c>
      <c r="K9" s="706" t="e">
        <f>F24</f>
        <v>#VALUE!</v>
      </c>
      <c r="N9" s="714" t="s">
        <v>2950</v>
      </c>
    </row>
    <row r="10" spans="1:15" ht="13.5" customHeight="1">
      <c r="A10" s="619" t="s">
        <v>2949</v>
      </c>
      <c r="C10" s="1175" t="e">
        <f>'Part III-Sources of Funds'!I38-'Part VII-Pro Forma'!B39</f>
        <v>#VALUE!</v>
      </c>
      <c r="D10" s="715" t="e">
        <f>'Part VII-Pro Forma'!B39-'Part VII-Pro Forma'!C39</f>
        <v>#VALUE!</v>
      </c>
      <c r="E10" s="715" t="e">
        <f>'Part VII-Pro Forma'!C39-'Part VII-Pro Forma'!D39</f>
        <v>#VALUE!</v>
      </c>
      <c r="F10" s="715" t="e">
        <f>'Part VII-Pro Forma'!D39-'Part VII-Pro Forma'!E39</f>
        <v>#VALUE!</v>
      </c>
      <c r="G10" s="715" t="e">
        <f>'Part VII-Pro Forma'!E39-'Part VII-Pro Forma'!F39</f>
        <v>#VALUE!</v>
      </c>
      <c r="H10" s="715" t="e">
        <f>'Part VII-Pro Forma'!F39-'Part VII-Pro Forma'!G39</f>
        <v>#VALUE!</v>
      </c>
      <c r="I10" s="715" t="e">
        <f>'Part VII-Pro Forma'!G39-'Part VII-Pro Forma'!H39</f>
        <v>#VALUE!</v>
      </c>
      <c r="K10" s="706" t="e">
        <f>G24</f>
        <v>#VALUE!</v>
      </c>
      <c r="N10" s="714" t="s">
        <v>2951</v>
      </c>
      <c r="O10" s="711"/>
    </row>
    <row r="11" spans="1:15" ht="13.5" customHeight="1">
      <c r="A11" s="619" t="s">
        <v>2949</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2949</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2953</v>
      </c>
      <c r="N12" s="716">
        <v>0.06</v>
      </c>
      <c r="O12" s="711">
        <f>N12*O6</f>
        <v>0</v>
      </c>
    </row>
    <row r="13" spans="1:15" ht="13.5" customHeight="1">
      <c r="A13" s="717" t="s">
        <v>3426</v>
      </c>
      <c r="B13" s="718"/>
      <c r="C13" s="1176">
        <f>'Part VII-Pro Forma'!B22</f>
        <v>-12500</v>
      </c>
      <c r="D13" s="1176">
        <f>'Part VII-Pro Forma'!C22</f>
        <v>-12875</v>
      </c>
      <c r="E13" s="1176">
        <f>'Part VII-Pro Forma'!D22</f>
        <v>-13261.25</v>
      </c>
      <c r="F13" s="1176">
        <f>'Part VII-Pro Forma'!E22</f>
        <v>-13659.0875</v>
      </c>
      <c r="G13" s="1176">
        <f>'Part VII-Pro Forma'!F22</f>
        <v>-14068.860124999999</v>
      </c>
      <c r="H13" s="1176">
        <f>'Part VII-Pro Forma'!G22</f>
        <v>-14490.925928749997</v>
      </c>
      <c r="I13" s="1176">
        <f>'Part VII-Pro Forma'!H22</f>
        <v>-14925.653706612498</v>
      </c>
      <c r="K13" s="706" t="e">
        <f>C44</f>
        <v>#VALUE!</v>
      </c>
      <c r="O13" s="711"/>
    </row>
    <row r="14" spans="1:15" ht="13.5" customHeight="1">
      <c r="A14" s="717" t="s">
        <v>3427</v>
      </c>
      <c r="B14" s="718"/>
      <c r="C14" s="1176">
        <f>'Part VII-Pro Forma'!B31</f>
        <v>-57457</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2956</v>
      </c>
      <c r="O14" s="711" t="e">
        <f>O6-O8-O12</f>
        <v>#VALUE!</v>
      </c>
    </row>
    <row r="15" spans="1:15" ht="13.5" customHeight="1">
      <c r="A15" s="719" t="s">
        <v>2952</v>
      </c>
      <c r="C15" s="720">
        <f t="shared" ref="C15:I15" si="0">$E$3/$H$3</f>
        <v>361848.50909090909</v>
      </c>
      <c r="D15" s="720">
        <f t="shared" si="0"/>
        <v>361848.50909090909</v>
      </c>
      <c r="E15" s="720">
        <f t="shared" si="0"/>
        <v>361848.50909090909</v>
      </c>
      <c r="F15" s="720">
        <f t="shared" si="0"/>
        <v>361848.50909090909</v>
      </c>
      <c r="G15" s="720">
        <f t="shared" si="0"/>
        <v>361848.50909090909</v>
      </c>
      <c r="H15" s="720">
        <f t="shared" si="0"/>
        <v>361848.50909090909</v>
      </c>
      <c r="I15" s="720">
        <f t="shared" si="0"/>
        <v>361848.50909090909</v>
      </c>
      <c r="K15" s="706" t="e">
        <f>E44</f>
        <v>#VALUE!</v>
      </c>
      <c r="O15" s="711"/>
    </row>
    <row r="16" spans="1:15" ht="13.5" customHeight="1">
      <c r="A16" s="719" t="s">
        <v>2954</v>
      </c>
      <c r="C16" s="720">
        <f>IF(C$8&lt;=$H$4,($E$4/$H$4),0)+IF(C$8&lt;=$H$5,($E$5/$H$5),0)</f>
        <v>9033.3333333333339</v>
      </c>
      <c r="D16" s="720">
        <f t="shared" ref="D16:I16" si="1">IF(D$8&lt;=$H$4,($E$4/$H$4),0)+IF(D$8&lt;=$H$5,($E$5/$H$5),0)</f>
        <v>9033.3333333333339</v>
      </c>
      <c r="E16" s="720">
        <f t="shared" si="1"/>
        <v>9033.3333333333339</v>
      </c>
      <c r="F16" s="720">
        <f t="shared" si="1"/>
        <v>9033.3333333333339</v>
      </c>
      <c r="G16" s="720">
        <f t="shared" si="1"/>
        <v>9033.3333333333339</v>
      </c>
      <c r="H16" s="720">
        <f t="shared" si="1"/>
        <v>9033.3333333333339</v>
      </c>
      <c r="I16" s="720">
        <f t="shared" si="1"/>
        <v>9033.3333333333339</v>
      </c>
      <c r="K16" s="706" t="e">
        <f>F44</f>
        <v>#VALUE!</v>
      </c>
      <c r="M16" s="619" t="s">
        <v>2958</v>
      </c>
      <c r="O16" s="711">
        <f>E3</f>
        <v>9950834</v>
      </c>
    </row>
    <row r="17" spans="1:17" ht="13.5" customHeight="1">
      <c r="A17" s="719" t="s">
        <v>2955</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2952</v>
      </c>
      <c r="O17" s="711">
        <f>20*(E3/H3)</f>
        <v>7236970.1818181816</v>
      </c>
    </row>
    <row r="18" spans="1:17" ht="13.5" customHeight="1">
      <c r="A18" s="719" t="s">
        <v>2957</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2962</v>
      </c>
      <c r="O19" s="711">
        <f>O16-O17</f>
        <v>2713863.8181818184</v>
      </c>
    </row>
    <row r="20" spans="1:17" ht="13.5" customHeight="1">
      <c r="A20" s="619" t="s">
        <v>2959</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2960</v>
      </c>
      <c r="C21" s="721">
        <f>'Part IV-A-Uses of Funds'!$J$184</f>
        <v>900000</v>
      </c>
      <c r="D21" s="721">
        <f t="shared" ref="D21:I21" si="5">C21</f>
        <v>900000</v>
      </c>
      <c r="E21" s="721">
        <f t="shared" si="5"/>
        <v>900000</v>
      </c>
      <c r="F21" s="721">
        <f t="shared" si="5"/>
        <v>900000</v>
      </c>
      <c r="G21" s="721">
        <f t="shared" si="5"/>
        <v>900000</v>
      </c>
      <c r="H21" s="721">
        <f t="shared" si="5"/>
        <v>900000</v>
      </c>
      <c r="I21" s="721">
        <f t="shared" si="5"/>
        <v>900000</v>
      </c>
      <c r="J21" s="619" t="s">
        <v>238</v>
      </c>
      <c r="K21" s="706" t="e">
        <f>D64</f>
        <v>#VALUE!</v>
      </c>
      <c r="O21" s="711"/>
    </row>
    <row r="22" spans="1:17" ht="13.5" customHeight="1">
      <c r="A22" s="619" t="s">
        <v>2961</v>
      </c>
      <c r="C22" s="721">
        <f>C21</f>
        <v>900000</v>
      </c>
      <c r="D22" s="721">
        <f t="shared" ref="D22:I22" si="6">D21</f>
        <v>900000</v>
      </c>
      <c r="E22" s="721">
        <f t="shared" si="6"/>
        <v>900000</v>
      </c>
      <c r="F22" s="721">
        <f t="shared" si="6"/>
        <v>900000</v>
      </c>
      <c r="G22" s="721">
        <f t="shared" si="6"/>
        <v>900000</v>
      </c>
      <c r="H22" s="721">
        <f t="shared" si="6"/>
        <v>900000</v>
      </c>
      <c r="I22" s="721">
        <f t="shared" si="6"/>
        <v>900000</v>
      </c>
      <c r="K22" s="706" t="e">
        <f>E64</f>
        <v>#VALUE!</v>
      </c>
      <c r="M22" s="619" t="s">
        <v>2946</v>
      </c>
      <c r="O22" s="711">
        <f>O6</f>
        <v>0</v>
      </c>
    </row>
    <row r="23" spans="1:17" ht="13.5" customHeight="1">
      <c r="A23" s="619" t="s">
        <v>2963</v>
      </c>
      <c r="C23" s="713">
        <v>0</v>
      </c>
      <c r="D23" s="713">
        <v>0</v>
      </c>
      <c r="E23" s="713">
        <v>0</v>
      </c>
      <c r="F23" s="713">
        <v>0</v>
      </c>
      <c r="G23" s="713">
        <v>0</v>
      </c>
      <c r="H23" s="713">
        <v>0</v>
      </c>
      <c r="I23" s="713">
        <v>0</v>
      </c>
      <c r="K23" s="706" t="e">
        <f>F64</f>
        <v>#VALUE!</v>
      </c>
      <c r="M23" s="619" t="s">
        <v>2965</v>
      </c>
      <c r="O23" s="711">
        <f>O19</f>
        <v>2713863.8181818184</v>
      </c>
    </row>
    <row r="24" spans="1:17" ht="13.5" customHeight="1">
      <c r="A24" s="619" t="s">
        <v>2964</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2966</v>
      </c>
      <c r="O25" s="711">
        <f>O22-O23</f>
        <v>-2713863.8181818184</v>
      </c>
      <c r="Q25" s="722"/>
    </row>
    <row r="26" spans="1:17" ht="13.5" customHeight="1">
      <c r="A26" s="723"/>
      <c r="B26" s="723"/>
      <c r="C26" s="723"/>
      <c r="D26" s="723"/>
      <c r="E26" s="723"/>
      <c r="F26" s="723"/>
      <c r="G26" s="723"/>
      <c r="H26" s="723"/>
      <c r="I26" s="723"/>
      <c r="K26" s="706"/>
      <c r="O26" s="711"/>
    </row>
    <row r="27" spans="1:17" ht="13.5" customHeight="1">
      <c r="K27" s="706"/>
      <c r="M27" s="619" t="s">
        <v>2967</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2948</v>
      </c>
      <c r="C29" s="713">
        <f>'Part VII-Pro Forma'!I32</f>
        <v>47002.176651359878</v>
      </c>
      <c r="D29" s="713">
        <f>'Part VII-Pro Forma'!J32</f>
        <v>45044.076050887554</v>
      </c>
      <c r="E29" s="713">
        <f>'Part VII-Pro Forma'!K32</f>
        <v>42955.408914400556</v>
      </c>
      <c r="F29" s="713">
        <f>'Part VII-Pro Forma'!B64</f>
        <v>40733.690775458839</v>
      </c>
      <c r="G29" s="713">
        <f>'Part VII-Pro Forma'!C64</f>
        <v>38371.274484221285</v>
      </c>
      <c r="H29" s="713">
        <f>'Part VII-Pro Forma'!D64</f>
        <v>35864.344763956746</v>
      </c>
      <c r="I29" s="713">
        <f>'Part VII-Pro Forma'!E64</f>
        <v>33204.912592988338</v>
      </c>
      <c r="N29" s="724"/>
      <c r="O29" s="724"/>
    </row>
    <row r="30" spans="1:17" ht="13.5" customHeight="1">
      <c r="A30" s="619" t="s">
        <v>2949</v>
      </c>
      <c r="C30" s="715" t="e">
        <f>'Part VII-Pro Forma'!H39-'Part VII-Pro Forma'!I39</f>
        <v>#VALUE!</v>
      </c>
      <c r="D30" s="715" t="e">
        <f>'Part VII-Pro Forma'!I39-'Part VII-Pro Forma'!J39</f>
        <v>#VALUE!</v>
      </c>
      <c r="E30" s="715" t="e">
        <f>'Part VII-Pro Forma'!J39-'Part VII-Pro Forma'!K39</f>
        <v>#VALUE!</v>
      </c>
      <c r="F30" s="1173" t="e">
        <f>'Part VII-Pro Forma'!K39-'Part VII-Pro Forma'!B71</f>
        <v>#VALUE!</v>
      </c>
      <c r="G30" s="1173" t="e">
        <f>'Part VII-Pro Forma'!B71-'Part VII-Pro Forma'!C71</f>
        <v>#VALUE!</v>
      </c>
      <c r="H30" s="1173" t="e">
        <f>'Part VII-Pro Forma'!C71-'Part VII-Pro Forma'!D71</f>
        <v>#VALUE!</v>
      </c>
      <c r="I30" s="1173" t="e">
        <f>'Part VII-Pro Forma'!D71-'Part VII-Pro Forma'!E71</f>
        <v>#VALUE!</v>
      </c>
    </row>
    <row r="31" spans="1:17" ht="13.5" customHeight="1">
      <c r="A31" s="619" t="s">
        <v>2949</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2968</v>
      </c>
      <c r="O31" s="713">
        <f>O25*O27</f>
        <v>-542772.76363636367</v>
      </c>
    </row>
    <row r="32" spans="1:17" ht="13.5" customHeight="1">
      <c r="A32" s="619" t="s">
        <v>2949</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3426</v>
      </c>
      <c r="B33" s="718"/>
      <c r="C33" s="1176">
        <f>'Part VII-Pro Forma'!I22</f>
        <v>-15373.423317810875</v>
      </c>
      <c r="D33" s="1176">
        <f>'Part VII-Pro Forma'!J22</f>
        <v>-15834.626017345199</v>
      </c>
      <c r="E33" s="1176">
        <f>'Part VII-Pro Forma'!K22</f>
        <v>-16309.664797865556</v>
      </c>
      <c r="F33" s="1176">
        <f>'Part VII-Pro Forma'!B54</f>
        <v>-16798.954741801521</v>
      </c>
      <c r="G33" s="1176">
        <f>'Part VII-Pro Forma'!C54</f>
        <v>-17302.923384055568</v>
      </c>
      <c r="H33" s="1176">
        <f>'Part VII-Pro Forma'!D54</f>
        <v>-17822.011085577233</v>
      </c>
      <c r="I33" s="1176">
        <f>'Part VII-Pro Forma'!E54</f>
        <v>-18356.67141814455</v>
      </c>
      <c r="K33" s="619" t="s">
        <v>238</v>
      </c>
      <c r="M33" s="619" t="s">
        <v>2969</v>
      </c>
      <c r="O33" s="713" t="e">
        <f>O14-O31</f>
        <v>#VALUE!</v>
      </c>
    </row>
    <row r="34" spans="1:15" ht="13.5" customHeight="1">
      <c r="A34" s="717" t="s">
        <v>3427</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2952</v>
      </c>
      <c r="C35" s="720">
        <f t="shared" ref="C35:I35" si="8">$E$3/$H$3</f>
        <v>361848.50909090909</v>
      </c>
      <c r="D35" s="720">
        <f t="shared" si="8"/>
        <v>361848.50909090909</v>
      </c>
      <c r="E35" s="720">
        <f t="shared" si="8"/>
        <v>361848.50909090909</v>
      </c>
      <c r="F35" s="720">
        <f t="shared" si="8"/>
        <v>361848.50909090909</v>
      </c>
      <c r="G35" s="720">
        <f t="shared" si="8"/>
        <v>361848.50909090909</v>
      </c>
      <c r="H35" s="720">
        <f t="shared" si="8"/>
        <v>361848.50909090909</v>
      </c>
      <c r="I35" s="720">
        <f t="shared" si="8"/>
        <v>361848.50909090909</v>
      </c>
    </row>
    <row r="36" spans="1:15" ht="13.5" customHeight="1">
      <c r="A36" s="719" t="s">
        <v>2954</v>
      </c>
      <c r="C36" s="713">
        <f>IF(C$28&lt;=$H$4,($E$4/$H$4),0)+IF(C$28&lt;=$H$5,($E$5/$H$5),0)</f>
        <v>9033.3333333333339</v>
      </c>
      <c r="D36" s="713">
        <f t="shared" ref="D36:I36" si="9">IF(D$28&lt;=$H$4,($E$4/$H$4),0)+IF(D$28&lt;=$H$5,($E$5/$H$5),0)</f>
        <v>9033.3333333333339</v>
      </c>
      <c r="E36" s="713">
        <f t="shared" si="9"/>
        <v>9033.3333333333339</v>
      </c>
      <c r="F36" s="713">
        <f t="shared" si="9"/>
        <v>9033.3333333333339</v>
      </c>
      <c r="G36" s="713">
        <f t="shared" si="9"/>
        <v>9033.3333333333339</v>
      </c>
      <c r="H36" s="713">
        <f t="shared" si="9"/>
        <v>9033.3333333333339</v>
      </c>
      <c r="I36" s="713">
        <f t="shared" si="9"/>
        <v>9033.3333333333339</v>
      </c>
    </row>
    <row r="37" spans="1:15" ht="13.5" customHeight="1">
      <c r="A37" s="719" t="s">
        <v>2955</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2957</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2959</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2960</v>
      </c>
      <c r="C41" s="721">
        <f>C21</f>
        <v>900000</v>
      </c>
      <c r="D41" s="721">
        <f>C41</f>
        <v>900000</v>
      </c>
      <c r="E41" s="721">
        <f>D41</f>
        <v>900000</v>
      </c>
      <c r="F41" s="721">
        <v>0</v>
      </c>
      <c r="G41" s="721">
        <v>0</v>
      </c>
      <c r="H41" s="721">
        <v>0</v>
      </c>
      <c r="I41" s="721">
        <v>0</v>
      </c>
    </row>
    <row r="42" spans="1:15" ht="13.5" customHeight="1">
      <c r="A42" s="619" t="s">
        <v>2961</v>
      </c>
      <c r="C42" s="721">
        <f>C22</f>
        <v>900000</v>
      </c>
      <c r="D42" s="721">
        <f>C42</f>
        <v>900000</v>
      </c>
      <c r="E42" s="721">
        <f>D42</f>
        <v>900000</v>
      </c>
      <c r="F42" s="721">
        <v>0</v>
      </c>
      <c r="G42" s="721">
        <v>0</v>
      </c>
      <c r="H42" s="721">
        <v>0</v>
      </c>
      <c r="I42" s="721">
        <v>0</v>
      </c>
    </row>
    <row r="43" spans="1:15" ht="13.5" customHeight="1">
      <c r="A43" s="619" t="s">
        <v>2963</v>
      </c>
      <c r="C43" s="715">
        <v>0</v>
      </c>
      <c r="D43" s="715">
        <v>0</v>
      </c>
      <c r="E43" s="715">
        <v>0</v>
      </c>
      <c r="F43" s="715">
        <v>0</v>
      </c>
      <c r="G43" s="715">
        <v>0</v>
      </c>
      <c r="H43" s="715">
        <v>0</v>
      </c>
      <c r="I43" s="715">
        <v>0</v>
      </c>
    </row>
    <row r="44" spans="1:15" ht="13.5" customHeight="1">
      <c r="A44" s="619" t="s">
        <v>2964</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2948</v>
      </c>
      <c r="C49" s="713">
        <f>'Part VII-Pro Forma'!F64</f>
        <v>30388.809406613233</v>
      </c>
      <c r="D49" s="713">
        <f>'Part VII-Pro Forma'!G61</f>
        <v>0</v>
      </c>
      <c r="E49" s="713">
        <f>'Part VII-Pro Forma'!H61</f>
        <v>0</v>
      </c>
      <c r="F49" s="713">
        <f>'Part VII-Pro Forma'!I61</f>
        <v>0</v>
      </c>
      <c r="G49" s="713">
        <f>'Part VII-Pro Forma'!J61</f>
        <v>0</v>
      </c>
      <c r="H49" s="713">
        <f>'Part VII-Pro Forma'!K61</f>
        <v>0</v>
      </c>
    </row>
    <row r="50" spans="1:10" ht="13.5" customHeight="1">
      <c r="A50" s="619" t="s">
        <v>2949</v>
      </c>
      <c r="C50" s="1174" t="e">
        <f>'Part VII-Pro Forma'!E71-'Part VII-Pro Forma'!F71</f>
        <v>#VALUE!</v>
      </c>
      <c r="D50" s="1174" t="e">
        <f>'Part VII-Pro Forma'!F71-'Part VII-Pro Forma'!G71</f>
        <v>#VALUE!</v>
      </c>
      <c r="E50" s="1174" t="e">
        <f>'Part VII-Pro Forma'!G71-'Part VII-Pro Forma'!H71</f>
        <v>#VALUE!</v>
      </c>
      <c r="F50" s="1174" t="e">
        <f>'Part VII-Pro Forma'!H71-'Part VII-Pro Forma'!I71</f>
        <v>#VALUE!</v>
      </c>
      <c r="G50" s="1174" t="e">
        <f>'Part VII-Pro Forma'!I71-'Part VII-Pro Forma'!J71</f>
        <v>#VALUE!</v>
      </c>
      <c r="H50" s="1174" t="e">
        <f>'Part VII-Pro Forma'!J71-'Part VII-Pro Forma'!K71</f>
        <v>#VALUE!</v>
      </c>
    </row>
    <row r="51" spans="1:10" ht="13.5" customHeight="1">
      <c r="A51" s="619" t="s">
        <v>2949</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2949</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3426</v>
      </c>
      <c r="B53" s="718"/>
      <c r="C53" s="1176">
        <f>'Part VII-Pro Forma'!F54</f>
        <v>-18907.371560688887</v>
      </c>
      <c r="D53" s="1176">
        <f>'Part VII-Pro Forma'!G54</f>
        <v>-19474.592707509557</v>
      </c>
      <c r="E53" s="1176">
        <f>'Part VII-Pro Forma'!H54</f>
        <v>-20058.830488734839</v>
      </c>
      <c r="F53" s="1176">
        <f>'Part VII-Pro Forma'!I54</f>
        <v>-20660.595403396885</v>
      </c>
      <c r="G53" s="1176">
        <f>'Part VII-Pro Forma'!J54</f>
        <v>-21280.413265498792</v>
      </c>
      <c r="H53" s="1176">
        <f>'Part VII-Pro Forma'!K54</f>
        <v>-21918.825663463755</v>
      </c>
    </row>
    <row r="54" spans="1:10" ht="13.5" customHeight="1">
      <c r="A54" s="717" t="s">
        <v>3427</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2952</v>
      </c>
      <c r="C55" s="720">
        <f t="shared" ref="C55:H55" si="14">$E$3/$H$3</f>
        <v>361848.50909090909</v>
      </c>
      <c r="D55" s="720">
        <f t="shared" si="14"/>
        <v>361848.50909090909</v>
      </c>
      <c r="E55" s="720">
        <f t="shared" si="14"/>
        <v>361848.50909090909</v>
      </c>
      <c r="F55" s="720">
        <f t="shared" si="14"/>
        <v>361848.50909090909</v>
      </c>
      <c r="G55" s="720">
        <f t="shared" si="14"/>
        <v>361848.50909090909</v>
      </c>
      <c r="H55" s="720">
        <f t="shared" si="14"/>
        <v>361848.50909090909</v>
      </c>
    </row>
    <row r="56" spans="1:10" ht="13.5" customHeight="1">
      <c r="A56" s="719" t="s">
        <v>2954</v>
      </c>
      <c r="C56" s="713">
        <f t="shared" ref="C56:H56" si="15">IF(C$48&lt;=$H$4,($E$4/$H$4),0)+IF(C$48&lt;=$H$5,($E$5/$H$5),0)</f>
        <v>9033.3333333333339</v>
      </c>
      <c r="D56" s="713">
        <f t="shared" si="15"/>
        <v>0</v>
      </c>
      <c r="E56" s="713">
        <f t="shared" si="15"/>
        <v>0</v>
      </c>
      <c r="F56" s="713">
        <f t="shared" si="15"/>
        <v>0</v>
      </c>
      <c r="G56" s="713">
        <f t="shared" si="15"/>
        <v>0</v>
      </c>
      <c r="H56" s="713">
        <f t="shared" si="15"/>
        <v>0</v>
      </c>
    </row>
    <row r="57" spans="1:10" ht="13.5" customHeight="1">
      <c r="A57" s="719" t="s">
        <v>2955</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2957</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2959</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2960</v>
      </c>
      <c r="C61" s="720">
        <v>0</v>
      </c>
      <c r="D61" s="720">
        <v>0</v>
      </c>
      <c r="E61" s="720">
        <v>0</v>
      </c>
      <c r="F61" s="720">
        <v>0</v>
      </c>
      <c r="G61" s="720">
        <v>0</v>
      </c>
      <c r="H61" s="713">
        <v>0</v>
      </c>
    </row>
    <row r="62" spans="1:10">
      <c r="A62" s="619" t="s">
        <v>2961</v>
      </c>
      <c r="C62" s="720">
        <v>0</v>
      </c>
      <c r="D62" s="713">
        <v>0</v>
      </c>
      <c r="E62" s="713">
        <v>0</v>
      </c>
      <c r="F62" s="713">
        <v>0</v>
      </c>
      <c r="G62" s="713">
        <v>0</v>
      </c>
      <c r="H62" s="713">
        <v>0</v>
      </c>
    </row>
    <row r="63" spans="1:10">
      <c r="A63" s="619" t="s">
        <v>2963</v>
      </c>
      <c r="C63" s="713">
        <v>0</v>
      </c>
      <c r="D63" s="713">
        <v>0</v>
      </c>
      <c r="E63" s="713">
        <v>0</v>
      </c>
      <c r="F63" s="713">
        <v>0</v>
      </c>
      <c r="G63" s="713">
        <v>0</v>
      </c>
      <c r="H63" s="713" t="e">
        <f>O33</f>
        <v>#VALUE!</v>
      </c>
    </row>
    <row r="64" spans="1:10">
      <c r="A64" s="619" t="s">
        <v>2964</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2970</v>
      </c>
      <c r="G66" s="3250" t="e">
        <f>IRR(K5:K25)</f>
        <v>#VALUE!</v>
      </c>
      <c r="H66" s="3251"/>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53" t="str">
        <f>'Sensitivity Analysis'!C8</f>
        <v>Spring Creek Crossing</v>
      </c>
      <c r="B1" s="3253"/>
      <c r="C1" s="3253"/>
      <c r="D1" s="3253"/>
      <c r="E1" s="3253"/>
      <c r="F1" s="3253"/>
      <c r="G1" s="3253"/>
      <c r="H1" s="3253"/>
    </row>
    <row r="2" spans="1:8" s="2005" customFormat="1" ht="17.399999999999999" customHeight="1">
      <c r="A2" s="3252" t="s">
        <v>2971</v>
      </c>
      <c r="B2" s="3252"/>
      <c r="C2" s="3252"/>
      <c r="D2" s="3252"/>
      <c r="E2" s="3252"/>
      <c r="F2" s="3252"/>
      <c r="G2" s="3252"/>
      <c r="H2" s="3252"/>
    </row>
    <row r="3" spans="1:8" ht="9" customHeight="1">
      <c r="A3" s="2004"/>
      <c r="B3" s="2004"/>
      <c r="C3" s="2004"/>
      <c r="D3" s="2004"/>
      <c r="E3" s="2004"/>
      <c r="G3" s="2004"/>
      <c r="H3" s="2004"/>
    </row>
    <row r="4" spans="1:8" ht="12.6" customHeight="1">
      <c r="A4" s="3254" t="s">
        <v>6830</v>
      </c>
      <c r="B4" s="3254"/>
      <c r="C4" s="2006"/>
      <c r="D4" s="3254" t="s">
        <v>6831</v>
      </c>
      <c r="E4" s="3254"/>
      <c r="F4" s="2007"/>
      <c r="G4" s="3254" t="s">
        <v>6832</v>
      </c>
      <c r="H4" s="3254"/>
    </row>
    <row r="5" spans="1:8" ht="25.95" customHeight="1">
      <c r="A5" s="3255">
        <f>'Part III-Sources of Funds'!E38</f>
        <v>0</v>
      </c>
      <c r="B5" s="3256"/>
      <c r="C5" s="2005"/>
      <c r="D5" s="3255">
        <f>'Part III-Sources of Funds'!E39</f>
        <v>0</v>
      </c>
      <c r="E5" s="3256"/>
      <c r="F5" s="2008"/>
      <c r="G5" s="3255">
        <f>'Part III-Sources of Funds'!E40</f>
        <v>0</v>
      </c>
      <c r="H5" s="3256"/>
    </row>
    <row r="6" spans="1:8" ht="9" customHeight="1"/>
    <row r="7" spans="1:8" ht="15.6">
      <c r="A7" s="1179"/>
      <c r="B7" s="1179" t="s">
        <v>2972</v>
      </c>
      <c r="D7" s="1179"/>
      <c r="E7" s="1179" t="s">
        <v>2972</v>
      </c>
      <c r="G7" s="1179"/>
      <c r="H7" s="1179" t="s">
        <v>2972</v>
      </c>
    </row>
    <row r="8" spans="1:8" ht="15.6">
      <c r="A8" s="1216" t="s">
        <v>2415</v>
      </c>
      <c r="B8" s="1216" t="s">
        <v>2973</v>
      </c>
      <c r="D8" s="1216" t="s">
        <v>2415</v>
      </c>
      <c r="E8" s="1216" t="s">
        <v>2973</v>
      </c>
      <c r="G8" s="1216" t="s">
        <v>2415</v>
      </c>
      <c r="H8" s="1216" t="s">
        <v>2973</v>
      </c>
    </row>
    <row r="9" spans="1:8" ht="6" customHeight="1">
      <c r="A9" s="1180"/>
      <c r="B9" s="1180"/>
      <c r="D9" s="1180"/>
      <c r="E9" s="1180"/>
      <c r="G9" s="1180"/>
      <c r="H9" s="1180"/>
    </row>
    <row r="10" spans="1:8" ht="18" customHeight="1">
      <c r="A10" s="1181">
        <v>1</v>
      </c>
      <c r="B10" s="1182">
        <f>-'Part VII-Pro Forma'!$B25/12</f>
        <v>0</v>
      </c>
      <c r="D10" s="1181">
        <v>1</v>
      </c>
      <c r="E10" s="1182">
        <f>-'Part VII-Pro Forma'!$B26/12</f>
        <v>0</v>
      </c>
      <c r="G10" s="1181">
        <v>1</v>
      </c>
      <c r="H10" s="1182">
        <f>-'Part VII-Pro Forma'!$B27/12</f>
        <v>0</v>
      </c>
    </row>
    <row r="11" spans="1:8" ht="18" customHeight="1">
      <c r="A11" s="1181">
        <v>2</v>
      </c>
      <c r="B11" s="1182">
        <f>-'Part VII-Pro Forma'!$C25/12</f>
        <v>0</v>
      </c>
      <c r="D11" s="1181">
        <v>2</v>
      </c>
      <c r="E11" s="1182">
        <f>-'Part VII-Pro Forma'!$C26/12</f>
        <v>0</v>
      </c>
      <c r="G11" s="1181">
        <v>2</v>
      </c>
      <c r="H11" s="1182">
        <f>-'Part VII-Pro Forma'!$C27/12</f>
        <v>0</v>
      </c>
    </row>
    <row r="12" spans="1:8" ht="18" customHeight="1">
      <c r="A12" s="1181">
        <v>3</v>
      </c>
      <c r="B12" s="1182">
        <f>-'Part VII-Pro Forma'!$D25/12</f>
        <v>0</v>
      </c>
      <c r="D12" s="1181">
        <v>3</v>
      </c>
      <c r="E12" s="1182">
        <f>-'Part VII-Pro Forma'!$D26/12</f>
        <v>0</v>
      </c>
      <c r="G12" s="1181">
        <v>3</v>
      </c>
      <c r="H12" s="1182">
        <f>-'Part VII-Pro Forma'!$D27/12</f>
        <v>0</v>
      </c>
    </row>
    <row r="13" spans="1:8" ht="18" customHeight="1">
      <c r="A13" s="1183">
        <v>4</v>
      </c>
      <c r="B13" s="1182">
        <f>-'Part VII-Pro Forma'!$E25/12</f>
        <v>0</v>
      </c>
      <c r="D13" s="1183">
        <v>4</v>
      </c>
      <c r="E13" s="1182">
        <f>-'Part VII-Pro Forma'!$E26/12</f>
        <v>0</v>
      </c>
      <c r="G13" s="1183">
        <v>4</v>
      </c>
      <c r="H13" s="1182">
        <f>-'Part VII-Pro Forma'!$E27/12</f>
        <v>0</v>
      </c>
    </row>
    <row r="14" spans="1:8" ht="18" customHeight="1">
      <c r="A14" s="2011">
        <v>5</v>
      </c>
      <c r="B14" s="2010">
        <f>-'Part VII-Pro Forma'!$F25/12</f>
        <v>0</v>
      </c>
      <c r="D14" s="2011">
        <v>5</v>
      </c>
      <c r="E14" s="2010">
        <f>-'Part VII-Pro Forma'!$F26/12</f>
        <v>0</v>
      </c>
      <c r="G14" s="2011">
        <v>5</v>
      </c>
      <c r="H14" s="2010">
        <f>-'Part VII-Pro Forma'!$F27/12</f>
        <v>0</v>
      </c>
    </row>
    <row r="15" spans="1:8" ht="18" customHeight="1">
      <c r="A15" s="1181">
        <v>6</v>
      </c>
      <c r="B15" s="1182">
        <f>-'Part VII-Pro Forma'!$G25/12</f>
        <v>0</v>
      </c>
      <c r="D15" s="1181">
        <v>6</v>
      </c>
      <c r="E15" s="1182">
        <f>-'Part VII-Pro Forma'!$G26/12</f>
        <v>0</v>
      </c>
      <c r="G15" s="1181">
        <v>6</v>
      </c>
      <c r="H15" s="1182">
        <f>-'Part VII-Pro Forma'!$G27/12</f>
        <v>0</v>
      </c>
    </row>
    <row r="16" spans="1:8" ht="18" customHeight="1">
      <c r="A16" s="1181">
        <v>7</v>
      </c>
      <c r="B16" s="1182">
        <f>-'Part VII-Pro Forma'!$H25/12</f>
        <v>0</v>
      </c>
      <c r="D16" s="1181">
        <v>7</v>
      </c>
      <c r="E16" s="1182">
        <f>-'Part VII-Pro Forma'!$H26/12</f>
        <v>0</v>
      </c>
      <c r="G16" s="1181">
        <v>7</v>
      </c>
      <c r="H16" s="1182">
        <f>-'Part VII-Pro Forma'!$H27/12</f>
        <v>0</v>
      </c>
    </row>
    <row r="17" spans="1:8" ht="18" customHeight="1">
      <c r="A17" s="1183">
        <v>8</v>
      </c>
      <c r="B17" s="1182">
        <f>-'Part VII-Pro Forma'!$I25/12</f>
        <v>0</v>
      </c>
      <c r="D17" s="1183">
        <v>8</v>
      </c>
      <c r="E17" s="1182">
        <f>-'Part VII-Pro Forma'!$I26/12</f>
        <v>0</v>
      </c>
      <c r="G17" s="1183">
        <v>8</v>
      </c>
      <c r="H17" s="1182">
        <f>-'Part VII-Pro Forma'!$I27/12</f>
        <v>0</v>
      </c>
    </row>
    <row r="18" spans="1:8" ht="18" customHeight="1">
      <c r="A18" s="1181">
        <v>9</v>
      </c>
      <c r="B18" s="1182">
        <f>-'Part VII-Pro Forma'!$J25/12</f>
        <v>0</v>
      </c>
      <c r="D18" s="1181">
        <v>9</v>
      </c>
      <c r="E18" s="1182">
        <f>-'Part VII-Pro Forma'!$J26/12</f>
        <v>0</v>
      </c>
      <c r="G18" s="1181">
        <v>9</v>
      </c>
      <c r="H18" s="1182">
        <f>-'Part VII-Pro Forma'!$J27/12</f>
        <v>0</v>
      </c>
    </row>
    <row r="19" spans="1:8" ht="18" customHeight="1">
      <c r="A19" s="2009">
        <v>10</v>
      </c>
      <c r="B19" s="2010">
        <f>-'Part VII-Pro Forma'!$K25/12</f>
        <v>0</v>
      </c>
      <c r="D19" s="2009">
        <v>10</v>
      </c>
      <c r="E19" s="2010">
        <f>-'Part VII-Pro Forma'!$K26/12</f>
        <v>0</v>
      </c>
      <c r="G19" s="2009">
        <v>10</v>
      </c>
      <c r="H19" s="2010">
        <f>-'Part VII-Pro Forma'!$K27/12</f>
        <v>0</v>
      </c>
    </row>
    <row r="20" spans="1:8" ht="18" customHeight="1">
      <c r="A20" s="1183">
        <v>11</v>
      </c>
      <c r="B20" s="1182">
        <f>-'Part VII-Pro Forma'!$B57/12</f>
        <v>0</v>
      </c>
      <c r="D20" s="1183">
        <v>11</v>
      </c>
      <c r="E20" s="1182">
        <f>-'Part VII-Pro Forma'!$B58/12</f>
        <v>0</v>
      </c>
      <c r="G20" s="1183">
        <v>11</v>
      </c>
      <c r="H20" s="1182">
        <f>-'Part VII-Pro Forma'!$B59/12</f>
        <v>0</v>
      </c>
    </row>
    <row r="21" spans="1:8" ht="18" customHeight="1">
      <c r="A21" s="1181">
        <v>12</v>
      </c>
      <c r="B21" s="1182">
        <f>-'Part VII-Pro Forma'!$C57/12</f>
        <v>0</v>
      </c>
      <c r="D21" s="1181">
        <v>12</v>
      </c>
      <c r="E21" s="1182">
        <f>-'Part VII-Pro Forma'!$C58/12</f>
        <v>0</v>
      </c>
      <c r="G21" s="1181">
        <v>12</v>
      </c>
      <c r="H21" s="1182">
        <f>-'Part VII-Pro Forma'!$C59/12</f>
        <v>0</v>
      </c>
    </row>
    <row r="22" spans="1:8" ht="18" customHeight="1">
      <c r="A22" s="1181">
        <v>13</v>
      </c>
      <c r="B22" s="1182">
        <f>-'Part VII-Pro Forma'!$D57/12</f>
        <v>0</v>
      </c>
      <c r="D22" s="1181">
        <v>13</v>
      </c>
      <c r="E22" s="1182">
        <f>-'Part VII-Pro Forma'!$D58/12</f>
        <v>0</v>
      </c>
      <c r="G22" s="1181">
        <v>13</v>
      </c>
      <c r="H22" s="1182">
        <f>-'Part VII-Pro Forma'!$D59/12</f>
        <v>0</v>
      </c>
    </row>
    <row r="23" spans="1:8" ht="18" customHeight="1">
      <c r="A23" s="1181">
        <v>14</v>
      </c>
      <c r="B23" s="1182">
        <f>-'Part VII-Pro Forma'!$E57/12</f>
        <v>0</v>
      </c>
      <c r="D23" s="1181">
        <v>14</v>
      </c>
      <c r="E23" s="1182">
        <f>-'Part VII-Pro Forma'!$E58/12</f>
        <v>0</v>
      </c>
      <c r="G23" s="1181">
        <v>14</v>
      </c>
      <c r="H23" s="1182">
        <f>-'Part VII-Pro Forma'!$E59/12</f>
        <v>0</v>
      </c>
    </row>
    <row r="24" spans="1:8" ht="18" customHeight="1">
      <c r="A24" s="2009">
        <v>15</v>
      </c>
      <c r="B24" s="2010">
        <f>-'Part VII-Pro Forma'!$F57/12</f>
        <v>0</v>
      </c>
      <c r="D24" s="2009">
        <v>15</v>
      </c>
      <c r="E24" s="2010">
        <f>-'Part VII-Pro Forma'!$F58/12</f>
        <v>0</v>
      </c>
      <c r="G24" s="2009">
        <v>15</v>
      </c>
      <c r="H24" s="2010">
        <f>-'Part VII-Pro Forma'!$F59/12</f>
        <v>0</v>
      </c>
    </row>
    <row r="25" spans="1:8" ht="18" customHeight="1">
      <c r="A25" s="1181">
        <v>16</v>
      </c>
      <c r="B25" s="1182">
        <f>-'Part VII-Pro Forma'!$G57/12</f>
        <v>0</v>
      </c>
      <c r="D25" s="1181">
        <v>16</v>
      </c>
      <c r="E25" s="1182">
        <f>-'Part VII-Pro Forma'!$G58/12</f>
        <v>0</v>
      </c>
      <c r="G25" s="1181">
        <v>16</v>
      </c>
      <c r="H25" s="1182">
        <f>-'Part VII-Pro Forma'!$G59/12</f>
        <v>0</v>
      </c>
    </row>
    <row r="26" spans="1:8" ht="18" customHeight="1">
      <c r="A26" s="1181">
        <v>17</v>
      </c>
      <c r="B26" s="1182">
        <f>-'Part VII-Pro Forma'!$H57/12</f>
        <v>0</v>
      </c>
      <c r="D26" s="1181">
        <v>17</v>
      </c>
      <c r="E26" s="1182">
        <f>-'Part VII-Pro Forma'!$H58/12</f>
        <v>0</v>
      </c>
      <c r="G26" s="1181">
        <v>17</v>
      </c>
      <c r="H26" s="1182">
        <f>-'Part VII-Pro Forma'!$H59/12</f>
        <v>0</v>
      </c>
    </row>
    <row r="27" spans="1:8" ht="18" customHeight="1">
      <c r="A27" s="1181">
        <v>18</v>
      </c>
      <c r="B27" s="1182">
        <f>-'Part VII-Pro Forma'!$I57/12</f>
        <v>0</v>
      </c>
      <c r="D27" s="1181">
        <v>18</v>
      </c>
      <c r="E27" s="1182">
        <f>-'Part VII-Pro Forma'!$I58/12</f>
        <v>0</v>
      </c>
      <c r="G27" s="1181">
        <v>18</v>
      </c>
      <c r="H27" s="1182">
        <f>-'Part VII-Pro Forma'!$I59/12</f>
        <v>0</v>
      </c>
    </row>
    <row r="28" spans="1:8" ht="18" customHeight="1">
      <c r="A28" s="1181">
        <v>19</v>
      </c>
      <c r="B28" s="1182">
        <f>-'Part VII-Pro Forma'!$J57/12</f>
        <v>0</v>
      </c>
      <c r="D28" s="1181">
        <v>19</v>
      </c>
      <c r="E28" s="1182">
        <f>-'Part VII-Pro Forma'!$J58/12</f>
        <v>0</v>
      </c>
      <c r="G28" s="1181">
        <v>19</v>
      </c>
      <c r="H28" s="1182">
        <f>-'Part VII-Pro Forma'!$J59/12</f>
        <v>0</v>
      </c>
    </row>
    <row r="29" spans="1:8" ht="18" customHeight="1">
      <c r="A29" s="2009">
        <v>20</v>
      </c>
      <c r="B29" s="2010">
        <f>-'Part VII-Pro Forma'!$K57/12</f>
        <v>0</v>
      </c>
      <c r="D29" s="2009">
        <v>20</v>
      </c>
      <c r="E29" s="2010">
        <f>-'Part VII-Pro Forma'!$K58/12</f>
        <v>0</v>
      </c>
      <c r="G29" s="2009">
        <v>20</v>
      </c>
      <c r="H29" s="2010">
        <f>-'Part VII-Pro Forma'!$K59/12</f>
        <v>0</v>
      </c>
    </row>
    <row r="30" spans="1:8" ht="18" customHeight="1">
      <c r="A30" s="1181">
        <v>21</v>
      </c>
      <c r="B30" s="1182">
        <f>-'Part VII-Pro Forma'!$B89/12</f>
        <v>0</v>
      </c>
      <c r="D30" s="1181">
        <v>21</v>
      </c>
      <c r="E30" s="1182">
        <f>-'Part VII-Pro Forma'!$B90/12</f>
        <v>0</v>
      </c>
      <c r="G30" s="1181">
        <v>21</v>
      </c>
      <c r="H30" s="1182">
        <f>-'Part VII-Pro Forma'!$B91/12</f>
        <v>0</v>
      </c>
    </row>
    <row r="31" spans="1:8" ht="18" customHeight="1">
      <c r="A31" s="1181">
        <v>22</v>
      </c>
      <c r="B31" s="1182">
        <f>-'Part VII-Pro Forma'!$C89/12</f>
        <v>0</v>
      </c>
      <c r="D31" s="1181">
        <v>22</v>
      </c>
      <c r="E31" s="1182">
        <f>-'Part VII-Pro Forma'!$C90/12</f>
        <v>0</v>
      </c>
      <c r="G31" s="1181">
        <v>22</v>
      </c>
      <c r="H31" s="1182">
        <f>-'Part VII-Pro Forma'!$C91/12</f>
        <v>0</v>
      </c>
    </row>
    <row r="32" spans="1:8" ht="18" customHeight="1">
      <c r="A32" s="1181">
        <v>23</v>
      </c>
      <c r="B32" s="1182">
        <f>-'Part VII-Pro Forma'!$D89/12</f>
        <v>0</v>
      </c>
      <c r="D32" s="1181">
        <v>23</v>
      </c>
      <c r="E32" s="1182">
        <f>-'Part VII-Pro Forma'!$D90/12</f>
        <v>0</v>
      </c>
      <c r="G32" s="1181">
        <v>23</v>
      </c>
      <c r="H32" s="1182">
        <f>-'Part VII-Pro Forma'!$D91/12</f>
        <v>0</v>
      </c>
    </row>
    <row r="33" spans="1:8" ht="18" customHeight="1">
      <c r="A33" s="1181">
        <v>24</v>
      </c>
      <c r="B33" s="1182">
        <f>-'Part VII-Pro Forma'!$E89/12</f>
        <v>0</v>
      </c>
      <c r="D33" s="1181">
        <v>24</v>
      </c>
      <c r="E33" s="1182">
        <f>-'Part VII-Pro Forma'!$E90/12</f>
        <v>0</v>
      </c>
      <c r="G33" s="1181">
        <v>24</v>
      </c>
      <c r="H33" s="1182">
        <f>-'Part VII-Pro Forma'!$E91/12</f>
        <v>0</v>
      </c>
    </row>
    <row r="34" spans="1:8" ht="18" customHeight="1">
      <c r="A34" s="2009">
        <v>25</v>
      </c>
      <c r="B34" s="2010">
        <f>-'Part VII-Pro Forma'!$F89/12</f>
        <v>0</v>
      </c>
      <c r="D34" s="2009">
        <v>25</v>
      </c>
      <c r="E34" s="2010">
        <f>-'Part VII-Pro Forma'!$F90/12</f>
        <v>0</v>
      </c>
      <c r="G34" s="2009">
        <v>25</v>
      </c>
      <c r="H34" s="2010">
        <f>-'Part VII-Pro Forma'!$F91/12</f>
        <v>0</v>
      </c>
    </row>
    <row r="35" spans="1:8" ht="18" customHeight="1">
      <c r="A35" s="1181">
        <v>26</v>
      </c>
      <c r="B35" s="1182">
        <f>-'Part VII-Pro Forma'!$G89/12</f>
        <v>0</v>
      </c>
      <c r="D35" s="1181">
        <v>26</v>
      </c>
      <c r="E35" s="1182">
        <f>-'Part VII-Pro Forma'!$G90/12</f>
        <v>0</v>
      </c>
      <c r="G35" s="1181">
        <v>26</v>
      </c>
      <c r="H35" s="1182">
        <f>-'Part VII-Pro Forma'!$G91/12</f>
        <v>0</v>
      </c>
    </row>
    <row r="36" spans="1:8" ht="18" customHeight="1">
      <c r="A36" s="1181">
        <v>27</v>
      </c>
      <c r="B36" s="1182">
        <f>-'Part VII-Pro Forma'!$H89/12</f>
        <v>0</v>
      </c>
      <c r="D36" s="1181">
        <v>27</v>
      </c>
      <c r="E36" s="1182">
        <f>-'Part VII-Pro Forma'!$H90/12</f>
        <v>0</v>
      </c>
      <c r="G36" s="1181">
        <v>27</v>
      </c>
      <c r="H36" s="1182">
        <f>-'Part VII-Pro Forma'!$H91/12</f>
        <v>0</v>
      </c>
    </row>
    <row r="37" spans="1:8" ht="18" customHeight="1">
      <c r="A37" s="1181">
        <v>28</v>
      </c>
      <c r="B37" s="1182">
        <f>-'Part VII-Pro Forma'!$I89/12</f>
        <v>0</v>
      </c>
      <c r="D37" s="1181">
        <v>28</v>
      </c>
      <c r="E37" s="1182">
        <f>-'Part VII-Pro Forma'!$I90/12</f>
        <v>0</v>
      </c>
      <c r="G37" s="1181">
        <v>28</v>
      </c>
      <c r="H37" s="1182">
        <f>-'Part VII-Pro Forma'!$I91/12</f>
        <v>0</v>
      </c>
    </row>
    <row r="38" spans="1:8" ht="18" customHeight="1">
      <c r="A38" s="1181">
        <v>29</v>
      </c>
      <c r="B38" s="1182">
        <f>-'Part VII-Pro Forma'!$J89/12</f>
        <v>0</v>
      </c>
      <c r="D38" s="1181">
        <v>29</v>
      </c>
      <c r="E38" s="1182">
        <f>-'Part VII-Pro Forma'!$J90/12</f>
        <v>0</v>
      </c>
      <c r="G38" s="1181">
        <v>29</v>
      </c>
      <c r="H38" s="1182">
        <f>-'Part VII-Pro Forma'!$J91/12</f>
        <v>0</v>
      </c>
    </row>
    <row r="39" spans="1:8" ht="18" customHeight="1">
      <c r="A39" s="2009">
        <v>30</v>
      </c>
      <c r="B39" s="2010">
        <f>-'Part VII-Pro Forma'!$K89/12</f>
        <v>0</v>
      </c>
      <c r="D39" s="2009">
        <v>30</v>
      </c>
      <c r="E39" s="2010">
        <f>-'Part VII-Pro Forma'!$K90/12</f>
        <v>0</v>
      </c>
      <c r="G39" s="2009">
        <v>30</v>
      </c>
      <c r="H39" s="2010">
        <f>-'Part VII-Pro Forma'!$K91/12</f>
        <v>0</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0" t="str">
        <f>CONCATENATE("PART ONE - PROJECT INFORMATION"," - ",$O$6," ",$F$34,", ",'Part I-Project Information'!F38,", ",'Part I-Project Information'!J39," County")</f>
        <v>PART ONE - PROJECT INFORMATION - 2020-079 Spring Creek Crossing, Montezuma, Macon County</v>
      </c>
      <c r="B1" s="2411"/>
      <c r="C1" s="2411"/>
      <c r="D1" s="2411"/>
      <c r="E1" s="2411"/>
      <c r="F1" s="2411"/>
      <c r="G1" s="2411"/>
      <c r="H1" s="2411"/>
      <c r="I1" s="2411"/>
      <c r="J1" s="2411"/>
      <c r="K1" s="2411"/>
      <c r="L1" s="2411"/>
      <c r="M1" s="2411"/>
      <c r="N1" s="2411"/>
      <c r="O1" s="2411"/>
      <c r="P1" s="2412"/>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7" t="s">
        <v>6978</v>
      </c>
      <c r="B3" s="2417"/>
      <c r="C3" s="2417"/>
      <c r="D3" s="2417"/>
      <c r="E3" s="2417"/>
      <c r="F3" s="2417"/>
      <c r="G3" s="2417"/>
      <c r="H3" s="2417"/>
      <c r="I3" s="2417"/>
      <c r="J3" s="2417"/>
      <c r="K3" s="2417"/>
      <c r="L3" s="2417"/>
      <c r="M3" s="2417"/>
      <c r="N3" s="2417"/>
      <c r="O3" s="2417"/>
      <c r="P3" s="2417"/>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7" t="s">
        <v>2303</v>
      </c>
      <c r="F5" s="294"/>
      <c r="G5" s="269" t="s">
        <v>4323</v>
      </c>
      <c r="L5" s="841"/>
      <c r="P5" s="1030" t="s">
        <v>3647</v>
      </c>
    </row>
    <row r="6" spans="1:16" s="293" customFormat="1" ht="12" customHeight="1" thickBot="1">
      <c r="B6" s="2418" t="s">
        <v>6982</v>
      </c>
      <c r="C6" s="2418"/>
      <c r="D6" s="2418"/>
      <c r="E6" s="1208"/>
      <c r="F6" s="296"/>
      <c r="G6" s="269" t="s">
        <v>4322</v>
      </c>
      <c r="H6" s="2356"/>
      <c r="I6" s="2356"/>
      <c r="J6" s="2356"/>
      <c r="O6" s="3460" t="s">
        <v>7133</v>
      </c>
      <c r="P6" s="3461"/>
    </row>
    <row r="7" spans="1:16" s="293" customFormat="1" ht="12" customHeight="1">
      <c r="B7" s="2418"/>
      <c r="C7" s="2418"/>
      <c r="D7" s="2418"/>
      <c r="E7" s="1208"/>
      <c r="F7" s="511"/>
      <c r="G7" s="172" t="s">
        <v>3211</v>
      </c>
      <c r="H7" s="2356"/>
      <c r="I7" s="2356"/>
      <c r="J7" s="2356"/>
    </row>
    <row r="8" spans="1:16" s="293" customFormat="1" ht="6" customHeight="1">
      <c r="A8" s="471"/>
      <c r="B8" s="2418"/>
      <c r="C8" s="2418"/>
      <c r="D8" s="2418"/>
      <c r="E8" s="2356"/>
      <c r="H8" s="2356"/>
      <c r="I8" s="2356"/>
      <c r="M8" s="2356"/>
    </row>
    <row r="9" spans="1:16" s="293" customFormat="1" ht="13.35" customHeight="1">
      <c r="A9" s="295" t="s">
        <v>598</v>
      </c>
      <c r="B9" s="295" t="s">
        <v>2314</v>
      </c>
      <c r="D9" s="270"/>
      <c r="E9" s="297"/>
      <c r="F9" s="2345" t="s">
        <v>3603</v>
      </c>
      <c r="I9" s="2413">
        <f>'Part IV-A-Uses of Funds'!$J$184</f>
        <v>900000</v>
      </c>
      <c r="J9" s="2414"/>
      <c r="L9" s="293" t="s">
        <v>3604</v>
      </c>
      <c r="O9" s="2415">
        <f>'Part III-Sources of Funds'!$H$5</f>
        <v>0</v>
      </c>
      <c r="P9" s="2416"/>
    </row>
    <row r="10" spans="1:16" s="293" customFormat="1" ht="6" customHeight="1">
      <c r="A10" s="295"/>
      <c r="B10" s="295"/>
      <c r="D10" s="270"/>
      <c r="E10" s="297"/>
      <c r="F10" s="297"/>
      <c r="I10" s="298"/>
      <c r="N10" s="299"/>
    </row>
    <row r="11" spans="1:16" s="293" customFormat="1" ht="13.35" customHeight="1">
      <c r="A11" s="298" t="s">
        <v>722</v>
      </c>
      <c r="B11" s="295" t="s">
        <v>1991</v>
      </c>
      <c r="F11" s="3462" t="s">
        <v>6984</v>
      </c>
      <c r="G11" s="3463"/>
      <c r="H11" s="3464"/>
      <c r="I11" s="3465" t="s">
        <v>3534</v>
      </c>
      <c r="J11" s="492" t="s">
        <v>4790</v>
      </c>
      <c r="K11" s="303"/>
      <c r="L11" s="2356"/>
      <c r="O11" s="3466" t="s">
        <v>6986</v>
      </c>
      <c r="P11" s="3467"/>
    </row>
    <row r="12" spans="1:16" s="293" customFormat="1" ht="12.75" customHeight="1">
      <c r="A12" s="471"/>
      <c r="B12" s="1519"/>
      <c r="C12" s="1519"/>
      <c r="D12" s="1519"/>
      <c r="E12" s="1519"/>
      <c r="H12" s="2356"/>
      <c r="J12" s="1140" t="s">
        <v>4459</v>
      </c>
      <c r="K12" s="2347"/>
      <c r="M12" s="2356"/>
      <c r="O12" s="3468" t="s">
        <v>2887</v>
      </c>
      <c r="P12" s="3469"/>
    </row>
    <row r="13" spans="1:16" s="293" customFormat="1" ht="3" customHeight="1">
      <c r="A13" s="471"/>
      <c r="B13" s="1519"/>
      <c r="C13" s="1519"/>
      <c r="D13" s="1519"/>
      <c r="E13" s="1519"/>
      <c r="H13" s="2356"/>
      <c r="J13" s="493"/>
      <c r="K13" s="2347"/>
      <c r="M13" s="2356"/>
    </row>
    <row r="14" spans="1:16" s="293" customFormat="1" ht="12.75" customHeight="1">
      <c r="A14" s="471"/>
      <c r="B14" s="1519" t="s">
        <v>4815</v>
      </c>
      <c r="C14" s="1519"/>
      <c r="D14" s="1519"/>
      <c r="E14" s="1519"/>
      <c r="F14" s="3470" t="s">
        <v>2887</v>
      </c>
      <c r="G14" s="2348" t="s">
        <v>4816</v>
      </c>
      <c r="N14" s="3462"/>
      <c r="O14" s="3463"/>
      <c r="P14" s="3464"/>
    </row>
    <row r="15" spans="1:16" s="293" customFormat="1" ht="12.75" customHeight="1">
      <c r="A15" s="471"/>
      <c r="B15" s="293" t="s">
        <v>4798</v>
      </c>
      <c r="D15" s="303"/>
      <c r="F15" s="3471"/>
      <c r="G15" s="3472"/>
      <c r="H15" s="3472"/>
      <c r="I15" s="3473"/>
      <c r="J15" s="293" t="s">
        <v>4512</v>
      </c>
      <c r="L15" s="3474"/>
      <c r="M15" s="3475"/>
      <c r="N15" s="293" t="s">
        <v>4511</v>
      </c>
      <c r="P15" s="3476"/>
    </row>
    <row r="16" spans="1:16" s="293" customFormat="1" ht="12.75" customHeight="1">
      <c r="A16" s="471"/>
      <c r="B16" s="293" t="s">
        <v>3602</v>
      </c>
      <c r="F16" s="3470"/>
      <c r="G16" s="293" t="s">
        <v>4450</v>
      </c>
      <c r="H16" s="2356"/>
      <c r="I16" s="172"/>
      <c r="J16" s="493"/>
      <c r="N16" s="3477"/>
      <c r="O16" s="3478"/>
      <c r="P16" s="3479"/>
    </row>
    <row r="17" spans="1:16" s="293" customFormat="1" ht="6" customHeight="1">
      <c r="I17" s="270"/>
      <c r="J17" s="270"/>
      <c r="K17" s="270"/>
      <c r="L17" s="270"/>
      <c r="M17" s="270"/>
      <c r="N17" s="270"/>
      <c r="O17" s="270"/>
      <c r="P17" s="270"/>
    </row>
    <row r="18" spans="1:16" s="293" customFormat="1" ht="13.35" customHeight="1">
      <c r="A18" s="298" t="s">
        <v>724</v>
      </c>
      <c r="B18" s="295" t="s">
        <v>4113</v>
      </c>
      <c r="D18" s="2345"/>
      <c r="E18" s="297"/>
      <c r="G18" s="300"/>
      <c r="H18" s="300"/>
      <c r="I18" s="300"/>
      <c r="L18" s="299"/>
    </row>
    <row r="19" spans="1:16" s="293" customFormat="1" ht="1.5" customHeight="1">
      <c r="A19" s="298"/>
      <c r="B19" s="297"/>
      <c r="C19" s="295"/>
      <c r="D19" s="2345"/>
      <c r="E19" s="297"/>
      <c r="G19" s="300"/>
      <c r="H19" s="300"/>
      <c r="I19" s="300"/>
      <c r="K19" s="299"/>
      <c r="L19" s="299"/>
      <c r="O19" s="841"/>
    </row>
    <row r="20" spans="1:16" s="293" customFormat="1" ht="13.35" customHeight="1">
      <c r="B20" s="293" t="s">
        <v>3654</v>
      </c>
      <c r="F20" s="3480" t="s">
        <v>6987</v>
      </c>
      <c r="G20" s="3481"/>
      <c r="H20" s="3482"/>
      <c r="I20" s="1402" t="s">
        <v>1753</v>
      </c>
      <c r="J20" s="3480" t="s">
        <v>6988</v>
      </c>
      <c r="K20" s="3481"/>
      <c r="L20" s="3482"/>
      <c r="M20" s="325" t="s">
        <v>1932</v>
      </c>
      <c r="N20" s="3474" t="s">
        <v>6989</v>
      </c>
      <c r="O20" s="3483"/>
      <c r="P20" s="3475"/>
    </row>
    <row r="21" spans="1:16" s="293" customFormat="1" ht="13.35" customHeight="1">
      <c r="B21" s="2345" t="s">
        <v>1933</v>
      </c>
      <c r="F21" s="3484" t="s">
        <v>6990</v>
      </c>
      <c r="G21" s="3485"/>
      <c r="H21" s="3485"/>
      <c r="I21" s="3486"/>
      <c r="J21" s="3485"/>
      <c r="K21" s="3487"/>
      <c r="L21" s="3488"/>
      <c r="M21" s="2402" t="s">
        <v>3653</v>
      </c>
      <c r="N21" s="2403"/>
      <c r="O21" s="2403"/>
      <c r="P21" s="2403"/>
    </row>
    <row r="22" spans="1:16" s="293" customFormat="1" ht="13.35" customHeight="1">
      <c r="B22" s="2345" t="s">
        <v>600</v>
      </c>
      <c r="F22" s="3484" t="s">
        <v>2022</v>
      </c>
      <c r="G22" s="3485"/>
      <c r="H22" s="3489"/>
      <c r="I22" s="2345" t="s">
        <v>1754</v>
      </c>
      <c r="J22" s="3490" t="s">
        <v>818</v>
      </c>
      <c r="M22" s="2402"/>
      <c r="N22" s="2402"/>
      <c r="O22" s="2402"/>
      <c r="P22" s="2402"/>
    </row>
    <row r="23" spans="1:16" s="293" customFormat="1" ht="13.35" customHeight="1">
      <c r="B23" s="2348" t="s">
        <v>2172</v>
      </c>
      <c r="F23" s="3491">
        <v>368304303</v>
      </c>
      <c r="G23" s="3492"/>
      <c r="H23" s="3493"/>
      <c r="I23" s="2345" t="s">
        <v>1678</v>
      </c>
      <c r="J23" s="3494">
        <v>3343210529</v>
      </c>
      <c r="K23" s="3495"/>
      <c r="L23" s="2362" t="s">
        <v>1677</v>
      </c>
      <c r="M23" s="3496"/>
      <c r="N23" s="2348" t="s">
        <v>1679</v>
      </c>
      <c r="O23" s="3497">
        <v>3343210529</v>
      </c>
      <c r="P23" s="3495"/>
    </row>
    <row r="24" spans="1:16" s="293" customFormat="1" ht="13.35" customHeight="1">
      <c r="B24" s="2348" t="s">
        <v>1936</v>
      </c>
      <c r="F24" s="3498" t="s">
        <v>6991</v>
      </c>
      <c r="G24" s="3486"/>
      <c r="H24" s="3486"/>
      <c r="I24" s="3483"/>
      <c r="J24" s="3486"/>
      <c r="K24" s="3499"/>
      <c r="N24" s="2348" t="s">
        <v>1931</v>
      </c>
      <c r="O24" s="3500">
        <v>3344440967</v>
      </c>
      <c r="P24" s="3501"/>
    </row>
    <row r="25" spans="1:16" s="293" customFormat="1" ht="13.5" customHeight="1">
      <c r="A25" s="471"/>
      <c r="B25" s="295" t="s">
        <v>4112</v>
      </c>
      <c r="C25" s="301"/>
      <c r="D25" s="2353"/>
      <c r="E25" s="2353"/>
      <c r="F25" s="2353"/>
      <c r="H25" s="2356"/>
      <c r="I25" s="2353"/>
      <c r="J25" s="301"/>
      <c r="K25" s="2353"/>
      <c r="P25" s="302"/>
    </row>
    <row r="26" spans="1:16" s="293" customFormat="1" ht="13.35" customHeight="1">
      <c r="B26" s="293" t="s">
        <v>3654</v>
      </c>
      <c r="F26" s="3480"/>
      <c r="G26" s="3481"/>
      <c r="H26" s="3482"/>
      <c r="I26" s="1402" t="s">
        <v>1753</v>
      </c>
      <c r="J26" s="3480"/>
      <c r="K26" s="3481"/>
      <c r="L26" s="3482"/>
      <c r="M26" s="325" t="s">
        <v>1932</v>
      </c>
      <c r="N26" s="3474"/>
      <c r="O26" s="3483"/>
      <c r="P26" s="3475"/>
    </row>
    <row r="27" spans="1:16" s="293" customFormat="1" ht="13.35" customHeight="1">
      <c r="B27" s="2345" t="s">
        <v>1933</v>
      </c>
      <c r="F27" s="3484"/>
      <c r="G27" s="3485"/>
      <c r="H27" s="3485"/>
      <c r="I27" s="3486"/>
      <c r="J27" s="3485"/>
      <c r="K27" s="3487"/>
      <c r="L27" s="3488"/>
      <c r="M27" s="2402" t="s">
        <v>3653</v>
      </c>
      <c r="N27" s="2403"/>
      <c r="O27" s="2403"/>
      <c r="P27" s="2403"/>
    </row>
    <row r="28" spans="1:16" s="293" customFormat="1" ht="13.35" customHeight="1">
      <c r="B28" s="2345" t="s">
        <v>600</v>
      </c>
      <c r="F28" s="3484"/>
      <c r="G28" s="3485"/>
      <c r="H28" s="3489"/>
      <c r="I28" s="2345" t="s">
        <v>1754</v>
      </c>
      <c r="J28" s="3490"/>
      <c r="M28" s="2402"/>
      <c r="N28" s="2402"/>
      <c r="O28" s="2402"/>
      <c r="P28" s="2402"/>
    </row>
    <row r="29" spans="1:16" s="293" customFormat="1" ht="13.35" customHeight="1">
      <c r="B29" s="2348" t="s">
        <v>2172</v>
      </c>
      <c r="F29" s="3491"/>
      <c r="G29" s="3492"/>
      <c r="H29" s="3493"/>
      <c r="I29" s="2345" t="s">
        <v>1678</v>
      </c>
      <c r="J29" s="3494"/>
      <c r="K29" s="3495"/>
      <c r="L29" s="2362" t="s">
        <v>1677</v>
      </c>
      <c r="M29" s="3496"/>
      <c r="N29" s="2348" t="s">
        <v>1679</v>
      </c>
      <c r="O29" s="3497"/>
      <c r="P29" s="3495"/>
    </row>
    <row r="30" spans="1:16" s="293" customFormat="1" ht="13.35" customHeight="1">
      <c r="B30" s="2348" t="s">
        <v>1936</v>
      </c>
      <c r="F30" s="3498"/>
      <c r="G30" s="3486"/>
      <c r="H30" s="3486"/>
      <c r="I30" s="3483"/>
      <c r="J30" s="3486"/>
      <c r="K30" s="3499"/>
      <c r="N30" s="2348" t="s">
        <v>1931</v>
      </c>
      <c r="O30" s="3500"/>
      <c r="P30" s="3501"/>
    </row>
    <row r="31" spans="1:16" s="293" customFormat="1" ht="6" customHeight="1">
      <c r="A31" s="471"/>
      <c r="B31" s="471"/>
      <c r="C31" s="301"/>
      <c r="D31" s="2353"/>
      <c r="E31" s="2353"/>
      <c r="F31" s="2353"/>
      <c r="H31" s="2356"/>
      <c r="I31" s="2353"/>
      <c r="J31" s="301"/>
      <c r="K31" s="2353"/>
      <c r="P31" s="302"/>
    </row>
    <row r="32" spans="1:16" s="293" customFormat="1" ht="13.35" customHeight="1">
      <c r="A32" s="298" t="s">
        <v>1748</v>
      </c>
      <c r="B32" s="295" t="s">
        <v>1443</v>
      </c>
      <c r="D32" s="270"/>
      <c r="E32" s="297"/>
      <c r="F32" s="297"/>
      <c r="G32" s="2345"/>
      <c r="H32" s="297"/>
      <c r="I32" s="297"/>
      <c r="J32" s="300"/>
      <c r="L32" s="299"/>
      <c r="M32" s="299"/>
    </row>
    <row r="33" spans="1:16" s="293" customFormat="1" ht="1.5" customHeight="1">
      <c r="A33" s="298"/>
      <c r="B33" s="295"/>
      <c r="D33" s="270"/>
      <c r="E33" s="297"/>
      <c r="F33" s="297"/>
      <c r="G33" s="2345"/>
      <c r="H33" s="297"/>
      <c r="I33" s="297"/>
      <c r="J33" s="300"/>
      <c r="L33" s="299"/>
    </row>
    <row r="34" spans="1:16" s="293" customFormat="1" ht="13.35" customHeight="1">
      <c r="A34" s="295"/>
      <c r="B34" s="293" t="s">
        <v>599</v>
      </c>
      <c r="D34" s="303"/>
      <c r="F34" s="3502" t="s">
        <v>6993</v>
      </c>
      <c r="G34" s="3503"/>
      <c r="H34" s="3503"/>
      <c r="I34" s="3503"/>
      <c r="J34" s="3503"/>
      <c r="K34" s="3504"/>
      <c r="L34" s="2348" t="s">
        <v>2141</v>
      </c>
      <c r="O34" s="3480" t="s">
        <v>2887</v>
      </c>
      <c r="P34" s="3482"/>
    </row>
    <row r="35" spans="1:16" s="293" customFormat="1" ht="13.35" customHeight="1">
      <c r="A35" s="304"/>
      <c r="B35" s="293" t="s">
        <v>2619</v>
      </c>
      <c r="D35" s="305"/>
      <c r="F35" s="3505" t="s">
        <v>7062</v>
      </c>
      <c r="G35" s="3506"/>
      <c r="H35" s="3506"/>
      <c r="I35" s="3506"/>
      <c r="J35" s="3506"/>
      <c r="K35" s="3507"/>
      <c r="L35" s="293" t="s">
        <v>3506</v>
      </c>
      <c r="O35" s="3508"/>
      <c r="P35" s="3489"/>
    </row>
    <row r="36" spans="1:16" s="293" customFormat="1" ht="13.35" customHeight="1">
      <c r="A36" s="304"/>
      <c r="B36" s="293" t="s">
        <v>2648</v>
      </c>
      <c r="D36" s="305"/>
      <c r="F36" s="3508" t="s">
        <v>7115</v>
      </c>
      <c r="G36" s="3485"/>
      <c r="H36" s="3485"/>
      <c r="I36" s="3487"/>
      <c r="J36" s="3485"/>
      <c r="K36" s="3489"/>
      <c r="L36" s="2348" t="s">
        <v>2001</v>
      </c>
      <c r="N36" s="3496" t="s">
        <v>2887</v>
      </c>
      <c r="O36" s="2356" t="s">
        <v>3505</v>
      </c>
      <c r="P36" s="3509">
        <v>1</v>
      </c>
    </row>
    <row r="37" spans="1:16" s="293" customFormat="1" ht="13.35" customHeight="1">
      <c r="A37" s="304"/>
      <c r="B37" s="293" t="s">
        <v>3552</v>
      </c>
      <c r="D37" s="305"/>
      <c r="F37" s="293" t="s">
        <v>3535</v>
      </c>
      <c r="G37" s="3510">
        <v>32.293562999999999</v>
      </c>
      <c r="H37" s="3511"/>
      <c r="I37" s="2362" t="s">
        <v>3536</v>
      </c>
      <c r="J37" s="3510">
        <v>-84.016007999999999</v>
      </c>
      <c r="K37" s="3511"/>
      <c r="L37" s="2348" t="s">
        <v>2224</v>
      </c>
      <c r="O37" s="3512">
        <v>7.81</v>
      </c>
      <c r="P37" s="3513"/>
    </row>
    <row r="38" spans="1:16" s="293" customFormat="1" ht="13.35" customHeight="1">
      <c r="A38" s="471"/>
      <c r="B38" s="293" t="s">
        <v>600</v>
      </c>
      <c r="F38" s="3480" t="s">
        <v>457</v>
      </c>
      <c r="G38" s="3514"/>
      <c r="H38" s="3515"/>
      <c r="I38" s="309" t="s">
        <v>2620</v>
      </c>
      <c r="J38" s="3491">
        <v>310631806</v>
      </c>
      <c r="K38" s="3493"/>
      <c r="L38" s="363" t="str">
        <f>IF(AND(NOT(F34=""),NOT(F38="Select from list"),J38=""),"Enter Zip!","")</f>
        <v/>
      </c>
      <c r="M38" s="307" t="s">
        <v>2801</v>
      </c>
      <c r="O38" s="3516" t="s">
        <v>6345</v>
      </c>
      <c r="P38" s="3517"/>
    </row>
    <row r="39" spans="1:16" s="293" customFormat="1" ht="13.35" customHeight="1">
      <c r="A39" s="471"/>
      <c r="B39" s="2353" t="s">
        <v>4487</v>
      </c>
      <c r="D39" s="2353"/>
      <c r="F39" s="3508" t="s">
        <v>6983</v>
      </c>
      <c r="G39" s="3487"/>
      <c r="H39" s="3488"/>
      <c r="I39" s="306" t="s">
        <v>601</v>
      </c>
      <c r="J39" s="3518" t="str">
        <f>IF(F38="","",VLOOKUP(F38,'DCA Underwriting Assumptions'!$T$173:$U$801,2,FALSE))</f>
        <v>Macon</v>
      </c>
      <c r="K39" s="3519"/>
      <c r="M39" s="2348" t="s">
        <v>442</v>
      </c>
      <c r="N39" s="3520" t="s">
        <v>2884</v>
      </c>
      <c r="O39" s="2356" t="s">
        <v>443</v>
      </c>
      <c r="P39" s="3476" t="s">
        <v>2887</v>
      </c>
    </row>
    <row r="40" spans="1:16" s="293" customFormat="1" ht="13.35" customHeight="1">
      <c r="A40" s="471"/>
      <c r="B40" s="295"/>
      <c r="C40" s="293" t="s">
        <v>1525</v>
      </c>
      <c r="F40" s="3521" t="s">
        <v>2884</v>
      </c>
      <c r="G40" s="2406" t="s">
        <v>2689</v>
      </c>
      <c r="H40" s="2407"/>
      <c r="I40" s="499" t="str">
        <f>IF($J$39="","",IF(VLOOKUP($J$39,'DCA Underwriting Assumptions'!G173:M332,7,FALSE)="Rural","Yes",IF(VLOOKUP($J$39,'DCA Underwriting Assumptions'!G173:M332,7,FALSE)="Urban","No","")))</f>
        <v>Yes</v>
      </c>
      <c r="J40" s="2362" t="s">
        <v>2707</v>
      </c>
      <c r="K40" s="1557" t="str">
        <f>IF(OR(F40="Yes",I40="Yes"),"Rural","Urban")</f>
        <v>Rural</v>
      </c>
      <c r="M40" s="2348" t="s">
        <v>2543</v>
      </c>
      <c r="N40" s="1558" t="str">
        <f>VLOOKUP($J$39,'DCA Underwriting Assumptions'!$G$173:$J$332,4)</f>
        <v>Non-MSA</v>
      </c>
      <c r="O40" s="3522" t="str">
        <f>IF($F$38="","",VLOOKUP($J$39,'DCA Underwriting Assumptions'!$G$173:$L$332,3,FALSE))</f>
        <v>Macon Co.</v>
      </c>
      <c r="P40" s="3523"/>
    </row>
    <row r="41" spans="1:16" s="293" customFormat="1" ht="6" customHeight="1">
      <c r="A41" s="471"/>
      <c r="B41" s="295"/>
      <c r="C41" s="295"/>
      <c r="I41" s="2345"/>
      <c r="J41" s="2353"/>
      <c r="L41" s="2365"/>
      <c r="M41" s="2365"/>
      <c r="N41" s="2365"/>
      <c r="O41" s="2365"/>
      <c r="P41" s="2365"/>
    </row>
    <row r="42" spans="1:16" s="293" customFormat="1" ht="13.35" customHeight="1">
      <c r="A42" s="471"/>
      <c r="C42" s="293" t="s">
        <v>2657</v>
      </c>
      <c r="F42" s="2408" t="s">
        <v>2672</v>
      </c>
      <c r="G42" s="2408"/>
      <c r="H42" s="2409" t="s">
        <v>718</v>
      </c>
      <c r="I42" s="2409"/>
      <c r="J42" s="2409" t="s">
        <v>719</v>
      </c>
      <c r="K42" s="2409"/>
      <c r="L42" s="486" t="s">
        <v>4377</v>
      </c>
    </row>
    <row r="43" spans="1:16" s="293" customFormat="1" ht="13.35" customHeight="1">
      <c r="A43" s="471"/>
      <c r="B43" s="293" t="s">
        <v>2671</v>
      </c>
      <c r="D43" s="295"/>
      <c r="F43" s="3524">
        <v>2</v>
      </c>
      <c r="G43" s="3525"/>
      <c r="H43" s="3524">
        <v>15</v>
      </c>
      <c r="I43" s="3525"/>
      <c r="J43" s="3524">
        <v>139</v>
      </c>
      <c r="K43" s="3525"/>
      <c r="L43" s="482" t="s">
        <v>1257</v>
      </c>
      <c r="N43" s="2404" t="s">
        <v>1258</v>
      </c>
      <c r="O43" s="2404"/>
      <c r="P43" s="2404"/>
    </row>
    <row r="44" spans="1:16" s="293" customFormat="1" ht="12.75" customHeight="1">
      <c r="A44" s="471"/>
      <c r="B44" s="2345" t="s">
        <v>720</v>
      </c>
      <c r="F44" s="3526"/>
      <c r="G44" s="3527"/>
      <c r="H44" s="3526"/>
      <c r="I44" s="3527"/>
      <c r="J44" s="3526"/>
      <c r="K44" s="3527"/>
      <c r="L44" s="482" t="s">
        <v>2670</v>
      </c>
      <c r="N44" s="2405" t="s">
        <v>2669</v>
      </c>
      <c r="O44" s="2405"/>
    </row>
    <row r="45" spans="1:16" s="293" customFormat="1" ht="3" customHeight="1">
      <c r="A45" s="471"/>
      <c r="I45" s="2365"/>
      <c r="J45" s="2365"/>
      <c r="K45" s="2365"/>
      <c r="L45" s="2353"/>
      <c r="M45" s="2353"/>
      <c r="N45" s="2353"/>
      <c r="O45" s="2353"/>
      <c r="P45" s="2353"/>
    </row>
    <row r="46" spans="1:16" s="293" customFormat="1" ht="13.35" customHeight="1">
      <c r="A46" s="471"/>
      <c r="B46" s="295" t="s">
        <v>619</v>
      </c>
      <c r="F46" s="3528" t="s">
        <v>7063</v>
      </c>
      <c r="G46" s="3529"/>
      <c r="H46" s="3529"/>
      <c r="I46" s="3530"/>
      <c r="J46" s="3529"/>
      <c r="K46" s="3531"/>
      <c r="L46" s="840" t="s">
        <v>2624</v>
      </c>
      <c r="M46" s="3474" t="s">
        <v>7067</v>
      </c>
      <c r="N46" s="3483"/>
      <c r="O46" s="3483"/>
      <c r="P46" s="3475"/>
    </row>
    <row r="47" spans="1:16" s="293" customFormat="1" ht="13.35" customHeight="1">
      <c r="A47" s="471"/>
      <c r="B47" s="293" t="s">
        <v>620</v>
      </c>
      <c r="F47" s="3532" t="s">
        <v>7069</v>
      </c>
      <c r="G47" s="3533"/>
      <c r="H47" s="3534"/>
      <c r="I47" s="1007" t="s">
        <v>1932</v>
      </c>
      <c r="J47" s="3505" t="s">
        <v>7070</v>
      </c>
      <c r="K47" s="3507"/>
      <c r="L47" s="840"/>
    </row>
    <row r="48" spans="1:16" s="293" customFormat="1" ht="13.35" customHeight="1">
      <c r="A48" s="471"/>
      <c r="B48" s="293" t="s">
        <v>1933</v>
      </c>
      <c r="F48" s="3535" t="s">
        <v>7068</v>
      </c>
      <c r="G48" s="3536"/>
      <c r="H48" s="3537"/>
      <c r="I48" s="3529"/>
      <c r="J48" s="3536"/>
      <c r="K48" s="3538"/>
      <c r="L48" s="2346" t="s">
        <v>600</v>
      </c>
      <c r="M48" s="3539" t="s">
        <v>457</v>
      </c>
      <c r="N48" s="3540"/>
      <c r="O48" s="3540"/>
      <c r="P48" s="3541"/>
    </row>
    <row r="49" spans="1:19" s="293" customFormat="1" ht="13.35" customHeight="1">
      <c r="A49" s="471"/>
      <c r="B49" s="2348" t="s">
        <v>2172</v>
      </c>
      <c r="F49" s="3542">
        <v>310630000</v>
      </c>
      <c r="G49" s="3543"/>
      <c r="H49" s="2362" t="s">
        <v>1934</v>
      </c>
      <c r="I49" s="3544">
        <v>4784728144</v>
      </c>
      <c r="J49" s="3545"/>
      <c r="K49" s="3546"/>
      <c r="L49" s="2345" t="s">
        <v>1755</v>
      </c>
      <c r="M49" s="3547" t="s">
        <v>7071</v>
      </c>
      <c r="N49" s="3548"/>
      <c r="O49" s="3548"/>
      <c r="P49" s="3549"/>
    </row>
    <row r="50" spans="1:19" s="293" customFormat="1" ht="6" customHeight="1">
      <c r="A50" s="471"/>
      <c r="B50" s="471"/>
      <c r="C50" s="308"/>
      <c r="D50" s="309"/>
      <c r="E50" s="309"/>
      <c r="F50" s="2356"/>
      <c r="G50" s="2356"/>
      <c r="H50" s="2356"/>
      <c r="I50" s="2356"/>
      <c r="J50" s="309"/>
      <c r="K50" s="2356"/>
      <c r="L50" s="2356"/>
      <c r="N50" s="2353"/>
      <c r="O50" s="2353"/>
      <c r="P50" s="302"/>
    </row>
    <row r="51" spans="1:19" s="293" customFormat="1" ht="12" customHeight="1">
      <c r="A51" s="298" t="s">
        <v>1750</v>
      </c>
      <c r="B51" s="295" t="s">
        <v>1444</v>
      </c>
      <c r="F51" s="310"/>
      <c r="I51" s="2348"/>
      <c r="J51" s="2353"/>
      <c r="K51" s="2353"/>
      <c r="L51" s="2353"/>
      <c r="M51" s="2353"/>
    </row>
    <row r="52" spans="1:19" s="293" customFormat="1" ht="1.5" customHeight="1">
      <c r="A52" s="471"/>
      <c r="B52" s="295"/>
      <c r="C52" s="295"/>
      <c r="I52" s="2348"/>
      <c r="J52" s="2353"/>
      <c r="K52" s="2353"/>
      <c r="L52" s="2353"/>
      <c r="M52" s="2353"/>
      <c r="N52" s="2353"/>
      <c r="O52" s="2353"/>
      <c r="P52" s="2353"/>
      <c r="Q52" s="2353"/>
    </row>
    <row r="53" spans="1:19" s="293" customFormat="1">
      <c r="A53" s="471"/>
      <c r="B53" s="471" t="s">
        <v>1935</v>
      </c>
      <c r="C53" s="295" t="s">
        <v>700</v>
      </c>
      <c r="I53" s="2353"/>
      <c r="J53" s="2353"/>
      <c r="K53" s="483"/>
      <c r="L53" s="2353"/>
      <c r="M53" s="485"/>
      <c r="N53" s="485"/>
      <c r="O53" s="485"/>
      <c r="P53" s="485"/>
      <c r="Q53" s="2356"/>
    </row>
    <row r="54" spans="1:19" ht="13.35" customHeight="1">
      <c r="B54" s="471"/>
      <c r="C54" s="293" t="s">
        <v>2236</v>
      </c>
      <c r="D54" s="293"/>
      <c r="E54" s="293"/>
      <c r="H54" s="1024">
        <f>'Part VI-Revenues &amp; Expenses'!$P$115</f>
        <v>50</v>
      </c>
      <c r="K54" s="2345" t="s">
        <v>3498</v>
      </c>
      <c r="L54" s="293"/>
      <c r="M54" s="883" t="s">
        <v>3497</v>
      </c>
      <c r="N54" s="312">
        <f>'Part VI-Revenues &amp; Expenses'!$P$122</f>
        <v>0</v>
      </c>
      <c r="O54" s="884" t="s">
        <v>3249</v>
      </c>
      <c r="P54" s="312">
        <f>'Part VI-Revenues &amp; Expenses'!$P$123</f>
        <v>0</v>
      </c>
      <c r="Q54" s="2356"/>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5" t="s">
        <v>341</v>
      </c>
      <c r="D56" s="2353"/>
      <c r="H56" s="1026">
        <f>'Part VI-Revenues &amp; Expenses'!$P$118</f>
        <v>0</v>
      </c>
      <c r="I56" s="472" t="s">
        <v>2805</v>
      </c>
      <c r="K56" s="293" t="s">
        <v>343</v>
      </c>
      <c r="P56" s="3550"/>
      <c r="Q56" s="2356"/>
    </row>
    <row r="57" spans="1:19" s="293" customFormat="1" ht="3.6" customHeight="1">
      <c r="A57" s="471"/>
      <c r="P57" s="2353"/>
    </row>
    <row r="58" spans="1:19" s="293" customFormat="1">
      <c r="A58" s="471"/>
      <c r="B58" s="471" t="s">
        <v>1937</v>
      </c>
      <c r="C58" s="295" t="s">
        <v>2237</v>
      </c>
      <c r="H58" s="3551" t="s">
        <v>2887</v>
      </c>
      <c r="K58" s="2353"/>
      <c r="L58" s="2353"/>
      <c r="M58" s="2353"/>
      <c r="N58" s="2353"/>
      <c r="O58" s="485"/>
      <c r="P58" s="483"/>
      <c r="Q58" s="2353"/>
    </row>
    <row r="59" spans="1:19" s="293" customFormat="1" ht="3" customHeight="1">
      <c r="A59" s="471"/>
      <c r="I59" s="2353"/>
      <c r="J59" s="483"/>
      <c r="K59" s="484"/>
      <c r="L59" s="483"/>
      <c r="M59" s="484"/>
      <c r="N59" s="484"/>
      <c r="O59" s="484"/>
      <c r="P59" s="484"/>
      <c r="Q59" s="2353"/>
    </row>
    <row r="60" spans="1:19" s="293" customFormat="1" ht="13.35" customHeight="1">
      <c r="A60" s="471"/>
      <c r="B60" s="304" t="s">
        <v>731</v>
      </c>
      <c r="C60" s="303" t="s">
        <v>2217</v>
      </c>
      <c r="D60" s="2353"/>
      <c r="I60" s="2357" t="s">
        <v>3432</v>
      </c>
      <c r="J60" s="304" t="s">
        <v>2064</v>
      </c>
      <c r="K60" s="314" t="s">
        <v>2242</v>
      </c>
      <c r="M60" s="2353"/>
      <c r="N60" s="2353"/>
      <c r="O60" s="2353"/>
      <c r="P60" s="2356"/>
      <c r="Q60" s="2356"/>
      <c r="R60" s="2356"/>
      <c r="S60" s="2353"/>
    </row>
    <row r="61" spans="1:19" s="293" customFormat="1" ht="13.35" customHeight="1">
      <c r="A61" s="471"/>
      <c r="B61" s="2349"/>
      <c r="C61" s="301" t="s">
        <v>2218</v>
      </c>
      <c r="D61" s="2353"/>
      <c r="E61" s="2353"/>
      <c r="H61" s="605">
        <f>SUM(H62:H68)</f>
        <v>50</v>
      </c>
      <c r="I61" s="605">
        <f>SUM(I62:I68)</f>
        <v>0</v>
      </c>
      <c r="J61" s="471"/>
      <c r="K61" s="301" t="s">
        <v>2681</v>
      </c>
      <c r="M61" s="2353"/>
      <c r="N61" s="2353"/>
      <c r="O61" s="2353"/>
      <c r="P61" s="1346">
        <f>SUM(P62:P68)</f>
        <v>53100</v>
      </c>
    </row>
    <row r="62" spans="1:19" s="293" customFormat="1" ht="13.35" customHeight="1">
      <c r="A62" s="471"/>
      <c r="B62" s="2349"/>
      <c r="C62" s="301"/>
      <c r="D62" s="316" t="s">
        <v>4214</v>
      </c>
      <c r="E62" s="2353"/>
      <c r="H62" s="818">
        <f>'Part VI-Revenues &amp; Expenses'!$P$56</f>
        <v>0</v>
      </c>
      <c r="I62" s="818">
        <f>'Part VI-Revenues &amp; Expenses'!$P$93</f>
        <v>0</v>
      </c>
      <c r="J62" s="471"/>
      <c r="K62" s="301"/>
      <c r="L62" s="316" t="s">
        <v>4214</v>
      </c>
      <c r="M62" s="2353"/>
      <c r="N62" s="2353"/>
      <c r="O62" s="2353"/>
      <c r="P62" s="818">
        <f>'Part VI-Revenues &amp; Expenses'!$P$159</f>
        <v>0</v>
      </c>
    </row>
    <row r="63" spans="1:19" s="293" customFormat="1" ht="13.35" customHeight="1">
      <c r="A63" s="471"/>
      <c r="B63" s="2349"/>
      <c r="C63" s="301"/>
      <c r="D63" s="316" t="s">
        <v>4215</v>
      </c>
      <c r="E63" s="2353"/>
      <c r="H63" s="1348">
        <f>'Part VI-Revenues &amp; Expenses'!$P$57</f>
        <v>10</v>
      </c>
      <c r="I63" s="1348">
        <f>'Part VI-Revenues &amp; Expenses'!$P$94</f>
        <v>0</v>
      </c>
      <c r="J63" s="471"/>
      <c r="K63" s="301"/>
      <c r="L63" s="316" t="s">
        <v>4215</v>
      </c>
      <c r="M63" s="2353"/>
      <c r="N63" s="2353"/>
      <c r="O63" s="2353"/>
      <c r="P63" s="1348">
        <f>'Part VI-Revenues &amp; Expenses'!$P$160</f>
        <v>10620</v>
      </c>
    </row>
    <row r="64" spans="1:19" s="293" customFormat="1" ht="13.35" customHeight="1">
      <c r="A64" s="471"/>
      <c r="B64" s="311"/>
      <c r="D64" s="316" t="s">
        <v>4212</v>
      </c>
      <c r="E64" s="316"/>
      <c r="H64" s="1348">
        <f>'Part VI-Revenues &amp; Expenses'!$P$58</f>
        <v>20</v>
      </c>
      <c r="I64" s="1348">
        <f>'Part VI-Revenues &amp; Expenses'!$P$95</f>
        <v>0</v>
      </c>
      <c r="L64" s="316" t="s">
        <v>4212</v>
      </c>
      <c r="O64" s="2353"/>
      <c r="P64" s="1348">
        <f>'Part VI-Revenues &amp; Expenses'!$P$161</f>
        <v>21240</v>
      </c>
    </row>
    <row r="65" spans="1:16" s="293" customFormat="1" ht="13.35" customHeight="1">
      <c r="A65" s="471"/>
      <c r="D65" s="316" t="s">
        <v>4213</v>
      </c>
      <c r="E65" s="2353"/>
      <c r="H65" s="1348">
        <f>'Part VI-Revenues &amp; Expenses'!$P$59</f>
        <v>20</v>
      </c>
      <c r="I65" s="1348">
        <f>'Part VI-Revenues &amp; Expenses'!$P$96</f>
        <v>0</v>
      </c>
      <c r="L65" s="316" t="s">
        <v>4213</v>
      </c>
      <c r="O65" s="2353"/>
      <c r="P65" s="1348">
        <f>'Part VI-Revenues &amp; Expenses'!$P$162</f>
        <v>21240</v>
      </c>
    </row>
    <row r="66" spans="1:16" s="293" customFormat="1" ht="13.35" customHeight="1">
      <c r="A66" s="471"/>
      <c r="D66" s="316" t="s">
        <v>4216</v>
      </c>
      <c r="E66" s="316"/>
      <c r="H66" s="1348">
        <f>'Part VI-Revenues &amp; Expenses'!$P$60</f>
        <v>0</v>
      </c>
      <c r="I66" s="1348">
        <f>'Part VI-Revenues &amp; Expenses'!$P$97</f>
        <v>0</v>
      </c>
      <c r="L66" s="316" t="s">
        <v>4216</v>
      </c>
      <c r="O66" s="2353"/>
      <c r="P66" s="1348">
        <f>'Part VI-Revenues &amp; Expenses'!$P$163</f>
        <v>0</v>
      </c>
    </row>
    <row r="67" spans="1:16" s="293" customFormat="1" ht="13.35" customHeight="1">
      <c r="A67" s="471"/>
      <c r="D67" s="316" t="s">
        <v>4217</v>
      </c>
      <c r="E67" s="316"/>
      <c r="H67" s="1348">
        <f>'Part VI-Revenues &amp; Expenses'!$P$61</f>
        <v>0</v>
      </c>
      <c r="I67" s="1348">
        <f>'Part VI-Revenues &amp; Expenses'!$P$98</f>
        <v>0</v>
      </c>
      <c r="L67" s="316" t="s">
        <v>4217</v>
      </c>
      <c r="O67" s="2353"/>
      <c r="P67" s="1348">
        <f>'Part VI-Revenues &amp; Expenses'!$P$164</f>
        <v>0</v>
      </c>
    </row>
    <row r="68" spans="1:16" s="293" customFormat="1" ht="13.35" customHeight="1">
      <c r="A68" s="471"/>
      <c r="D68" s="316" t="s">
        <v>4218</v>
      </c>
      <c r="E68" s="316"/>
      <c r="H68" s="819">
        <f>'Part VI-Revenues &amp; Expenses'!$P$62</f>
        <v>0</v>
      </c>
      <c r="I68" s="819">
        <f>'Part VI-Revenues &amp; Expenses'!$P$99</f>
        <v>0</v>
      </c>
      <c r="L68" s="316" t="s">
        <v>4218</v>
      </c>
      <c r="O68" s="2353"/>
      <c r="P68" s="819">
        <f>'Part VI-Revenues &amp; Expenses'!$P$165</f>
        <v>0</v>
      </c>
    </row>
    <row r="69" spans="1:16" s="293" customFormat="1" ht="13.35" customHeight="1">
      <c r="A69" s="471"/>
      <c r="C69" s="301" t="s">
        <v>248</v>
      </c>
      <c r="D69" s="2353"/>
      <c r="E69" s="2353"/>
      <c r="H69" s="1347">
        <f>'Part VI-Revenues &amp; Expenses'!$P$64</f>
        <v>0</v>
      </c>
      <c r="J69" s="471"/>
      <c r="K69" s="301" t="s">
        <v>2682</v>
      </c>
      <c r="M69" s="2353"/>
      <c r="N69" s="2353"/>
      <c r="O69" s="2353"/>
      <c r="P69" s="1349">
        <f>'Part VI-Revenues &amp; Expenses'!$P$167</f>
        <v>0</v>
      </c>
    </row>
    <row r="70" spans="1:16" s="293" customFormat="1" ht="13.35" customHeight="1">
      <c r="A70" s="471"/>
      <c r="C70" s="301" t="s">
        <v>2344</v>
      </c>
      <c r="D70" s="2353"/>
      <c r="E70" s="2353"/>
      <c r="H70" s="818">
        <f>H61+H69</f>
        <v>50</v>
      </c>
      <c r="J70" s="471"/>
      <c r="K70" s="301" t="s">
        <v>2683</v>
      </c>
      <c r="M70" s="2353"/>
      <c r="N70" s="2353"/>
      <c r="O70" s="2353"/>
      <c r="P70" s="818">
        <f>P61+P69</f>
        <v>53100</v>
      </c>
    </row>
    <row r="71" spans="1:16" s="293" customFormat="1" ht="13.35" customHeight="1">
      <c r="A71" s="471"/>
      <c r="C71" s="301" t="s">
        <v>2345</v>
      </c>
      <c r="D71" s="2353"/>
      <c r="E71" s="2353"/>
      <c r="H71" s="819">
        <f>'Part VI-Revenues &amp; Expenses'!$P$66</f>
        <v>0</v>
      </c>
      <c r="J71" s="471"/>
      <c r="K71" s="301" t="s">
        <v>2684</v>
      </c>
      <c r="M71" s="2353"/>
      <c r="N71" s="2353"/>
      <c r="O71" s="2353"/>
      <c r="P71" s="819">
        <f>'Part VI-Revenues &amp; Expenses'!$P$169</f>
        <v>0</v>
      </c>
    </row>
    <row r="72" spans="1:16" s="293" customFormat="1" ht="13.35" customHeight="1">
      <c r="A72" s="471"/>
      <c r="C72" s="301" t="s">
        <v>1749</v>
      </c>
      <c r="D72" s="2353"/>
      <c r="E72" s="2353"/>
      <c r="H72" s="315">
        <f>+H70+H71</f>
        <v>50</v>
      </c>
      <c r="J72" s="2353"/>
      <c r="K72" s="301" t="s">
        <v>1392</v>
      </c>
      <c r="M72" s="2353"/>
      <c r="N72" s="2353"/>
      <c r="O72" s="2353"/>
      <c r="P72" s="315">
        <f>+P70+P71</f>
        <v>53100</v>
      </c>
    </row>
    <row r="73" spans="1:16" s="293" customFormat="1" ht="3" customHeight="1">
      <c r="A73" s="471"/>
      <c r="I73" s="2356"/>
      <c r="L73" s="2356"/>
      <c r="M73" s="2356"/>
      <c r="N73" s="2353"/>
      <c r="P73" s="302"/>
    </row>
    <row r="74" spans="1:16" s="293" customFormat="1" ht="13.35" customHeight="1">
      <c r="A74" s="471"/>
      <c r="B74" s="471" t="s">
        <v>1692</v>
      </c>
      <c r="C74" s="303" t="s">
        <v>2238</v>
      </c>
      <c r="D74" s="316" t="s">
        <v>1948</v>
      </c>
      <c r="G74" s="2353"/>
      <c r="H74" s="3552">
        <v>9</v>
      </c>
      <c r="K74" s="301" t="s">
        <v>4442</v>
      </c>
      <c r="O74" s="2353"/>
      <c r="P74" s="3553">
        <v>2058</v>
      </c>
    </row>
    <row r="75" spans="1:16" s="293" customFormat="1" ht="13.35" customHeight="1">
      <c r="A75" s="471"/>
      <c r="B75" s="471"/>
      <c r="D75" s="2349" t="s">
        <v>1949</v>
      </c>
      <c r="H75" s="3554">
        <v>1</v>
      </c>
      <c r="I75" s="2353"/>
      <c r="K75" s="301" t="s">
        <v>247</v>
      </c>
      <c r="O75" s="2353"/>
      <c r="P75" s="315">
        <f>+P72+P74</f>
        <v>55158</v>
      </c>
    </row>
    <row r="76" spans="1:16" s="293" customFormat="1" ht="13.35" customHeight="1">
      <c r="A76" s="471"/>
      <c r="B76" s="471"/>
      <c r="D76" s="2349" t="s">
        <v>1950</v>
      </c>
      <c r="H76" s="315">
        <f>+H74+H75</f>
        <v>10</v>
      </c>
      <c r="I76" s="2353"/>
    </row>
    <row r="77" spans="1:16" s="293" customFormat="1" ht="3" customHeight="1">
      <c r="A77" s="471"/>
      <c r="B77" s="471"/>
      <c r="C77" s="2353"/>
      <c r="D77" s="2353"/>
      <c r="E77" s="2353"/>
      <c r="F77" s="2353"/>
      <c r="G77" s="2356"/>
      <c r="I77" s="301"/>
      <c r="J77" s="2353"/>
      <c r="P77" s="302"/>
    </row>
    <row r="78" spans="1:16" s="293" customFormat="1" ht="13.35" customHeight="1">
      <c r="A78" s="471"/>
      <c r="B78" s="471" t="s">
        <v>1693</v>
      </c>
      <c r="C78" s="303" t="s">
        <v>2741</v>
      </c>
      <c r="D78" s="2353"/>
      <c r="E78" s="2353"/>
      <c r="F78" s="2353"/>
      <c r="G78" s="2353"/>
      <c r="H78" s="3553">
        <v>100</v>
      </c>
      <c r="K78" s="2420" t="s">
        <v>3635</v>
      </c>
      <c r="L78" s="2420"/>
      <c r="M78" s="2420"/>
      <c r="N78" s="2420"/>
      <c r="O78" s="2420"/>
      <c r="P78" s="2420"/>
    </row>
    <row r="79" spans="1:16" s="293" customFormat="1" ht="6" customHeight="1">
      <c r="A79" s="471"/>
      <c r="B79" s="471"/>
      <c r="C79" s="301"/>
      <c r="D79" s="2353"/>
      <c r="E79" s="2353"/>
      <c r="F79" s="2353"/>
      <c r="G79" s="2356"/>
      <c r="H79" s="2353"/>
      <c r="I79" s="301"/>
      <c r="J79" s="301"/>
      <c r="K79" s="2420"/>
      <c r="L79" s="2420"/>
      <c r="M79" s="2420"/>
      <c r="N79" s="2420"/>
      <c r="O79" s="2420"/>
      <c r="P79" s="2420"/>
    </row>
    <row r="80" spans="1:16" s="293" customFormat="1" ht="13.35" customHeight="1">
      <c r="A80" s="471" t="s">
        <v>516</v>
      </c>
      <c r="B80" s="317" t="s">
        <v>1166</v>
      </c>
      <c r="D80" s="317"/>
      <c r="E80" s="317"/>
      <c r="F80" s="2353"/>
      <c r="G80" s="2356"/>
      <c r="H80" s="497"/>
      <c r="K80" s="2420"/>
      <c r="L80" s="2420"/>
      <c r="M80" s="2420"/>
      <c r="N80" s="2420"/>
      <c r="O80" s="2420"/>
      <c r="P80" s="2420"/>
    </row>
    <row r="81" spans="1:16" s="293" customFormat="1" ht="3" customHeight="1">
      <c r="A81" s="471"/>
      <c r="C81" s="1481"/>
      <c r="D81" s="1481"/>
      <c r="E81" s="1481"/>
      <c r="F81" s="2353"/>
      <c r="G81" s="2356"/>
      <c r="K81" s="2353"/>
      <c r="P81" s="302"/>
    </row>
    <row r="82" spans="1:16" s="293" customFormat="1" ht="13.35" customHeight="1">
      <c r="A82" s="471"/>
      <c r="B82" s="471" t="s">
        <v>1935</v>
      </c>
      <c r="C82" s="2347" t="s">
        <v>2612</v>
      </c>
      <c r="D82" s="1481"/>
      <c r="E82" s="1481"/>
      <c r="F82" s="2353"/>
      <c r="G82" s="2356"/>
      <c r="H82" s="3555" t="s">
        <v>2806</v>
      </c>
      <c r="I82" s="3556"/>
      <c r="K82" s="2419" t="s">
        <v>1728</v>
      </c>
      <c r="L82" s="2419"/>
      <c r="M82" s="3474"/>
      <c r="N82" s="3483"/>
      <c r="O82" s="3483"/>
      <c r="P82" s="3475"/>
    </row>
    <row r="83" spans="1:16" s="293" customFormat="1" ht="3" customHeight="1">
      <c r="A83" s="471"/>
      <c r="B83" s="471"/>
      <c r="D83" s="2349"/>
      <c r="E83" s="2349"/>
      <c r="F83" s="2349"/>
      <c r="G83" s="2349"/>
      <c r="I83" s="2356"/>
      <c r="K83" s="2348"/>
      <c r="L83" s="2348"/>
      <c r="M83" s="2356"/>
      <c r="N83" s="2353"/>
      <c r="P83" s="302"/>
    </row>
    <row r="84" spans="1:16" s="293" customFormat="1">
      <c r="A84" s="471"/>
      <c r="B84" s="471"/>
      <c r="E84" s="1481"/>
      <c r="K84" s="2423" t="s">
        <v>4389</v>
      </c>
      <c r="L84" s="318" t="s">
        <v>2806</v>
      </c>
      <c r="M84" s="3557">
        <v>50</v>
      </c>
      <c r="N84" s="318" t="s">
        <v>2807</v>
      </c>
      <c r="O84" s="3557"/>
      <c r="P84" s="2345" t="s">
        <v>4388</v>
      </c>
    </row>
    <row r="85" spans="1:16" s="293" customFormat="1">
      <c r="A85" s="471"/>
      <c r="B85" s="471"/>
      <c r="D85" s="2348"/>
      <c r="E85" s="1481"/>
      <c r="J85" s="1479"/>
      <c r="K85" s="2423"/>
      <c r="L85" s="305" t="s">
        <v>2808</v>
      </c>
      <c r="M85" s="3554"/>
      <c r="N85" s="305" t="s">
        <v>3650</v>
      </c>
      <c r="O85" s="3554"/>
      <c r="P85" s="3558"/>
    </row>
    <row r="86" spans="1:16" s="293" customFormat="1" ht="9" customHeight="1">
      <c r="A86" s="471"/>
      <c r="B86" s="471"/>
      <c r="D86" s="2349"/>
      <c r="E86" s="2349"/>
      <c r="F86" s="2349"/>
      <c r="G86" s="2349"/>
      <c r="I86" s="2356"/>
      <c r="K86" s="2348"/>
      <c r="L86" s="2348"/>
      <c r="M86" s="2356"/>
      <c r="N86" s="2353"/>
      <c r="P86" s="302"/>
    </row>
    <row r="87" spans="1:16" s="293" customFormat="1">
      <c r="A87" s="471"/>
      <c r="B87" s="471" t="s">
        <v>1937</v>
      </c>
      <c r="C87" s="303" t="s">
        <v>1384</v>
      </c>
      <c r="D87" s="2353"/>
      <c r="E87" s="316"/>
      <c r="F87" s="2349" t="s">
        <v>776</v>
      </c>
      <c r="H87" s="605">
        <f>'Part VIII-Threshold Criteria'!K305</f>
        <v>3</v>
      </c>
      <c r="K87" s="2419" t="s">
        <v>506</v>
      </c>
      <c r="L87" s="2419"/>
      <c r="N87" s="1559">
        <f>IF('Part VI-Revenues &amp; Expenses'!$P$67=0,0,H87/'Part VI-Revenues &amp; Expenses'!$P$67)</f>
        <v>0.06</v>
      </c>
      <c r="O87" s="305" t="s">
        <v>3517</v>
      </c>
      <c r="P87" s="895">
        <f>'DCA Underwriting Assumptions'!$Q$154</f>
        <v>0.05</v>
      </c>
    </row>
    <row r="88" spans="1:16" s="293" customFormat="1">
      <c r="A88" s="471"/>
      <c r="B88" s="471"/>
      <c r="D88" s="2349" t="s">
        <v>2739</v>
      </c>
      <c r="E88" s="2349"/>
      <c r="F88" s="2349" t="s">
        <v>776</v>
      </c>
      <c r="H88" s="605">
        <f>'Part VIII-Threshold Criteria'!K306</f>
        <v>2</v>
      </c>
      <c r="K88" s="2353" t="s">
        <v>2740</v>
      </c>
      <c r="L88" s="2353"/>
      <c r="N88" s="1559">
        <f>IF(H87=0,0,H88/H87)</f>
        <v>0.66666666666666663</v>
      </c>
      <c r="O88" s="305" t="s">
        <v>3517</v>
      </c>
      <c r="P88" s="895">
        <f>'DCA Underwriting Assumptions'!$Q$155</f>
        <v>0.4</v>
      </c>
    </row>
    <row r="89" spans="1:16" s="293" customFormat="1" ht="9" customHeight="1">
      <c r="A89" s="471"/>
      <c r="B89" s="471"/>
      <c r="D89" s="2349"/>
      <c r="E89" s="2349"/>
      <c r="F89" s="2349"/>
      <c r="I89" s="2356"/>
      <c r="K89" s="2348"/>
      <c r="L89" s="2348"/>
      <c r="M89" s="2356"/>
      <c r="N89" s="2356"/>
      <c r="P89" s="2362"/>
    </row>
    <row r="90" spans="1:16" s="293" customFormat="1">
      <c r="A90" s="471"/>
      <c r="B90" s="471" t="s">
        <v>731</v>
      </c>
      <c r="C90" s="303" t="s">
        <v>1797</v>
      </c>
      <c r="D90" s="316"/>
      <c r="E90" s="316"/>
      <c r="F90" s="2349" t="s">
        <v>776</v>
      </c>
      <c r="H90" s="605">
        <f>'Part VIII-Threshold Criteria'!K308</f>
        <v>1</v>
      </c>
      <c r="K90" s="2419" t="s">
        <v>506</v>
      </c>
      <c r="L90" s="2419"/>
      <c r="N90" s="1559">
        <f>IF('Part VI-Revenues &amp; Expenses'!$P$67=0,0,H90/'Part VI-Revenues &amp; Expenses'!$P$67)</f>
        <v>0.02</v>
      </c>
      <c r="O90" s="305" t="s">
        <v>3517</v>
      </c>
      <c r="P90" s="895">
        <f>'DCA Underwriting Assumptions'!$Q$156</f>
        <v>0.02</v>
      </c>
    </row>
    <row r="91" spans="1:16" s="293" customFormat="1">
      <c r="A91" s="471"/>
      <c r="B91" s="471"/>
      <c r="D91" s="2349"/>
      <c r="E91" s="2349"/>
      <c r="F91" s="2349"/>
      <c r="G91" s="2349"/>
      <c r="I91" s="2356"/>
      <c r="J91" s="2356"/>
      <c r="K91" s="2356"/>
      <c r="L91" s="2356"/>
      <c r="M91" s="2356"/>
      <c r="N91" s="2353"/>
      <c r="P91" s="302"/>
    </row>
    <row r="92" spans="1:16" s="293" customFormat="1" ht="13.35" customHeight="1">
      <c r="A92" s="319" t="s">
        <v>754</v>
      </c>
      <c r="B92" s="1481" t="s">
        <v>4324</v>
      </c>
      <c r="D92" s="2349"/>
      <c r="E92" s="2349"/>
      <c r="F92" s="2349"/>
      <c r="G92" s="2349"/>
      <c r="H92" s="2349"/>
      <c r="I92" s="2356"/>
      <c r="M92" s="2356"/>
      <c r="N92" s="2353"/>
      <c r="P92" s="302"/>
    </row>
    <row r="93" spans="1:16" s="293" customFormat="1" ht="1.5" customHeight="1">
      <c r="A93" s="471"/>
      <c r="B93" s="471"/>
      <c r="C93" s="1481"/>
      <c r="D93" s="2349"/>
      <c r="E93" s="2349"/>
      <c r="F93" s="2349"/>
      <c r="L93" s="2356"/>
      <c r="M93" s="2356"/>
      <c r="N93" s="2353"/>
    </row>
    <row r="94" spans="1:16" s="293" customFormat="1" ht="13.35" customHeight="1">
      <c r="A94" s="471"/>
      <c r="B94" s="471" t="s">
        <v>1935</v>
      </c>
      <c r="C94" s="2347" t="s">
        <v>2315</v>
      </c>
      <c r="D94" s="2349"/>
      <c r="F94" s="2348"/>
      <c r="K94" s="3559" t="s">
        <v>4292</v>
      </c>
      <c r="L94" s="3560"/>
      <c r="M94" s="3561"/>
      <c r="N94" s="2353"/>
    </row>
    <row r="95" spans="1:16" s="293" customFormat="1" ht="1.5" customHeight="1">
      <c r="A95" s="471"/>
      <c r="B95" s="471"/>
      <c r="D95" s="2349"/>
      <c r="F95" s="2349"/>
      <c r="G95" s="2349"/>
      <c r="H95" s="472" t="s">
        <v>4483</v>
      </c>
      <c r="L95" s="2356"/>
      <c r="M95" s="2356"/>
    </row>
    <row r="96" spans="1:16" s="293" customFormat="1" ht="13.35" customHeight="1">
      <c r="B96" s="471" t="s">
        <v>1937</v>
      </c>
      <c r="C96" s="295" t="s">
        <v>1502</v>
      </c>
      <c r="K96" s="2345" t="s">
        <v>4372</v>
      </c>
      <c r="N96" s="320"/>
      <c r="P96" s="3562" t="s">
        <v>6992</v>
      </c>
    </row>
    <row r="97" spans="1:16" s="293" customFormat="1" ht="4.5" customHeight="1">
      <c r="A97" s="471"/>
      <c r="B97" s="471"/>
      <c r="C97" s="295"/>
      <c r="D97" s="2349"/>
      <c r="E97" s="2349"/>
      <c r="F97" s="2349"/>
      <c r="G97" s="2349"/>
      <c r="I97" s="2356"/>
      <c r="J97" s="2356"/>
      <c r="K97" s="2356"/>
      <c r="L97" s="2356"/>
      <c r="M97" s="2356"/>
      <c r="N97" s="2353"/>
      <c r="P97" s="302"/>
    </row>
    <row r="98" spans="1:16" s="293" customFormat="1" ht="13.35" customHeight="1">
      <c r="A98" s="319" t="s">
        <v>287</v>
      </c>
      <c r="B98" s="1481" t="s">
        <v>1992</v>
      </c>
      <c r="D98" s="2349"/>
    </row>
    <row r="99" spans="1:16" s="293" customFormat="1" ht="1.5" customHeight="1">
      <c r="A99" s="471"/>
      <c r="B99" s="471"/>
      <c r="D99" s="2349"/>
      <c r="N99" s="2353"/>
      <c r="P99" s="302"/>
    </row>
    <row r="100" spans="1:16" s="293" customFormat="1" ht="13.35" customHeight="1">
      <c r="A100" s="319"/>
      <c r="B100" s="471" t="s">
        <v>1935</v>
      </c>
      <c r="C100" s="295" t="s">
        <v>2627</v>
      </c>
      <c r="F100" s="316" t="s">
        <v>2532</v>
      </c>
      <c r="H100" s="3563" t="s">
        <v>2887</v>
      </c>
      <c r="K100" s="2348" t="s">
        <v>3663</v>
      </c>
      <c r="P100" s="3563" t="s">
        <v>2887</v>
      </c>
    </row>
    <row r="101" spans="1:16" s="293" customFormat="1" ht="13.35" customHeight="1">
      <c r="A101" s="319"/>
      <c r="B101" s="471"/>
      <c r="C101" s="295"/>
      <c r="F101" s="2349" t="s">
        <v>3667</v>
      </c>
      <c r="H101" s="3564" t="s">
        <v>2887</v>
      </c>
      <c r="K101" s="2348" t="s">
        <v>4227</v>
      </c>
      <c r="P101" s="3564" t="s">
        <v>2887</v>
      </c>
    </row>
    <row r="102" spans="1:16" s="293" customFormat="1" ht="1.5" customHeight="1">
      <c r="A102" s="471"/>
      <c r="B102" s="471"/>
      <c r="C102" s="1481"/>
      <c r="F102" s="2349"/>
      <c r="H102" s="2349"/>
      <c r="J102" s="2356"/>
      <c r="K102" s="2356"/>
      <c r="L102" s="2356"/>
      <c r="M102" s="2356"/>
      <c r="N102" s="2356"/>
      <c r="P102" s="302"/>
    </row>
    <row r="103" spans="1:16" s="293" customFormat="1" ht="13.35" customHeight="1">
      <c r="A103" s="319"/>
      <c r="B103" s="471" t="s">
        <v>1937</v>
      </c>
      <c r="C103" s="295" t="s">
        <v>2628</v>
      </c>
      <c r="F103" s="2348" t="s">
        <v>2602</v>
      </c>
      <c r="H103" s="3551" t="s">
        <v>2887</v>
      </c>
      <c r="J103" s="2356"/>
      <c r="K103" s="466" t="s">
        <v>2629</v>
      </c>
      <c r="L103" s="2356"/>
    </row>
    <row r="104" spans="1:16" s="293" customFormat="1" ht="4.5" customHeight="1">
      <c r="A104" s="471"/>
      <c r="B104" s="471"/>
      <c r="C104" s="295"/>
      <c r="D104" s="2349"/>
      <c r="E104" s="2349"/>
      <c r="F104" s="2349"/>
      <c r="G104" s="2349"/>
      <c r="I104" s="2356"/>
      <c r="J104" s="2356"/>
      <c r="K104" s="2356"/>
      <c r="L104" s="2356"/>
      <c r="M104" s="2356"/>
      <c r="N104" s="2353"/>
      <c r="P104" s="302"/>
    </row>
    <row r="105" spans="1:16" s="293" customFormat="1" ht="13.35" customHeight="1">
      <c r="A105" s="319" t="s">
        <v>418</v>
      </c>
      <c r="B105" s="1481" t="s">
        <v>2691</v>
      </c>
      <c r="D105" s="2349"/>
      <c r="H105" s="3559" t="s">
        <v>2531</v>
      </c>
      <c r="I105" s="3561"/>
      <c r="J105" s="2356"/>
    </row>
    <row r="106" spans="1:16" s="293" customFormat="1" ht="4.5" customHeight="1">
      <c r="A106" s="471"/>
      <c r="D106" s="309"/>
      <c r="E106" s="2353"/>
      <c r="I106" s="309"/>
      <c r="J106" s="301"/>
      <c r="K106" s="2353"/>
      <c r="P106" s="302"/>
    </row>
    <row r="107" spans="1:16" s="293" customFormat="1" ht="13.35" customHeight="1">
      <c r="A107" s="319" t="s">
        <v>356</v>
      </c>
      <c r="B107" s="314" t="s">
        <v>1164</v>
      </c>
      <c r="D107" s="2353"/>
      <c r="E107" s="2353"/>
      <c r="F107" s="2353"/>
      <c r="G107" s="2353"/>
      <c r="H107" s="2353"/>
      <c r="I107" s="309"/>
      <c r="J107" s="301"/>
      <c r="K107" s="2353"/>
      <c r="P107" s="302"/>
    </row>
    <row r="108" spans="1:16" s="293" customFormat="1" ht="3" customHeight="1">
      <c r="A108" s="319"/>
      <c r="B108" s="471"/>
      <c r="C108" s="314"/>
      <c r="D108" s="2353"/>
      <c r="E108" s="2353"/>
      <c r="F108" s="2353"/>
      <c r="G108" s="2353"/>
      <c r="H108" s="2353"/>
      <c r="I108" s="309"/>
      <c r="J108" s="301"/>
      <c r="K108" s="2353"/>
    </row>
    <row r="109" spans="1:16" s="293" customFormat="1" ht="13.35" customHeight="1">
      <c r="A109" s="471"/>
      <c r="B109" s="471"/>
      <c r="C109" s="301" t="s">
        <v>536</v>
      </c>
      <c r="D109" s="2353"/>
      <c r="E109" s="3480"/>
      <c r="F109" s="3481"/>
      <c r="G109" s="3481"/>
      <c r="H109" s="3481"/>
      <c r="I109" s="3481"/>
      <c r="J109" s="3481"/>
      <c r="K109" s="3481"/>
      <c r="L109" s="3482"/>
      <c r="M109" s="2421" t="s">
        <v>537</v>
      </c>
      <c r="N109" s="2421"/>
      <c r="O109" s="3565"/>
      <c r="P109" s="3566"/>
    </row>
    <row r="110" spans="1:16" s="293" customFormat="1" ht="13.35" customHeight="1">
      <c r="C110" s="2345" t="s">
        <v>999</v>
      </c>
      <c r="D110" s="305"/>
      <c r="E110" s="3484"/>
      <c r="F110" s="3485"/>
      <c r="G110" s="3485"/>
      <c r="H110" s="3487"/>
      <c r="I110" s="3485"/>
      <c r="J110" s="3487"/>
      <c r="K110" s="3485"/>
      <c r="L110" s="3489"/>
      <c r="M110" s="2421" t="s">
        <v>788</v>
      </c>
      <c r="N110" s="2421"/>
      <c r="O110" s="3567"/>
      <c r="P110" s="3568"/>
    </row>
    <row r="111" spans="1:16" s="293" customFormat="1" ht="13.35" customHeight="1">
      <c r="C111" s="2345" t="s">
        <v>600</v>
      </c>
      <c r="E111" s="3505"/>
      <c r="F111" s="3569"/>
      <c r="G111" s="3570"/>
      <c r="H111" s="2362" t="s">
        <v>1754</v>
      </c>
      <c r="I111" s="3571"/>
      <c r="J111" s="321" t="s">
        <v>2172</v>
      </c>
      <c r="K111" s="3572"/>
      <c r="L111" s="3573"/>
      <c r="M111" s="270" t="s">
        <v>3488</v>
      </c>
      <c r="N111" s="270"/>
      <c r="O111" s="3574"/>
      <c r="P111" s="3575"/>
    </row>
    <row r="112" spans="1:16" s="293" customFormat="1" ht="13.35" customHeight="1">
      <c r="C112" s="293" t="s">
        <v>2143</v>
      </c>
      <c r="E112" s="3505"/>
      <c r="F112" s="3569"/>
      <c r="G112" s="3570"/>
      <c r="H112" s="928" t="s">
        <v>1932</v>
      </c>
      <c r="I112" s="3576"/>
      <c r="J112" s="3577"/>
      <c r="K112" s="3578"/>
      <c r="L112" s="2364" t="s">
        <v>1936</v>
      </c>
      <c r="M112" s="3480"/>
      <c r="N112" s="3579"/>
      <c r="O112" s="3580"/>
      <c r="P112" s="3581"/>
    </row>
    <row r="113" spans="1:16" s="293" customFormat="1" ht="13.35" customHeight="1">
      <c r="C113" s="2345" t="s">
        <v>2142</v>
      </c>
      <c r="E113" s="3500"/>
      <c r="F113" s="3582"/>
      <c r="G113" s="3501"/>
      <c r="H113" s="928" t="s">
        <v>1756</v>
      </c>
      <c r="I113" s="3500"/>
      <c r="J113" s="3583"/>
      <c r="K113" s="2362" t="s">
        <v>2624</v>
      </c>
      <c r="L113" s="3471"/>
      <c r="M113" s="3584"/>
      <c r="N113" s="3584"/>
      <c r="O113" s="3584"/>
      <c r="P113" s="3585"/>
    </row>
    <row r="114" spans="1:16" s="293" customFormat="1" ht="3" customHeight="1">
      <c r="A114" s="471"/>
      <c r="B114" s="471"/>
      <c r="G114" s="309"/>
      <c r="H114" s="2356"/>
      <c r="I114" s="2356"/>
      <c r="M114" s="302"/>
    </row>
    <row r="115" spans="1:16" s="293" customFormat="1" ht="13.35" customHeight="1">
      <c r="A115" s="319" t="s">
        <v>357</v>
      </c>
      <c r="B115" s="1481" t="s">
        <v>1630</v>
      </c>
      <c r="D115" s="309"/>
      <c r="E115" s="309"/>
      <c r="F115" s="2356"/>
      <c r="G115" s="2356"/>
      <c r="H115" s="2356"/>
      <c r="N115" s="2353"/>
      <c r="O115" s="2353"/>
      <c r="P115" s="302"/>
    </row>
    <row r="116" spans="1:16" s="293" customFormat="1" ht="1.5" customHeight="1">
      <c r="A116" s="319"/>
      <c r="B116" s="1481"/>
      <c r="D116" s="309"/>
      <c r="E116" s="309"/>
      <c r="F116" s="2356"/>
      <c r="G116" s="2356"/>
      <c r="H116" s="2356"/>
      <c r="I116" s="2356"/>
      <c r="J116" s="309"/>
      <c r="K116" s="2356"/>
      <c r="L116" s="2356"/>
      <c r="N116" s="2353"/>
      <c r="O116" s="2353"/>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1385</v>
      </c>
      <c r="D119" s="2349"/>
      <c r="E119" s="2349"/>
      <c r="F119" s="2356"/>
      <c r="G119" s="2356"/>
      <c r="H119" s="3586">
        <v>2</v>
      </c>
      <c r="N119" s="2353"/>
      <c r="O119" s="2353"/>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2349"/>
      <c r="E121" s="2349"/>
      <c r="F121" s="2356"/>
      <c r="G121" s="2356"/>
      <c r="H121" s="3587">
        <v>1800000</v>
      </c>
      <c r="J121" s="309"/>
      <c r="K121" s="2348"/>
      <c r="N121" s="2353"/>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9"/>
      <c r="E123" s="2349"/>
      <c r="F123" s="2356"/>
      <c r="G123" s="2356"/>
      <c r="H123" s="2356"/>
      <c r="I123" s="2356"/>
      <c r="J123" s="309"/>
      <c r="K123" s="2356"/>
      <c r="L123" s="2356"/>
      <c r="N123" s="2353"/>
      <c r="O123" s="2353"/>
    </row>
    <row r="124" spans="1:16" s="293" customFormat="1" ht="13.35" customHeight="1">
      <c r="B124" s="471"/>
      <c r="C124" s="2349" t="s">
        <v>2084</v>
      </c>
      <c r="D124" s="2349"/>
      <c r="F124" s="2349" t="s">
        <v>1112</v>
      </c>
      <c r="G124" s="2356"/>
      <c r="H124" s="2356"/>
      <c r="I124" s="2356" t="s">
        <v>1268</v>
      </c>
      <c r="J124" s="2349" t="s">
        <v>2084</v>
      </c>
      <c r="K124" s="2349"/>
      <c r="M124" s="2349" t="s">
        <v>1112</v>
      </c>
      <c r="N124" s="2356"/>
      <c r="O124" s="2356"/>
      <c r="P124" s="2356" t="s">
        <v>1268</v>
      </c>
    </row>
    <row r="125" spans="1:16" s="293" customFormat="1" ht="13.35" customHeight="1">
      <c r="A125" s="471"/>
      <c r="B125" s="471"/>
      <c r="C125" s="3588" t="s">
        <v>6988</v>
      </c>
      <c r="D125" s="3589"/>
      <c r="E125" s="3589"/>
      <c r="F125" s="3590" t="s">
        <v>6985</v>
      </c>
      <c r="G125" s="3591"/>
      <c r="H125" s="3592"/>
      <c r="I125" s="3593" t="s">
        <v>6994</v>
      </c>
      <c r="J125" s="3588">
        <v>7</v>
      </c>
      <c r="K125" s="3589"/>
      <c r="L125" s="3589"/>
      <c r="M125" s="3590"/>
      <c r="N125" s="3591"/>
      <c r="O125" s="3592"/>
      <c r="P125" s="3593"/>
    </row>
    <row r="126" spans="1:16" s="293" customFormat="1" ht="13.35" customHeight="1">
      <c r="A126" s="471"/>
      <c r="B126" s="471"/>
      <c r="C126" s="3594" t="s">
        <v>6988</v>
      </c>
      <c r="D126" s="3595"/>
      <c r="E126" s="3595"/>
      <c r="F126" s="3596" t="s">
        <v>6993</v>
      </c>
      <c r="G126" s="3597"/>
      <c r="H126" s="3598"/>
      <c r="I126" s="3599" t="s">
        <v>6994</v>
      </c>
      <c r="J126" s="3594">
        <v>8</v>
      </c>
      <c r="K126" s="3595"/>
      <c r="L126" s="3595"/>
      <c r="M126" s="3596"/>
      <c r="N126" s="3597"/>
      <c r="O126" s="3598"/>
      <c r="P126" s="3599"/>
    </row>
    <row r="127" spans="1:16" s="293" customFormat="1" ht="13.35" customHeight="1">
      <c r="A127" s="471"/>
      <c r="B127" s="471"/>
      <c r="C127" s="3594">
        <v>3</v>
      </c>
      <c r="D127" s="3595"/>
      <c r="E127" s="3595"/>
      <c r="F127" s="3596"/>
      <c r="G127" s="3597"/>
      <c r="H127" s="3598"/>
      <c r="I127" s="3599"/>
      <c r="J127" s="3594">
        <v>9</v>
      </c>
      <c r="K127" s="3595"/>
      <c r="L127" s="3595"/>
      <c r="M127" s="3596"/>
      <c r="N127" s="3597"/>
      <c r="O127" s="3598"/>
      <c r="P127" s="3599"/>
    </row>
    <row r="128" spans="1:16" s="293" customFormat="1" ht="13.35" customHeight="1">
      <c r="A128" s="471"/>
      <c r="B128" s="471"/>
      <c r="C128" s="3594">
        <v>4</v>
      </c>
      <c r="D128" s="3595"/>
      <c r="E128" s="3595"/>
      <c r="F128" s="3596"/>
      <c r="G128" s="3597"/>
      <c r="H128" s="3598"/>
      <c r="I128" s="3599"/>
      <c r="J128" s="3594">
        <v>10</v>
      </c>
      <c r="K128" s="3595"/>
      <c r="L128" s="3595"/>
      <c r="M128" s="3596"/>
      <c r="N128" s="3597"/>
      <c r="O128" s="3598"/>
      <c r="P128" s="3599"/>
    </row>
    <row r="129" spans="1:16" s="293" customFormat="1" ht="13.35" customHeight="1">
      <c r="A129" s="471"/>
      <c r="B129" s="471"/>
      <c r="C129" s="3594">
        <v>5</v>
      </c>
      <c r="D129" s="3595"/>
      <c r="E129" s="3595"/>
      <c r="F129" s="3596"/>
      <c r="G129" s="3597"/>
      <c r="H129" s="3598"/>
      <c r="I129" s="3599"/>
      <c r="J129" s="3594">
        <v>11</v>
      </c>
      <c r="K129" s="3595"/>
      <c r="L129" s="3595"/>
      <c r="M129" s="3596"/>
      <c r="N129" s="3597"/>
      <c r="O129" s="3598"/>
      <c r="P129" s="3599"/>
    </row>
    <row r="130" spans="1:16" s="293" customFormat="1" ht="13.35" customHeight="1">
      <c r="A130" s="471"/>
      <c r="B130" s="471"/>
      <c r="C130" s="3600">
        <v>6</v>
      </c>
      <c r="D130" s="3601"/>
      <c r="E130" s="3601"/>
      <c r="F130" s="3602"/>
      <c r="G130" s="3603"/>
      <c r="H130" s="3604"/>
      <c r="I130" s="3605"/>
      <c r="J130" s="3600">
        <v>12</v>
      </c>
      <c r="K130" s="3601"/>
      <c r="L130" s="3601"/>
      <c r="M130" s="3602"/>
      <c r="N130" s="3603"/>
      <c r="O130" s="3604"/>
      <c r="P130" s="3605"/>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22" t="s">
        <v>1800</v>
      </c>
      <c r="D132" s="2422"/>
      <c r="E132" s="2422"/>
      <c r="F132" s="2422"/>
      <c r="G132" s="2422"/>
      <c r="H132" s="2422"/>
      <c r="I132" s="2422"/>
      <c r="J132" s="2422"/>
      <c r="K132" s="2422"/>
      <c r="L132" s="2422"/>
      <c r="M132" s="2422"/>
      <c r="N132" s="2422"/>
      <c r="O132" s="2422"/>
      <c r="P132" s="2422"/>
    </row>
    <row r="133" spans="1:16" s="293" customFormat="1" ht="13.35" customHeight="1">
      <c r="A133" s="471"/>
      <c r="B133" s="471"/>
      <c r="C133" s="2422"/>
      <c r="D133" s="2422"/>
      <c r="E133" s="2422"/>
      <c r="F133" s="2422"/>
      <c r="G133" s="2422"/>
      <c r="H133" s="2422"/>
      <c r="I133" s="2422"/>
      <c r="J133" s="2422"/>
      <c r="K133" s="2422"/>
      <c r="L133" s="2422"/>
      <c r="M133" s="2422"/>
      <c r="N133" s="2422"/>
      <c r="O133" s="2422"/>
      <c r="P133" s="2422"/>
    </row>
    <row r="134" spans="1:16" s="293" customFormat="1" ht="13.35" customHeight="1">
      <c r="B134" s="471"/>
      <c r="C134" s="2349" t="s">
        <v>2084</v>
      </c>
      <c r="D134" s="2349"/>
      <c r="F134" s="2349" t="s">
        <v>1112</v>
      </c>
      <c r="G134" s="2356"/>
      <c r="H134" s="2356"/>
      <c r="I134" s="2356"/>
      <c r="J134" s="2349" t="s">
        <v>2084</v>
      </c>
      <c r="K134" s="2349"/>
      <c r="M134" s="2349" t="s">
        <v>1112</v>
      </c>
      <c r="N134" s="2356"/>
      <c r="O134" s="2356"/>
      <c r="P134" s="2356"/>
    </row>
    <row r="135" spans="1:16" s="293" customFormat="1" ht="13.35" customHeight="1">
      <c r="A135" s="471"/>
      <c r="B135" s="471"/>
      <c r="C135" s="3588">
        <v>1</v>
      </c>
      <c r="D135" s="3589"/>
      <c r="E135" s="3589"/>
      <c r="F135" s="3590"/>
      <c r="G135" s="3591"/>
      <c r="H135" s="3591"/>
      <c r="I135" s="3606"/>
      <c r="J135" s="3588">
        <v>7</v>
      </c>
      <c r="K135" s="3589"/>
      <c r="L135" s="3589"/>
      <c r="M135" s="3590"/>
      <c r="N135" s="3591"/>
      <c r="O135" s="3591"/>
      <c r="P135" s="3606"/>
    </row>
    <row r="136" spans="1:16" s="293" customFormat="1" ht="13.35" customHeight="1">
      <c r="A136" s="471"/>
      <c r="B136" s="471"/>
      <c r="C136" s="3594">
        <v>2</v>
      </c>
      <c r="D136" s="3595"/>
      <c r="E136" s="3595"/>
      <c r="F136" s="3596"/>
      <c r="G136" s="3597"/>
      <c r="H136" s="3597"/>
      <c r="I136" s="3607"/>
      <c r="J136" s="3594">
        <v>8</v>
      </c>
      <c r="K136" s="3595"/>
      <c r="L136" s="3595"/>
      <c r="M136" s="3596"/>
      <c r="N136" s="3597"/>
      <c r="O136" s="3597"/>
      <c r="P136" s="3607"/>
    </row>
    <row r="137" spans="1:16" s="293" customFormat="1" ht="13.35" customHeight="1">
      <c r="A137" s="471"/>
      <c r="B137" s="471"/>
      <c r="C137" s="3594">
        <v>3</v>
      </c>
      <c r="D137" s="3595"/>
      <c r="E137" s="3595"/>
      <c r="F137" s="3596"/>
      <c r="G137" s="3597"/>
      <c r="H137" s="3597"/>
      <c r="I137" s="3607"/>
      <c r="J137" s="3594">
        <v>9</v>
      </c>
      <c r="K137" s="3595"/>
      <c r="L137" s="3595"/>
      <c r="M137" s="3596"/>
      <c r="N137" s="3597"/>
      <c r="O137" s="3597"/>
      <c r="P137" s="3607"/>
    </row>
    <row r="138" spans="1:16" s="293" customFormat="1" ht="13.35" customHeight="1">
      <c r="A138" s="471"/>
      <c r="B138" s="471"/>
      <c r="C138" s="3594">
        <v>4</v>
      </c>
      <c r="D138" s="3595"/>
      <c r="E138" s="3595"/>
      <c r="F138" s="3596"/>
      <c r="G138" s="3597"/>
      <c r="H138" s="3597"/>
      <c r="I138" s="3607"/>
      <c r="J138" s="3594">
        <v>10</v>
      </c>
      <c r="K138" s="3595"/>
      <c r="L138" s="3595"/>
      <c r="M138" s="3596"/>
      <c r="N138" s="3597"/>
      <c r="O138" s="3597"/>
      <c r="P138" s="3607"/>
    </row>
    <row r="139" spans="1:16" s="293" customFormat="1" ht="13.35" customHeight="1">
      <c r="A139" s="471"/>
      <c r="B139" s="471"/>
      <c r="C139" s="3594">
        <v>5</v>
      </c>
      <c r="D139" s="3595"/>
      <c r="E139" s="3595"/>
      <c r="F139" s="3596"/>
      <c r="G139" s="3597"/>
      <c r="H139" s="3597"/>
      <c r="I139" s="3607"/>
      <c r="J139" s="3594">
        <v>11</v>
      </c>
      <c r="K139" s="3595"/>
      <c r="L139" s="3595"/>
      <c r="M139" s="3596"/>
      <c r="N139" s="3597"/>
      <c r="O139" s="3597"/>
      <c r="P139" s="3607"/>
    </row>
    <row r="140" spans="1:16" s="293" customFormat="1" ht="13.35" customHeight="1">
      <c r="A140" s="471"/>
      <c r="B140" s="471"/>
      <c r="C140" s="3600">
        <v>6</v>
      </c>
      <c r="D140" s="3601"/>
      <c r="E140" s="3601"/>
      <c r="F140" s="3602"/>
      <c r="G140" s="3603"/>
      <c r="H140" s="3603"/>
      <c r="I140" s="3608"/>
      <c r="J140" s="3600">
        <v>12</v>
      </c>
      <c r="K140" s="3601"/>
      <c r="L140" s="3601"/>
      <c r="M140" s="3602"/>
      <c r="N140" s="3603"/>
      <c r="O140" s="3603"/>
      <c r="P140" s="3608"/>
    </row>
    <row r="141" spans="1:16" s="293" customFormat="1" ht="3" customHeight="1" thickBot="1">
      <c r="A141" s="471"/>
      <c r="B141" s="471"/>
      <c r="C141" s="2349"/>
      <c r="D141" s="2349"/>
      <c r="E141" s="2349"/>
      <c r="F141" s="2356"/>
      <c r="G141" s="2356"/>
      <c r="H141" s="2356"/>
      <c r="I141" s="2356"/>
      <c r="J141" s="309"/>
      <c r="K141" s="2356"/>
      <c r="L141" s="2356"/>
      <c r="N141" s="2353"/>
      <c r="O141" s="2353"/>
      <c r="P141" s="302"/>
    </row>
    <row r="142" spans="1:16" s="293" customFormat="1" ht="14.4" customHeight="1" thickBot="1">
      <c r="A142" s="295" t="s">
        <v>358</v>
      </c>
      <c r="B142" s="303" t="s">
        <v>4393</v>
      </c>
      <c r="D142" s="303"/>
      <c r="E142" s="303"/>
      <c r="F142" s="303"/>
      <c r="I142" s="3609" t="s">
        <v>2887</v>
      </c>
      <c r="M142" s="2356"/>
      <c r="N142" s="2353"/>
      <c r="O142" s="2353"/>
      <c r="P142" s="302"/>
    </row>
    <row r="143" spans="1:16" s="293" customFormat="1" ht="1.5" customHeight="1">
      <c r="A143" s="319"/>
      <c r="B143" s="471"/>
      <c r="C143" s="1481"/>
      <c r="D143" s="1481"/>
      <c r="E143" s="1481"/>
      <c r="F143" s="1481"/>
      <c r="G143" s="2356"/>
      <c r="M143" s="2356"/>
      <c r="N143" s="2353"/>
      <c r="O143" s="2353"/>
    </row>
    <row r="144" spans="1:16" s="293" customFormat="1" ht="13.35" customHeight="1">
      <c r="A144" s="471"/>
      <c r="B144" s="471" t="s">
        <v>1935</v>
      </c>
      <c r="C144" s="298" t="s">
        <v>1671</v>
      </c>
      <c r="I144" s="3563" t="s">
        <v>2887</v>
      </c>
      <c r="M144" s="2356"/>
      <c r="N144" s="2353"/>
      <c r="O144" s="2353"/>
      <c r="P144" s="302"/>
    </row>
    <row r="145" spans="1:16" s="293" customFormat="1" ht="13.35" customHeight="1">
      <c r="A145" s="471"/>
      <c r="B145" s="471"/>
      <c r="C145" s="2349" t="s">
        <v>2356</v>
      </c>
      <c r="D145" s="2349"/>
      <c r="E145" s="2349"/>
      <c r="F145" s="2356"/>
      <c r="I145" s="3610"/>
      <c r="N145" s="2353"/>
      <c r="O145" s="2353"/>
      <c r="P145" s="302"/>
    </row>
    <row r="146" spans="1:16" s="293" customFormat="1" ht="13.35" customHeight="1">
      <c r="A146" s="471"/>
      <c r="B146" s="471"/>
      <c r="C146" s="324" t="s">
        <v>1670</v>
      </c>
      <c r="D146" s="2345"/>
      <c r="I146" s="3509"/>
      <c r="P146" s="302"/>
    </row>
    <row r="147" spans="1:16" s="293" customFormat="1" ht="13.35" customHeight="1">
      <c r="A147" s="471"/>
      <c r="B147" s="471"/>
      <c r="C147" s="2349" t="s">
        <v>2357</v>
      </c>
      <c r="D147" s="2349"/>
      <c r="E147" s="1481"/>
      <c r="F147" s="2356"/>
      <c r="I147" s="3610"/>
      <c r="K147" s="270" t="s">
        <v>2187</v>
      </c>
      <c r="O147" s="3480" t="s">
        <v>475</v>
      </c>
      <c r="P147" s="3482"/>
    </row>
    <row r="148" spans="1:16" s="293" customFormat="1" ht="13.35" customHeight="1">
      <c r="A148" s="471"/>
      <c r="B148" s="471"/>
      <c r="C148" s="2349" t="s">
        <v>2355</v>
      </c>
      <c r="F148" s="2356"/>
      <c r="I148" s="3611"/>
      <c r="K148" s="270" t="s">
        <v>2188</v>
      </c>
      <c r="O148" s="3508" t="s">
        <v>475</v>
      </c>
      <c r="P148" s="3488"/>
    </row>
    <row r="149" spans="1:16" s="293" customFormat="1" ht="13.35" customHeight="1">
      <c r="A149" s="471"/>
      <c r="B149" s="471"/>
      <c r="C149" s="2349" t="s">
        <v>2115</v>
      </c>
      <c r="D149" s="2349"/>
      <c r="E149" s="2349"/>
      <c r="F149" s="2356"/>
      <c r="I149" s="3612"/>
      <c r="J149" s="3613"/>
      <c r="N149" s="2353"/>
      <c r="O149" s="2353"/>
      <c r="P149" s="302"/>
    </row>
    <row r="150" spans="1:16" s="293" customFormat="1" ht="1.5" customHeight="1">
      <c r="A150" s="471"/>
      <c r="B150" s="471"/>
      <c r="C150" s="2349"/>
      <c r="D150" s="2349"/>
      <c r="E150" s="2349"/>
      <c r="F150" s="2356"/>
      <c r="G150" s="2356"/>
      <c r="M150" s="2356"/>
      <c r="N150" s="2353"/>
      <c r="O150" s="2353"/>
      <c r="P150" s="302"/>
    </row>
    <row r="151" spans="1:16" s="293" customFormat="1" ht="13.35" customHeight="1">
      <c r="A151" s="471"/>
      <c r="B151" s="471" t="s">
        <v>1937</v>
      </c>
      <c r="C151" s="1520" t="s">
        <v>2621</v>
      </c>
      <c r="D151" s="2349"/>
      <c r="E151" s="316" t="s">
        <v>4461</v>
      </c>
      <c r="F151" s="316"/>
      <c r="G151" s="316"/>
      <c r="I151" s="3614" t="s">
        <v>2887</v>
      </c>
      <c r="K151" s="316" t="s">
        <v>4463</v>
      </c>
      <c r="L151" s="316"/>
      <c r="M151" s="316"/>
      <c r="O151" s="3615" t="s">
        <v>2887</v>
      </c>
      <c r="P151" s="302"/>
    </row>
    <row r="152" spans="1:16" s="293" customFormat="1" ht="13.35" customHeight="1">
      <c r="A152" s="471"/>
      <c r="C152" s="1481"/>
      <c r="D152" s="2349"/>
      <c r="E152" s="316" t="s">
        <v>4462</v>
      </c>
      <c r="F152" s="316"/>
      <c r="G152" s="316"/>
      <c r="I152" s="3616" t="s">
        <v>2887</v>
      </c>
      <c r="K152" s="316"/>
      <c r="L152" s="316"/>
      <c r="M152" s="316"/>
      <c r="P152" s="302"/>
    </row>
    <row r="153" spans="1:16" s="293" customFormat="1" ht="1.5" customHeight="1">
      <c r="A153" s="471"/>
      <c r="B153" s="471"/>
      <c r="C153" s="2349"/>
      <c r="D153" s="2349"/>
      <c r="E153" s="2349"/>
      <c r="F153" s="2356"/>
      <c r="N153" s="2353"/>
      <c r="O153" s="2353"/>
      <c r="P153" s="302"/>
    </row>
    <row r="154" spans="1:16" s="293" customFormat="1" ht="13.35" customHeight="1">
      <c r="A154" s="471"/>
      <c r="B154" s="471" t="s">
        <v>731</v>
      </c>
      <c r="C154" s="1481" t="s">
        <v>4460</v>
      </c>
      <c r="D154" s="2349"/>
      <c r="E154" s="2349"/>
      <c r="F154" s="2356"/>
      <c r="I154" s="3586" t="s">
        <v>2887</v>
      </c>
      <c r="N154" s="2353"/>
      <c r="O154" s="2353"/>
      <c r="P154" s="302"/>
    </row>
    <row r="155" spans="1:16" s="293" customFormat="1" ht="3" customHeight="1">
      <c r="A155" s="471"/>
      <c r="B155" s="471"/>
      <c r="C155" s="2349"/>
      <c r="D155" s="2349"/>
      <c r="E155" s="2349"/>
      <c r="F155" s="2356"/>
      <c r="G155" s="2356"/>
      <c r="H155" s="2356"/>
      <c r="I155" s="2356"/>
      <c r="J155" s="309"/>
      <c r="K155" s="2356"/>
      <c r="L155" s="2356"/>
      <c r="N155" s="2353"/>
      <c r="O155" s="2353"/>
      <c r="P155" s="302"/>
    </row>
    <row r="156" spans="1:16" s="293" customFormat="1" ht="13.35" customHeight="1">
      <c r="A156" s="319" t="s">
        <v>1683</v>
      </c>
      <c r="B156" s="317" t="s">
        <v>1165</v>
      </c>
      <c r="D156" s="317"/>
      <c r="E156" s="317"/>
      <c r="F156" s="317"/>
      <c r="G156" s="2356"/>
      <c r="H156" s="2356"/>
      <c r="I156" s="2356"/>
      <c r="J156" s="309"/>
      <c r="K156" s="2356"/>
      <c r="L156" s="2356"/>
      <c r="N156" s="2353"/>
      <c r="O156" s="2353"/>
      <c r="P156" s="302"/>
    </row>
    <row r="157" spans="1:16" s="293" customFormat="1" ht="2.1" customHeight="1">
      <c r="A157" s="319"/>
      <c r="B157" s="471"/>
      <c r="C157" s="1481"/>
      <c r="D157" s="1481"/>
      <c r="E157" s="1481"/>
      <c r="F157" s="1481"/>
      <c r="G157" s="2356"/>
      <c r="H157" s="2356"/>
      <c r="I157" s="2356"/>
      <c r="J157" s="309"/>
      <c r="K157" s="2356"/>
      <c r="L157" s="2356"/>
      <c r="N157" s="2353"/>
      <c r="O157" s="2353"/>
    </row>
    <row r="158" spans="1:16" s="293" customFormat="1" ht="13.35" customHeight="1">
      <c r="A158" s="471"/>
      <c r="B158" s="471" t="s">
        <v>1935</v>
      </c>
      <c r="C158" s="308" t="s">
        <v>1775</v>
      </c>
      <c r="F158" s="2356"/>
      <c r="G158" s="2356"/>
      <c r="H158" s="2356"/>
      <c r="I158" s="2356"/>
      <c r="J158" s="309"/>
      <c r="K158" s="2356"/>
      <c r="L158" s="2356"/>
      <c r="N158" s="2353"/>
      <c r="O158" s="2353"/>
      <c r="P158" s="302"/>
    </row>
    <row r="159" spans="1:16" s="293" customFormat="1" ht="12.6" customHeight="1">
      <c r="A159" s="471"/>
      <c r="B159" s="471"/>
      <c r="C159" s="316" t="s">
        <v>1495</v>
      </c>
      <c r="D159" s="309"/>
      <c r="E159" s="309"/>
      <c r="F159" s="2356"/>
      <c r="G159" s="2356"/>
      <c r="H159" s="2356"/>
      <c r="I159" s="3617" t="s">
        <v>2887</v>
      </c>
      <c r="N159" s="2353"/>
      <c r="O159" s="2353"/>
      <c r="P159" s="302"/>
    </row>
    <row r="160" spans="1:16" s="293" customFormat="1" ht="12.6" customHeight="1">
      <c r="A160" s="471"/>
      <c r="B160" s="471"/>
      <c r="C160" s="2420" t="s">
        <v>4521</v>
      </c>
      <c r="D160" s="2420"/>
      <c r="E160" s="2420"/>
      <c r="F160" s="2420"/>
      <c r="G160" s="293" t="s">
        <v>4271</v>
      </c>
      <c r="I160" s="3618"/>
      <c r="K160" s="2345" t="s">
        <v>1751</v>
      </c>
      <c r="P160" s="1416">
        <f>IF('Part VI-Revenues &amp; Expenses'!$P$65=0,0,I160/'Part VI-Revenues &amp; Expenses'!$P$65)</f>
        <v>0</v>
      </c>
    </row>
    <row r="161" spans="1:16" s="293" customFormat="1" ht="12.6" customHeight="1">
      <c r="A161" s="471"/>
      <c r="B161" s="471"/>
      <c r="C161" s="2420"/>
      <c r="D161" s="2420"/>
      <c r="E161" s="2420"/>
      <c r="F161" s="2420"/>
      <c r="G161" s="293" t="s">
        <v>4270</v>
      </c>
      <c r="I161" s="3618"/>
      <c r="K161" s="2345" t="s">
        <v>1751</v>
      </c>
      <c r="O161" s="2354"/>
      <c r="P161" s="1417">
        <f>IF('Part VI-Revenues &amp; Expenses'!$P$65=0,0,I161/'Part VI-Revenues &amp; Expenses'!$P$65)</f>
        <v>0</v>
      </c>
    </row>
    <row r="162" spans="1:16" s="293" customFormat="1" ht="12" customHeight="1">
      <c r="A162" s="471"/>
      <c r="B162" s="471"/>
      <c r="C162" s="2345" t="s">
        <v>4272</v>
      </c>
      <c r="I162" s="3554"/>
      <c r="K162" s="2345"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0"/>
      <c r="E164" s="3481"/>
      <c r="F164" s="3481"/>
      <c r="G164" s="3481"/>
      <c r="H164" s="3482"/>
      <c r="I164" s="2345" t="s">
        <v>4225</v>
      </c>
      <c r="N164" s="3497"/>
      <c r="O164" s="3619"/>
      <c r="P164" s="3495"/>
    </row>
    <row r="165" spans="1:16" s="293" customFormat="1" ht="12.6" customHeight="1">
      <c r="A165" s="471"/>
      <c r="B165" s="471"/>
      <c r="C165" s="2345" t="s">
        <v>4226</v>
      </c>
      <c r="D165" s="3505"/>
      <c r="E165" s="3506"/>
      <c r="F165" s="3485"/>
      <c r="G165" s="3506"/>
      <c r="H165" s="3507"/>
      <c r="I165" s="2352" t="s">
        <v>1753</v>
      </c>
      <c r="J165" s="3480"/>
      <c r="K165" s="3481"/>
      <c r="L165" s="3482"/>
      <c r="M165" s="1403" t="s">
        <v>1932</v>
      </c>
      <c r="N165" s="3505"/>
      <c r="O165" s="3506"/>
      <c r="P165" s="3507"/>
    </row>
    <row r="166" spans="1:16" s="293" customFormat="1" ht="12.6" customHeight="1">
      <c r="A166" s="471"/>
      <c r="B166" s="471"/>
      <c r="C166" s="2345" t="s">
        <v>600</v>
      </c>
      <c r="D166" s="3505"/>
      <c r="E166" s="3507"/>
      <c r="F166" s="1401" t="s">
        <v>2172</v>
      </c>
      <c r="G166" s="3620"/>
      <c r="H166" s="3621"/>
      <c r="I166" s="325" t="s">
        <v>1756</v>
      </c>
      <c r="J166" s="3622"/>
      <c r="K166" s="3623"/>
      <c r="L166" s="3624"/>
      <c r="M166" s="1402" t="s">
        <v>1931</v>
      </c>
      <c r="N166" s="3622"/>
      <c r="O166" s="3623"/>
      <c r="P166" s="3624"/>
    </row>
    <row r="167" spans="1:16" s="293" customFormat="1" ht="12.6" customHeight="1">
      <c r="A167" s="471"/>
      <c r="B167" s="471"/>
      <c r="C167" s="293" t="s">
        <v>2624</v>
      </c>
      <c r="D167" s="3498"/>
      <c r="E167" s="3486"/>
      <c r="F167" s="3486"/>
      <c r="G167" s="3486"/>
      <c r="H167" s="3499"/>
      <c r="I167" s="325" t="s">
        <v>1755</v>
      </c>
      <c r="J167" s="3625"/>
      <c r="K167" s="3584"/>
      <c r="L167" s="3584"/>
      <c r="M167" s="3584"/>
      <c r="N167" s="3584"/>
      <c r="O167" s="3584"/>
      <c r="P167" s="3585"/>
    </row>
    <row r="168" spans="1:16" s="293" customFormat="1" ht="12" customHeight="1">
      <c r="A168" s="471"/>
      <c r="B168" s="471"/>
      <c r="C168" s="293" t="s">
        <v>4273</v>
      </c>
      <c r="E168" s="326"/>
      <c r="F168" s="326"/>
      <c r="G168" s="326"/>
      <c r="H168" s="2356"/>
      <c r="I168" s="3615"/>
      <c r="J168" s="2431" t="s">
        <v>743</v>
      </c>
      <c r="K168" s="2432"/>
      <c r="L168" s="3586"/>
      <c r="M168" s="326"/>
      <c r="N168" s="2356"/>
      <c r="O168" s="326"/>
      <c r="P168" s="326"/>
    </row>
    <row r="169" spans="1:16" s="293" customFormat="1" ht="3" customHeight="1">
      <c r="A169" s="471"/>
      <c r="B169" s="471"/>
    </row>
    <row r="170" spans="1:16" s="293" customFormat="1" ht="12.6" customHeight="1">
      <c r="A170" s="471"/>
      <c r="B170" s="471" t="s">
        <v>1937</v>
      </c>
      <c r="C170" s="2347" t="s">
        <v>2622</v>
      </c>
      <c r="D170" s="2347"/>
      <c r="E170" s="2347"/>
      <c r="F170" s="2347"/>
      <c r="G170" s="2347"/>
      <c r="I170" s="3626"/>
      <c r="J170" s="2424" t="s">
        <v>743</v>
      </c>
      <c r="K170" s="2425"/>
      <c r="L170" s="3626"/>
      <c r="M170" s="2426" t="s">
        <v>2266</v>
      </c>
      <c r="N170" s="2427"/>
      <c r="O170" s="2428"/>
      <c r="P170" s="3627"/>
    </row>
    <row r="171" spans="1:16" s="293" customFormat="1" ht="12.6" customHeight="1">
      <c r="A171" s="471"/>
      <c r="B171" s="471"/>
      <c r="C171" s="2347" t="s">
        <v>2623</v>
      </c>
      <c r="D171" s="2347"/>
      <c r="E171" s="2347"/>
      <c r="F171" s="2347"/>
      <c r="G171" s="2347"/>
      <c r="I171" s="3564" t="s">
        <v>2884</v>
      </c>
      <c r="J171" s="2424" t="s">
        <v>743</v>
      </c>
      <c r="K171" s="2425"/>
      <c r="L171" s="3564"/>
      <c r="M171" s="2426" t="s">
        <v>2266</v>
      </c>
      <c r="N171" s="2427"/>
      <c r="O171" s="2428"/>
      <c r="P171" s="3628"/>
    </row>
    <row r="172" spans="1:16" s="293" customFormat="1" ht="1.5" customHeight="1">
      <c r="A172" s="471"/>
      <c r="B172" s="471"/>
      <c r="C172" s="2347"/>
      <c r="D172" s="2347"/>
      <c r="E172" s="295"/>
      <c r="F172" s="2347"/>
      <c r="G172" s="2347"/>
      <c r="J172" s="2353"/>
      <c r="K172" s="368"/>
      <c r="M172" s="2353"/>
      <c r="O172" s="2356"/>
      <c r="P172" s="302"/>
    </row>
    <row r="173" spans="1:16" s="293" customFormat="1" ht="12.6" customHeight="1">
      <c r="A173" s="471"/>
      <c r="B173" s="471" t="s">
        <v>731</v>
      </c>
      <c r="C173" s="2347" t="s">
        <v>1713</v>
      </c>
      <c r="D173" s="2347"/>
      <c r="E173" s="2347"/>
      <c r="F173" s="2347"/>
      <c r="G173" s="2347"/>
      <c r="I173" s="3551" t="s">
        <v>2887</v>
      </c>
      <c r="L173" s="168"/>
      <c r="M173" s="168"/>
      <c r="P173" s="302"/>
    </row>
    <row r="174" spans="1:16" s="293" customFormat="1" ht="1.5" customHeight="1">
      <c r="A174" s="471"/>
      <c r="B174" s="471"/>
      <c r="C174" s="2345"/>
      <c r="E174" s="326"/>
      <c r="F174" s="326"/>
      <c r="G174" s="326"/>
      <c r="I174" s="326"/>
      <c r="J174" s="326"/>
      <c r="K174" s="2356"/>
      <c r="L174" s="326"/>
      <c r="M174" s="326"/>
      <c r="N174" s="2356"/>
      <c r="O174" s="326"/>
      <c r="P174" s="326"/>
    </row>
    <row r="175" spans="1:16" s="293" customFormat="1" ht="12.6" customHeight="1">
      <c r="A175" s="471"/>
      <c r="B175" s="471" t="s">
        <v>2064</v>
      </c>
      <c r="C175" s="2429" t="s">
        <v>1930</v>
      </c>
      <c r="D175" s="2429"/>
      <c r="E175" s="2429"/>
      <c r="F175" s="2429"/>
      <c r="G175" s="2347"/>
      <c r="I175" s="3551" t="s">
        <v>2887</v>
      </c>
      <c r="J175" s="328" t="s">
        <v>2664</v>
      </c>
      <c r="L175" s="2430" t="s">
        <v>3522</v>
      </c>
      <c r="M175" s="2430"/>
      <c r="N175" s="2347"/>
      <c r="O175" s="2347"/>
      <c r="P175" s="3552"/>
    </row>
    <row r="176" spans="1:16" s="293" customFormat="1" ht="12.6" customHeight="1">
      <c r="B176" s="471"/>
      <c r="L176" s="2419" t="s">
        <v>777</v>
      </c>
      <c r="M176" s="2419"/>
      <c r="N176" s="1481"/>
      <c r="O176" s="1481"/>
      <c r="P176" s="3554"/>
    </row>
    <row r="177" spans="1:16" s="293" customFormat="1" ht="12.6" customHeight="1">
      <c r="A177" s="471"/>
      <c r="B177" s="471"/>
      <c r="L177" s="2419" t="s">
        <v>1747</v>
      </c>
      <c r="M177" s="2419"/>
      <c r="N177" s="1481"/>
      <c r="O177" s="1481"/>
      <c r="P177" s="327" t="str">
        <f>IF(P175="","",P176/P175)</f>
        <v/>
      </c>
    </row>
    <row r="178" spans="1:16" s="293" customFormat="1" ht="13.35" customHeight="1">
      <c r="A178" s="471"/>
      <c r="B178" s="471" t="s">
        <v>1692</v>
      </c>
      <c r="C178" s="2347" t="s">
        <v>1576</v>
      </c>
      <c r="D178" s="2349"/>
      <c r="E178" s="2349"/>
      <c r="F178" s="2349"/>
      <c r="G178" s="2349"/>
      <c r="H178" s="2356"/>
      <c r="J178" s="301"/>
      <c r="K178" s="309"/>
      <c r="M178" s="2353"/>
      <c r="O178" s="2356"/>
      <c r="P178" s="302"/>
    </row>
    <row r="179" spans="1:16" s="293" customFormat="1" ht="12.6" customHeight="1">
      <c r="A179" s="471"/>
      <c r="B179" s="471"/>
      <c r="C179" s="2353" t="s">
        <v>2155</v>
      </c>
      <c r="D179" s="303"/>
      <c r="E179" s="2353"/>
      <c r="F179" s="2353"/>
      <c r="I179" s="3617" t="s">
        <v>2887</v>
      </c>
      <c r="L179" s="2353" t="s">
        <v>1577</v>
      </c>
      <c r="M179" s="2353"/>
      <c r="N179" s="2353"/>
      <c r="P179" s="3617" t="s">
        <v>2884</v>
      </c>
    </row>
    <row r="180" spans="1:16" s="293" customFormat="1" ht="12.6" customHeight="1">
      <c r="A180" s="471"/>
      <c r="B180" s="471"/>
      <c r="C180" s="2353" t="s">
        <v>2156</v>
      </c>
      <c r="I180" s="3611" t="s">
        <v>2887</v>
      </c>
      <c r="L180" s="2353" t="s">
        <v>2744</v>
      </c>
      <c r="M180" s="2353"/>
      <c r="N180" s="2353"/>
      <c r="P180" s="3611" t="s">
        <v>2887</v>
      </c>
    </row>
    <row r="181" spans="1:16" s="293" customFormat="1" ht="12.6" customHeight="1">
      <c r="A181" s="471"/>
      <c r="C181" s="2353" t="s">
        <v>2640</v>
      </c>
      <c r="I181" s="3611" t="s">
        <v>2887</v>
      </c>
      <c r="L181" s="2353" t="s">
        <v>2611</v>
      </c>
      <c r="N181" s="3629"/>
      <c r="O181" s="3630"/>
      <c r="P181" s="3611" t="s">
        <v>2887</v>
      </c>
    </row>
    <row r="182" spans="1:16" s="293" customFormat="1" ht="12.6" customHeight="1">
      <c r="A182" s="471"/>
      <c r="B182" s="471"/>
      <c r="C182" s="2353" t="s">
        <v>1259</v>
      </c>
      <c r="D182" s="329"/>
      <c r="I182" s="3611" t="s">
        <v>2887</v>
      </c>
      <c r="K182" s="303"/>
      <c r="L182" s="2353" t="s">
        <v>3360</v>
      </c>
      <c r="M182" s="2353"/>
      <c r="N182" s="2353"/>
      <c r="P182" s="3611" t="s">
        <v>2887</v>
      </c>
    </row>
    <row r="183" spans="1:16" s="293" customFormat="1" ht="12.6" customHeight="1">
      <c r="A183" s="471"/>
      <c r="B183" s="295"/>
      <c r="C183" s="2353" t="s">
        <v>4520</v>
      </c>
      <c r="I183" s="3611" t="s">
        <v>2887</v>
      </c>
      <c r="J183" s="328" t="s">
        <v>2665</v>
      </c>
      <c r="O183" s="3631"/>
      <c r="P183" s="3632"/>
    </row>
    <row r="184" spans="1:16" s="293" customFormat="1" ht="12.6" customHeight="1">
      <c r="A184" s="471"/>
      <c r="B184" s="295"/>
      <c r="C184" s="2353" t="s">
        <v>1761</v>
      </c>
      <c r="I184" s="3611" t="s">
        <v>2887</v>
      </c>
      <c r="J184" s="328" t="s">
        <v>2665</v>
      </c>
      <c r="O184" s="3633"/>
      <c r="P184" s="3634"/>
    </row>
    <row r="185" spans="1:16" s="293" customFormat="1" ht="12.6" customHeight="1">
      <c r="A185" s="471"/>
      <c r="B185" s="471"/>
      <c r="C185" s="2353" t="s">
        <v>2798</v>
      </c>
      <c r="I185" s="3616" t="s">
        <v>2887</v>
      </c>
      <c r="J185" s="328" t="s">
        <v>2665</v>
      </c>
      <c r="O185" s="3635"/>
      <c r="P185" s="3636"/>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5" t="s">
        <v>621</v>
      </c>
      <c r="D188" s="2349"/>
      <c r="E188" s="2349"/>
      <c r="F188" s="2356"/>
      <c r="G188" s="2356"/>
      <c r="H188" s="3565"/>
      <c r="I188" s="3566"/>
      <c r="N188" s="2353"/>
      <c r="O188" s="2353"/>
      <c r="P188" s="302"/>
    </row>
    <row r="189" spans="1:16" s="293" customFormat="1" ht="12.6" customHeight="1">
      <c r="A189" s="471"/>
      <c r="B189" s="471"/>
      <c r="C189" s="2345" t="s">
        <v>271</v>
      </c>
      <c r="D189" s="2349"/>
      <c r="E189" s="2349"/>
      <c r="F189" s="2356"/>
      <c r="G189" s="2356"/>
      <c r="H189" s="3637"/>
      <c r="I189" s="3638"/>
      <c r="N189" s="2353"/>
      <c r="O189" s="2353"/>
      <c r="P189" s="302"/>
    </row>
    <row r="190" spans="1:16" s="293" customFormat="1" ht="12.6" customHeight="1">
      <c r="A190" s="471"/>
      <c r="B190" s="471"/>
      <c r="C190" s="2345" t="s">
        <v>2236</v>
      </c>
      <c r="D190" s="2349"/>
      <c r="E190" s="2349"/>
      <c r="F190" s="2356"/>
      <c r="G190" s="2356"/>
      <c r="H190" s="3639">
        <v>44805</v>
      </c>
      <c r="I190" s="3640"/>
      <c r="N190" s="2353"/>
      <c r="O190" s="2353"/>
      <c r="P190" s="302"/>
    </row>
    <row r="191" spans="1:16" s="293" customFormat="1" ht="2.25" customHeight="1">
      <c r="B191" s="295"/>
      <c r="C191" s="2353"/>
      <c r="H191" s="2353"/>
      <c r="L191" s="311"/>
      <c r="M191" s="311"/>
      <c r="N191" s="311"/>
      <c r="O191" s="311"/>
      <c r="P191" s="299"/>
    </row>
    <row r="192" spans="1:16" ht="12" customHeight="1">
      <c r="A192" s="319" t="s">
        <v>2690</v>
      </c>
      <c r="C192" s="319" t="s">
        <v>555</v>
      </c>
      <c r="M192" s="319" t="s">
        <v>2193</v>
      </c>
      <c r="N192" s="319" t="s">
        <v>77</v>
      </c>
    </row>
    <row r="193" spans="1:44" ht="409.5" customHeight="1">
      <c r="A193" s="3641" t="s">
        <v>6995</v>
      </c>
      <c r="B193" s="3642"/>
      <c r="C193" s="3642"/>
      <c r="D193" s="3642"/>
      <c r="E193" s="3642"/>
      <c r="F193" s="3642"/>
      <c r="G193" s="3642"/>
      <c r="H193" s="3642"/>
      <c r="I193" s="3642"/>
      <c r="J193" s="3642"/>
      <c r="K193" s="3642"/>
      <c r="L193" s="3643"/>
      <c r="M193" s="3644"/>
      <c r="N193" s="3645"/>
      <c r="O193" s="3645"/>
      <c r="P193" s="3646"/>
      <c r="Q193" s="2401" t="s">
        <v>2613</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47"/>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47"/>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47"/>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47"/>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2781</v>
      </c>
      <c r="K214" s="311"/>
      <c r="L214" s="311"/>
      <c r="M214" s="311"/>
      <c r="N214" s="311"/>
      <c r="O214" s="311"/>
      <c r="P214" s="1033"/>
      <c r="Q214" s="3647"/>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2782</v>
      </c>
      <c r="K215" s="311"/>
      <c r="L215" s="311"/>
      <c r="M215" s="311"/>
      <c r="N215" s="311"/>
      <c r="O215" s="311"/>
      <c r="P215" s="1033"/>
      <c r="Q215" s="3647"/>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2783</v>
      </c>
      <c r="K216" s="311"/>
      <c r="L216" s="311"/>
      <c r="M216" s="311"/>
      <c r="N216" s="311"/>
      <c r="O216" s="311"/>
      <c r="P216" s="1033"/>
      <c r="Q216" s="3647"/>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2784</v>
      </c>
      <c r="K217" s="311"/>
      <c r="L217" s="311"/>
      <c r="M217" s="311"/>
      <c r="N217" s="311"/>
      <c r="O217" s="311"/>
      <c r="P217" s="1033"/>
      <c r="Q217" s="3647"/>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2785</v>
      </c>
      <c r="K218" s="311"/>
      <c r="L218" s="311"/>
      <c r="M218" s="311"/>
      <c r="N218" s="311"/>
      <c r="O218" s="311"/>
      <c r="P218" s="1033"/>
      <c r="Q218" s="3647"/>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2786</v>
      </c>
      <c r="K219" s="311"/>
      <c r="L219" s="311"/>
      <c r="M219" s="311"/>
      <c r="N219" s="311"/>
      <c r="O219" s="311"/>
      <c r="P219" s="1033"/>
      <c r="Q219" s="3647"/>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2787</v>
      </c>
      <c r="K220" s="311"/>
      <c r="L220" s="311"/>
      <c r="M220" s="311"/>
      <c r="N220" s="311"/>
      <c r="O220" s="311"/>
      <c r="P220" s="1033"/>
      <c r="Q220" s="3647"/>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2788</v>
      </c>
      <c r="K221" s="311"/>
      <c r="L221" s="311"/>
      <c r="M221" s="311"/>
      <c r="N221" s="311"/>
      <c r="O221" s="311"/>
      <c r="P221" s="1033"/>
      <c r="Q221" s="3647"/>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2789</v>
      </c>
      <c r="K222" s="311"/>
      <c r="L222" s="311"/>
      <c r="M222" s="311"/>
      <c r="N222" s="311"/>
      <c r="O222" s="311"/>
      <c r="P222" s="1033"/>
      <c r="Q222" s="3647"/>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3648</v>
      </c>
      <c r="K223" s="311"/>
      <c r="L223" s="311"/>
      <c r="M223" s="311"/>
      <c r="N223" s="311"/>
      <c r="O223" s="311"/>
      <c r="P223" s="1033"/>
      <c r="Q223" s="3647"/>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47"/>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47"/>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47"/>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47"/>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47"/>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8"/>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47"/>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47"/>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47"/>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8"/>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47"/>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47"/>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47"/>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47"/>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47"/>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47"/>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47"/>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47"/>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47"/>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47"/>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47"/>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47"/>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47"/>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49"/>
      <c r="Q247" s="3647"/>
      <c r="R247" s="1033"/>
      <c r="S247" s="3650"/>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47"/>
      <c r="R248" s="1033"/>
      <c r="S248" s="3650"/>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47"/>
      <c r="R249" s="1033"/>
      <c r="S249" s="3650"/>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47"/>
      <c r="R250" s="1033"/>
      <c r="S250" s="3650"/>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8"/>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47"/>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47"/>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49"/>
      <c r="Q255" s="3647"/>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47"/>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47"/>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47"/>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47"/>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47"/>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47"/>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47"/>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49"/>
      <c r="Q263" s="3647"/>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47"/>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47"/>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47"/>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47"/>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47"/>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47"/>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47"/>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47"/>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47"/>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47"/>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47"/>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47"/>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47"/>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47"/>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47"/>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47"/>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47"/>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47"/>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47"/>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47"/>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47"/>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47"/>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47"/>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47"/>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47"/>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47"/>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47"/>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47"/>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47"/>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47"/>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47"/>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47"/>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47"/>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47"/>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47"/>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47"/>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47"/>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47"/>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47"/>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47"/>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47"/>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49"/>
      <c r="Q305" s="3647"/>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47"/>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47"/>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47"/>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47"/>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47"/>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47"/>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47"/>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47"/>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47"/>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47"/>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47"/>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47"/>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47"/>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8"/>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47"/>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47"/>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47"/>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8"/>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47"/>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47"/>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49"/>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47"/>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47"/>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47"/>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8"/>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47"/>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49"/>
      <c r="Q334" s="3647"/>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47"/>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47"/>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47"/>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8"/>
      <c r="Q340" s="3647"/>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47"/>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47"/>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47"/>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47"/>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47"/>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47"/>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47"/>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47"/>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47"/>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47"/>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47"/>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47"/>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47"/>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47"/>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47"/>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47"/>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47"/>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49"/>
      <c r="Q358" s="3647"/>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47"/>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47"/>
      <c r="R360" s="1033"/>
      <c r="S360" s="3650"/>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47"/>
      <c r="R361" s="1033"/>
      <c r="S361" s="3650"/>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47"/>
      <c r="R362" s="1033"/>
      <c r="S362" s="3650"/>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0"/>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49"/>
      <c r="Q364" s="1031"/>
      <c r="R364" s="1033"/>
      <c r="S364" s="3650"/>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0"/>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0"/>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49"/>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49"/>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49"/>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49"/>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49"/>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49"/>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49"/>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49"/>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1"/>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2"/>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2"/>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2"/>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2"/>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2"/>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2"/>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2"/>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2"/>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2"/>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2"/>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2"/>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2"/>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2"/>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1"/>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2"/>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2"/>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2"/>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1"/>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2"/>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2"/>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2"/>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1"/>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2"/>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0" t="s">
        <v>92</v>
      </c>
      <c r="S620" s="3650" t="s">
        <v>94</v>
      </c>
      <c r="T620" s="3650"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0" t="s">
        <v>2494</v>
      </c>
      <c r="S621" s="3650" t="s">
        <v>610</v>
      </c>
      <c r="T621" s="3653"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2"/>
      <c r="R622" s="3650" t="s">
        <v>2495</v>
      </c>
      <c r="S622" s="3650" t="s">
        <v>314</v>
      </c>
      <c r="T622" s="3653"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0" t="s">
        <v>2496</v>
      </c>
      <c r="S623" s="3650" t="s">
        <v>2418</v>
      </c>
      <c r="T623" s="3653"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0" t="s">
        <v>2497</v>
      </c>
      <c r="S624" s="3650"/>
      <c r="T624" s="3653"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0" t="s">
        <v>2498</v>
      </c>
      <c r="S625" s="3650" t="s">
        <v>1959</v>
      </c>
      <c r="T625" s="3653"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0" t="s">
        <v>2499</v>
      </c>
      <c r="S626" s="3650" t="s">
        <v>2418</v>
      </c>
      <c r="T626" s="3653"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0" t="s">
        <v>2500</v>
      </c>
      <c r="S627" s="3650" t="s">
        <v>1300</v>
      </c>
      <c r="T627" s="3653"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0" t="s">
        <v>2501</v>
      </c>
      <c r="S628" s="3650" t="s">
        <v>1961</v>
      </c>
      <c r="T628" s="3653"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0" t="s">
        <v>2502</v>
      </c>
      <c r="S629" s="3650" t="s">
        <v>648</v>
      </c>
      <c r="T629" s="3653"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0" t="s">
        <v>2503</v>
      </c>
      <c r="S630" s="3650" t="s">
        <v>610</v>
      </c>
      <c r="T630" s="3653"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0" t="s">
        <v>2504</v>
      </c>
      <c r="S631" s="3650" t="s">
        <v>2121</v>
      </c>
      <c r="T631" s="3653"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0" t="s">
        <v>2505</v>
      </c>
      <c r="S632" s="3650" t="s">
        <v>2464</v>
      </c>
      <c r="T632" s="3653"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0" t="s">
        <v>2186</v>
      </c>
      <c r="S633" s="3650" t="s">
        <v>2461</v>
      </c>
      <c r="T633" s="3653"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0" t="s">
        <v>2506</v>
      </c>
      <c r="S634" s="3650" t="s">
        <v>2121</v>
      </c>
      <c r="T634" s="3653"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0" t="s">
        <v>2507</v>
      </c>
      <c r="S635" s="3650" t="s">
        <v>2421</v>
      </c>
      <c r="T635" s="3653"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1"/>
      <c r="R636" s="3650" t="s">
        <v>2508</v>
      </c>
      <c r="S636" s="3650" t="s">
        <v>1959</v>
      </c>
      <c r="T636" s="3653"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0" t="s">
        <v>1023</v>
      </c>
      <c r="S637" s="3650" t="s">
        <v>1427</v>
      </c>
      <c r="T637" s="3653"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2"/>
      <c r="R638" s="3650" t="s">
        <v>883</v>
      </c>
      <c r="S638" s="3650" t="s">
        <v>1081</v>
      </c>
      <c r="T638" s="3653"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0" t="s">
        <v>1024</v>
      </c>
      <c r="S639" s="3650" t="s">
        <v>610</v>
      </c>
      <c r="T639" s="3653"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0" t="s">
        <v>1025</v>
      </c>
      <c r="S640" s="3650" t="s">
        <v>1863</v>
      </c>
      <c r="T640" s="3653"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2"/>
      <c r="R641" s="3650" t="s">
        <v>1026</v>
      </c>
      <c r="S641" s="3650" t="s">
        <v>1957</v>
      </c>
      <c r="T641" s="3653"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0" t="s">
        <v>1027</v>
      </c>
      <c r="S642" s="3650" t="s">
        <v>1074</v>
      </c>
      <c r="T642" s="3653"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4"/>
      <c r="R643" s="3650" t="s">
        <v>1028</v>
      </c>
      <c r="S643" s="3650" t="s">
        <v>1488</v>
      </c>
      <c r="T643" s="3653"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0" t="s">
        <v>1029</v>
      </c>
      <c r="S644" s="3650" t="s">
        <v>2418</v>
      </c>
      <c r="T644" s="3653"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2"/>
      <c r="R645" s="3650" t="s">
        <v>1030</v>
      </c>
      <c r="S645" s="3650" t="s">
        <v>155</v>
      </c>
      <c r="T645" s="3653"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2"/>
      <c r="R646" s="3650" t="s">
        <v>1031</v>
      </c>
      <c r="S646" s="3650" t="s">
        <v>1307</v>
      </c>
      <c r="T646" s="3653"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0" t="s">
        <v>1032</v>
      </c>
      <c r="S647" s="3650" t="s">
        <v>1488</v>
      </c>
      <c r="T647" s="3653"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0" t="s">
        <v>1033</v>
      </c>
      <c r="S648" s="3650" t="s">
        <v>1088</v>
      </c>
      <c r="T648" s="3653"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0" t="s">
        <v>1034</v>
      </c>
      <c r="S649" s="3650" t="s">
        <v>1957</v>
      </c>
      <c r="T649" s="3653"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3"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0" t="s">
        <v>1035</v>
      </c>
      <c r="S651" s="3650" t="s">
        <v>2421</v>
      </c>
      <c r="T651" s="3653"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0" t="s">
        <v>1574</v>
      </c>
      <c r="S652" s="3650" t="s">
        <v>2461</v>
      </c>
      <c r="T652" s="3653"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0" t="s">
        <v>1036</v>
      </c>
      <c r="S653" s="3650"/>
      <c r="T653" s="3653"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0" t="s">
        <v>180</v>
      </c>
      <c r="S654" s="3650" t="s">
        <v>155</v>
      </c>
      <c r="T654" s="3653"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0" t="s">
        <v>1037</v>
      </c>
      <c r="S655" s="3650" t="s">
        <v>171</v>
      </c>
      <c r="T655" s="3653"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0" t="s">
        <v>2226</v>
      </c>
      <c r="S656" s="3650" t="s">
        <v>1180</v>
      </c>
      <c r="T656" s="3653"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0" t="s">
        <v>1038</v>
      </c>
      <c r="S657" s="3650" t="s">
        <v>610</v>
      </c>
      <c r="T657" s="3653"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0" t="s">
        <v>1039</v>
      </c>
      <c r="S658" s="3650" t="s">
        <v>610</v>
      </c>
      <c r="T658" s="3653"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0" t="s">
        <v>1040</v>
      </c>
      <c r="S659" s="3650" t="s">
        <v>610</v>
      </c>
      <c r="T659" s="3653"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0" t="s">
        <v>1041</v>
      </c>
      <c r="S660" s="3650" t="s">
        <v>610</v>
      </c>
      <c r="T660" s="3653"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0" t="s">
        <v>1042</v>
      </c>
      <c r="S661" s="3650" t="s">
        <v>1629</v>
      </c>
      <c r="T661" s="3653"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0" t="s">
        <v>1043</v>
      </c>
      <c r="S662" s="3650" t="s">
        <v>933</v>
      </c>
      <c r="T662" s="3653"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0" t="s">
        <v>1044</v>
      </c>
      <c r="S663" s="3650" t="s">
        <v>119</v>
      </c>
      <c r="T663" s="3653"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2"/>
      <c r="R664" s="3650" t="s">
        <v>1045</v>
      </c>
      <c r="S664" s="3650" t="s">
        <v>610</v>
      </c>
      <c r="T664" s="3653"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0" t="s">
        <v>1046</v>
      </c>
      <c r="S665" s="3650" t="s">
        <v>311</v>
      </c>
      <c r="T665" s="3653"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0" t="s">
        <v>1047</v>
      </c>
      <c r="S666" s="3650" t="s">
        <v>315</v>
      </c>
      <c r="T666" s="3653"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0" t="s">
        <v>812</v>
      </c>
      <c r="S667" s="3650" t="s">
        <v>1286</v>
      </c>
      <c r="T667" s="3653"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0" t="s">
        <v>1048</v>
      </c>
      <c r="S668" s="3650" t="s">
        <v>648</v>
      </c>
      <c r="T668" s="3653"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0" t="s">
        <v>1049</v>
      </c>
      <c r="S669" s="3650" t="s">
        <v>1488</v>
      </c>
      <c r="T669" s="3653"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0" t="s">
        <v>1050</v>
      </c>
      <c r="S670" s="3650" t="s">
        <v>610</v>
      </c>
      <c r="T670" s="3653"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0" t="s">
        <v>1051</v>
      </c>
      <c r="S671" s="3650" t="s">
        <v>640</v>
      </c>
      <c r="T671" s="3653"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0" t="s">
        <v>1052</v>
      </c>
      <c r="S672" s="3650" t="s">
        <v>155</v>
      </c>
      <c r="T672" s="3653"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1"/>
      <c r="R673" s="3650" t="s">
        <v>1053</v>
      </c>
      <c r="S673" s="3650" t="s">
        <v>1863</v>
      </c>
      <c r="T673" s="3653"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2"/>
      <c r="R674" s="3650" t="s">
        <v>1054</v>
      </c>
      <c r="S674" s="3650" t="s">
        <v>1957</v>
      </c>
      <c r="T674" s="3653"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0" t="s">
        <v>1055</v>
      </c>
      <c r="S675" s="3650" t="s">
        <v>610</v>
      </c>
      <c r="T675" s="3653"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0" t="s">
        <v>1056</v>
      </c>
      <c r="S676" s="3650" t="s">
        <v>1629</v>
      </c>
      <c r="T676" s="3653"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2"/>
      <c r="R677" s="3650" t="s">
        <v>1057</v>
      </c>
      <c r="S677" s="3650" t="s">
        <v>2421</v>
      </c>
      <c r="T677" s="3653"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0" t="s">
        <v>1058</v>
      </c>
      <c r="S678" s="3650" t="s">
        <v>155</v>
      </c>
      <c r="T678" s="3653"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0" t="s">
        <v>1059</v>
      </c>
      <c r="S679" s="3650" t="s">
        <v>155</v>
      </c>
      <c r="T679" s="3653"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2"/>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2"/>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2"/>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2"/>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2"/>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2"/>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4"/>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1"/>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2"/>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2"/>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1"/>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2"/>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1"/>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2"/>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2"/>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erVI79Od9c3QWfXUfYm43Za8oB8ScgxJZPpfHNG51OtMPnQRqO5cWfm+Bj4GOkAbnAfsUFzRd4DpQxNuiimwng==" saltValue="mmVODNITT35Emd/JHJt58w=="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57" t="s">
        <v>2974</v>
      </c>
      <c r="B1" s="3257"/>
      <c r="C1" s="3257"/>
      <c r="D1" s="3257"/>
      <c r="E1" s="3257"/>
      <c r="F1" s="3257"/>
      <c r="G1" s="3257"/>
      <c r="H1" s="3257"/>
      <c r="I1" s="3257"/>
      <c r="J1" s="3257"/>
      <c r="K1" s="3257"/>
    </row>
    <row r="2" spans="1:11" ht="15.6">
      <c r="A2" s="3271" t="str">
        <f>'Sensitivity Analysis'!C8</f>
        <v>Spring Creek Crossing</v>
      </c>
      <c r="B2" s="3271"/>
      <c r="C2" s="3271"/>
      <c r="D2" s="3271"/>
      <c r="E2" s="3271"/>
      <c r="F2" s="3271"/>
      <c r="G2" s="3271"/>
      <c r="H2" s="3271"/>
      <c r="I2" s="3271"/>
      <c r="J2" s="3271"/>
      <c r="K2" s="3271"/>
    </row>
    <row r="3" spans="1:11" ht="9" customHeight="1">
      <c r="A3" s="731"/>
      <c r="B3" s="731"/>
      <c r="C3" s="731"/>
    </row>
    <row r="4" spans="1:11" ht="17.399999999999999">
      <c r="A4" s="732" t="s">
        <v>3421</v>
      </c>
      <c r="B4" s="731"/>
      <c r="C4" s="731"/>
      <c r="K4" s="733"/>
    </row>
    <row r="5" spans="1:11" s="688" customFormat="1" ht="42" customHeight="1">
      <c r="C5" s="3258" t="s">
        <v>4098</v>
      </c>
      <c r="D5" s="3259"/>
      <c r="E5" s="3260"/>
      <c r="F5" s="538"/>
      <c r="G5" s="3258" t="s">
        <v>4099</v>
      </c>
      <c r="H5" s="3259"/>
      <c r="I5" s="3260"/>
      <c r="J5" s="730"/>
      <c r="K5" s="3269" t="s">
        <v>4100</v>
      </c>
    </row>
    <row r="6" spans="1:11" s="735" customFormat="1" ht="15" customHeight="1">
      <c r="A6" s="734" t="s">
        <v>2633</v>
      </c>
      <c r="C6" s="736" t="s">
        <v>3406</v>
      </c>
      <c r="D6" s="736" t="s">
        <v>4101</v>
      </c>
      <c r="E6" s="736" t="s">
        <v>1942</v>
      </c>
      <c r="G6" s="736" t="s">
        <v>3407</v>
      </c>
      <c r="H6" s="736" t="s">
        <v>4102</v>
      </c>
      <c r="I6" s="736" t="s">
        <v>1942</v>
      </c>
      <c r="K6" s="3270"/>
    </row>
    <row r="7" spans="1:11" s="538" customFormat="1" ht="13.5" customHeight="1">
      <c r="A7" s="538" t="s">
        <v>2975</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10</v>
      </c>
      <c r="E8" s="740">
        <f>C8*D8</f>
        <v>0</v>
      </c>
      <c r="G8" s="738"/>
      <c r="H8" s="739">
        <f>'Part VI-Revenues &amp; Expenses'!$L$67</f>
        <v>10</v>
      </c>
      <c r="I8" s="740">
        <f>G8*H8</f>
        <v>0</v>
      </c>
      <c r="K8" s="737" t="s">
        <v>3408</v>
      </c>
    </row>
    <row r="9" spans="1:11" s="538" customFormat="1" ht="13.5" customHeight="1">
      <c r="A9" s="538" t="s">
        <v>2632</v>
      </c>
      <c r="C9" s="738"/>
      <c r="D9" s="1184">
        <f>'Part VI-Revenues &amp; Expenses'!$M$63</f>
        <v>20</v>
      </c>
      <c r="E9" s="740">
        <f>C9*D9</f>
        <v>0</v>
      </c>
      <c r="G9" s="738"/>
      <c r="H9" s="739">
        <f>'Part VI-Revenues &amp; Expenses'!$M$67</f>
        <v>20</v>
      </c>
      <c r="I9" s="740">
        <f>G9*H9</f>
        <v>0</v>
      </c>
      <c r="K9" s="1191">
        <f>'Part IV-A-Uses of Funds'!$G$132</f>
        <v>10856073</v>
      </c>
    </row>
    <row r="10" spans="1:11" s="538" customFormat="1" ht="13.5" customHeight="1">
      <c r="A10" s="538" t="s">
        <v>2635</v>
      </c>
      <c r="C10" s="738"/>
      <c r="D10" s="1184">
        <f>'Part VI-Revenues &amp; Expenses'!$N$63</f>
        <v>20</v>
      </c>
      <c r="E10" s="740">
        <f>C10*D10</f>
        <v>0</v>
      </c>
      <c r="G10" s="738"/>
      <c r="H10" s="739">
        <f>'Part VI-Revenues &amp; Expenses'!$N$67</f>
        <v>20</v>
      </c>
      <c r="I10" s="740">
        <f>G10*H10</f>
        <v>0</v>
      </c>
      <c r="K10" s="737" t="s">
        <v>3409</v>
      </c>
    </row>
    <row r="11" spans="1:11" s="538" customFormat="1" ht="13.5" customHeight="1">
      <c r="A11" s="742" t="s">
        <v>3405</v>
      </c>
      <c r="C11" s="743"/>
      <c r="D11" s="1185">
        <f>'Part VI-Revenues &amp; Expenses'!$O$63</f>
        <v>0</v>
      </c>
      <c r="E11" s="745">
        <f>C11*D11</f>
        <v>0</v>
      </c>
      <c r="G11" s="743"/>
      <c r="H11" s="744">
        <f>'Part VI-Revenues &amp; Expenses'!$O$67</f>
        <v>0</v>
      </c>
      <c r="I11" s="745">
        <f>G11*H11</f>
        <v>0</v>
      </c>
      <c r="K11" s="3261" t="s">
        <v>3413</v>
      </c>
    </row>
    <row r="12" spans="1:11" ht="13.5" customHeight="1" thickBot="1">
      <c r="A12" s="746" t="s">
        <v>3380</v>
      </c>
      <c r="D12" s="777">
        <f>SUM(D7:D11)</f>
        <v>50</v>
      </c>
      <c r="E12" s="747"/>
      <c r="G12" s="746" t="s">
        <v>1749</v>
      </c>
      <c r="H12" s="1190">
        <f>SUM(H7:H11)</f>
        <v>50</v>
      </c>
      <c r="I12" s="747"/>
      <c r="K12" s="3262"/>
    </row>
    <row r="13" spans="1:11" s="538" customFormat="1" ht="13.5" customHeight="1" thickBot="1">
      <c r="A13" s="746" t="s">
        <v>2976</v>
      </c>
      <c r="B13" s="748"/>
      <c r="E13" s="749">
        <f>SUM(E7:E11)</f>
        <v>0</v>
      </c>
      <c r="G13" s="746" t="s">
        <v>3210</v>
      </c>
      <c r="H13" s="748"/>
      <c r="I13" s="750">
        <f>SUM(I7:I11)</f>
        <v>0</v>
      </c>
      <c r="K13" s="1191">
        <f>'Part VIII-Threshold Criteria'!$P$63</f>
        <v>11601485.5</v>
      </c>
    </row>
    <row r="14" spans="1:11" ht="11.25" customHeight="1">
      <c r="G14" s="751" t="s">
        <v>3410</v>
      </c>
    </row>
    <row r="15" spans="1:11" s="538" customFormat="1" ht="9" customHeight="1"/>
    <row r="16" spans="1:11" ht="16.5" customHeight="1">
      <c r="A16" s="732" t="s">
        <v>3422</v>
      </c>
    </row>
    <row r="17" spans="1:11" ht="6" customHeight="1"/>
    <row r="18" spans="1:11" s="538" customFormat="1" ht="13.5" customHeight="1">
      <c r="A18" s="538" t="s">
        <v>3412</v>
      </c>
      <c r="E18" s="1192" t="s">
        <v>3889</v>
      </c>
      <c r="F18" s="1193"/>
      <c r="G18" s="1193"/>
      <c r="H18" s="1193"/>
      <c r="I18" s="1193"/>
      <c r="K18" s="1169">
        <f>'Sensitivity Analysis'!$E$13</f>
        <v>50</v>
      </c>
    </row>
    <row r="19" spans="1:11" s="538" customFormat="1" ht="13.5" customHeight="1">
      <c r="A19" s="538" t="s">
        <v>2977</v>
      </c>
      <c r="E19" s="1187"/>
      <c r="K19" s="606">
        <f>'Sensitivity Analysis'!$C$13</f>
        <v>50</v>
      </c>
    </row>
    <row r="20" spans="1:11" ht="3" customHeight="1">
      <c r="A20" s="752"/>
      <c r="E20" s="1188"/>
    </row>
    <row r="21" spans="1:11" s="538" customFormat="1" ht="13.5" customHeight="1">
      <c r="A21" s="538" t="s">
        <v>2978</v>
      </c>
      <c r="E21" s="1186" t="s">
        <v>3411</v>
      </c>
      <c r="K21" s="753">
        <f>K18/K19</f>
        <v>1</v>
      </c>
    </row>
    <row r="22" spans="1:11" ht="6.75" customHeight="1">
      <c r="E22" s="1188"/>
    </row>
    <row r="23" spans="1:11" s="538" customFormat="1" ht="13.5" customHeight="1">
      <c r="A23" s="538" t="s">
        <v>3379</v>
      </c>
      <c r="C23" s="754"/>
      <c r="E23" s="1186" t="s">
        <v>2981</v>
      </c>
      <c r="K23" s="606">
        <f>K9</f>
        <v>10856073</v>
      </c>
    </row>
    <row r="24" spans="1:11" s="538" customFormat="1" ht="13.5" customHeight="1">
      <c r="A24" s="755" t="s">
        <v>1716</v>
      </c>
      <c r="E24" s="1187"/>
      <c r="K24" s="741">
        <f>'Part IV-A-Uses of Funds'!$G$122</f>
        <v>115659</v>
      </c>
    </row>
    <row r="25" spans="1:11" s="538" customFormat="1" ht="13.5" customHeight="1">
      <c r="A25" s="755" t="s">
        <v>2982</v>
      </c>
      <c r="E25" s="1187"/>
      <c r="K25" s="756">
        <v>0</v>
      </c>
    </row>
    <row r="26" spans="1:11" s="538" customFormat="1" ht="13.5" customHeight="1">
      <c r="A26" s="755" t="s">
        <v>2982</v>
      </c>
      <c r="E26" s="1187"/>
      <c r="K26" s="756">
        <v>0</v>
      </c>
    </row>
    <row r="27" spans="1:11" ht="3" customHeight="1">
      <c r="A27" s="757"/>
      <c r="E27" s="1188"/>
      <c r="K27" s="758">
        <v>0</v>
      </c>
    </row>
    <row r="28" spans="1:11" s="748" customFormat="1" ht="13.5" customHeight="1">
      <c r="A28" s="748" t="s">
        <v>2983</v>
      </c>
      <c r="E28" s="1189"/>
      <c r="K28" s="759">
        <f>K23-SUM(K24:K27)</f>
        <v>10740414</v>
      </c>
    </row>
    <row r="29" spans="1:11" ht="6.75" customHeight="1">
      <c r="A29" s="752"/>
      <c r="E29" s="1188"/>
      <c r="K29" s="760"/>
    </row>
    <row r="30" spans="1:11" s="538" customFormat="1" ht="15" customHeight="1">
      <c r="A30" s="748" t="s">
        <v>2984</v>
      </c>
      <c r="E30" s="1186" t="s">
        <v>3416</v>
      </c>
      <c r="F30" s="761"/>
      <c r="G30" s="761"/>
      <c r="H30" s="761"/>
      <c r="I30" s="761"/>
      <c r="K30" s="762">
        <f>K21*K28</f>
        <v>10740414</v>
      </c>
    </row>
    <row r="31" spans="1:11" ht="13.5" customHeight="1">
      <c r="E31" s="1188"/>
      <c r="K31" s="760"/>
    </row>
    <row r="32" spans="1:11" s="538" customFormat="1" ht="16.5" customHeight="1">
      <c r="A32" s="763" t="s">
        <v>3423</v>
      </c>
      <c r="B32" s="748"/>
      <c r="C32" s="748"/>
      <c r="D32" s="748"/>
      <c r="E32" s="1186"/>
    </row>
    <row r="33" spans="1:11" ht="6" customHeight="1" thickBot="1">
      <c r="E33" s="1188"/>
    </row>
    <row r="34" spans="1:11" s="538" customFormat="1" ht="18" customHeight="1" thickBot="1">
      <c r="A34" s="764" t="s">
        <v>3419</v>
      </c>
      <c r="B34" s="748"/>
      <c r="C34" s="748"/>
      <c r="D34" s="748"/>
      <c r="E34" s="1186" t="s">
        <v>3417</v>
      </c>
      <c r="K34" s="765">
        <f>MIN(E13,K30)</f>
        <v>0</v>
      </c>
    </row>
    <row r="35" spans="1:11" ht="6" customHeight="1">
      <c r="E35" s="1188"/>
    </row>
    <row r="36" spans="1:11" s="538" customFormat="1" ht="15" customHeight="1">
      <c r="A36" s="748" t="s">
        <v>3420</v>
      </c>
      <c r="E36" s="1186" t="s">
        <v>3418</v>
      </c>
      <c r="K36" s="766">
        <f>'Sensitivity Analysis'!C25</f>
        <v>0</v>
      </c>
    </row>
    <row r="37" spans="1:11" s="538" customFormat="1" ht="9" customHeight="1" thickBot="1">
      <c r="E37" s="767"/>
      <c r="F37" s="767"/>
      <c r="G37" s="767"/>
      <c r="H37" s="767"/>
      <c r="K37" s="768"/>
    </row>
    <row r="38" spans="1:11" s="538" customFormat="1" ht="15.75" customHeight="1">
      <c r="A38" s="3263" t="s">
        <v>3414</v>
      </c>
      <c r="B38" s="3263"/>
      <c r="C38" s="3263"/>
      <c r="D38" s="3264" t="s">
        <v>2979</v>
      </c>
      <c r="E38" s="3264"/>
      <c r="F38" s="3264" t="s">
        <v>2980</v>
      </c>
      <c r="G38" s="3264"/>
      <c r="H38" s="3264"/>
      <c r="I38" s="1239" t="s">
        <v>2730</v>
      </c>
      <c r="K38" s="3265">
        <f>ROUND((D39/F39)*I39,0)</f>
        <v>0</v>
      </c>
    </row>
    <row r="39" spans="1:11" s="538" customFormat="1" ht="15.75" customHeight="1" thickBot="1">
      <c r="A39" s="3263"/>
      <c r="B39" s="3263"/>
      <c r="C39" s="3263"/>
      <c r="D39" s="3267">
        <f>K36</f>
        <v>0</v>
      </c>
      <c r="E39" s="3267"/>
      <c r="F39" s="3268">
        <f>K28</f>
        <v>10740414</v>
      </c>
      <c r="G39" s="3268"/>
      <c r="H39" s="3268"/>
      <c r="I39" s="769">
        <f>K19</f>
        <v>50</v>
      </c>
      <c r="K39" s="3266"/>
    </row>
    <row r="40" spans="1:11" ht="12.75" customHeight="1">
      <c r="D40" s="770" t="s">
        <v>3415</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2" t="str">
        <f>CONCATENATE('Sensitivity Analysis'!E8,"  ",'Sensitivity Analysis'!C8)</f>
        <v>2020-079  Spring Creek Crossing</v>
      </c>
      <c r="B1" s="3272"/>
      <c r="C1" s="3272"/>
      <c r="D1" s="3272"/>
      <c r="E1" s="3272"/>
      <c r="F1" s="3272"/>
      <c r="G1" s="3272"/>
      <c r="H1" s="3272"/>
    </row>
    <row r="3" spans="1:13" ht="12" customHeight="1">
      <c r="A3" s="3273" t="s">
        <v>3382</v>
      </c>
      <c r="B3" s="3273"/>
      <c r="C3" s="3273"/>
      <c r="D3" s="3273"/>
      <c r="E3" s="3273"/>
      <c r="F3" s="3273"/>
      <c r="G3" s="3273"/>
      <c r="H3" s="3273"/>
      <c r="I3" s="1243"/>
      <c r="J3" s="3275" t="s">
        <v>3890</v>
      </c>
      <c r="K3" s="3275"/>
      <c r="L3" s="803"/>
      <c r="M3" s="803"/>
    </row>
    <row r="4" spans="1:13">
      <c r="J4" s="3275"/>
      <c r="K4" s="3275"/>
    </row>
    <row r="5" spans="1:13" ht="12" customHeight="1">
      <c r="A5" s="730">
        <v>1</v>
      </c>
      <c r="C5" s="730" t="s">
        <v>2986</v>
      </c>
      <c r="E5" s="785" t="str">
        <f>'Sensitivity Analysis'!H9</f>
        <v>Spring Creek Crossing Montezuma, LP</v>
      </c>
      <c r="J5" s="3275"/>
      <c r="K5" s="3275"/>
    </row>
    <row r="6" spans="1:13" ht="3" customHeight="1">
      <c r="H6" s="747"/>
      <c r="J6" s="3275"/>
      <c r="K6" s="3275"/>
    </row>
    <row r="7" spans="1:13" ht="12" customHeight="1">
      <c r="A7" s="730">
        <v>2</v>
      </c>
      <c r="C7" s="730" t="s">
        <v>2987</v>
      </c>
      <c r="E7" s="785" t="str">
        <f>'Part II-Development Team'!H6</f>
        <v>730 N. Dean Road, Suite 100</v>
      </c>
      <c r="J7" s="3275"/>
      <c r="K7" s="3275"/>
    </row>
    <row r="8" spans="1:13" ht="12" customHeight="1">
      <c r="E8" s="785" t="str">
        <f>+'Part II-Development Team'!H7&amp;","&amp;" "&amp;'Part II-Development Team'!H8&amp;" "&amp;LEFT('Part II-Development Team'!J8,5)</f>
        <v>Auburn, AL 36830</v>
      </c>
      <c r="J8" s="3275"/>
      <c r="K8" s="3275"/>
    </row>
    <row r="9" spans="1:13" ht="12" customHeight="1">
      <c r="C9" s="730" t="s">
        <v>2988</v>
      </c>
      <c r="E9" s="3274">
        <f>'Part II-Development Team'!L7</f>
        <v>0</v>
      </c>
      <c r="F9" s="3274"/>
      <c r="J9" s="3275"/>
      <c r="K9" s="3275"/>
    </row>
    <row r="10" spans="1:13" ht="12" customHeight="1">
      <c r="C10" s="730" t="s">
        <v>2989</v>
      </c>
      <c r="E10" s="785" t="str">
        <f>'Part II-Development Team'!Q5</f>
        <v>Fred Bennett</v>
      </c>
    </row>
    <row r="11" spans="1:13" ht="12" customHeight="1">
      <c r="C11" s="730" t="s">
        <v>3895</v>
      </c>
      <c r="E11" s="785" t="str">
        <f>'Part II-Development Team'!L9</f>
        <v>fred@thebennettgrp.net</v>
      </c>
    </row>
    <row r="12" spans="1:13" ht="12" customHeight="1">
      <c r="C12" s="730" t="s">
        <v>3891</v>
      </c>
      <c r="E12" s="1244">
        <f>'Part II-Development Team'!H9</f>
        <v>3343210529</v>
      </c>
    </row>
    <row r="13" spans="1:13" ht="12" customHeight="1">
      <c r="C13" s="730" t="s">
        <v>3894</v>
      </c>
      <c r="E13" s="1244">
        <f>'Part II-Development Team'!Q7</f>
        <v>3343210529</v>
      </c>
    </row>
    <row r="14" spans="1:13" ht="3" customHeight="1"/>
    <row r="15" spans="1:13" ht="12" customHeight="1">
      <c r="A15" s="730">
        <v>3</v>
      </c>
      <c r="C15" s="730" t="s">
        <v>2990</v>
      </c>
      <c r="E15" s="785" t="str">
        <f>'Sensitivity Analysis'!C8</f>
        <v>Spring Creek Crossing</v>
      </c>
    </row>
    <row r="16" spans="1:13" ht="12" customHeight="1">
      <c r="C16" s="730" t="s">
        <v>2991</v>
      </c>
      <c r="E16" s="785" t="str">
        <f>'Part I-Project Information'!$F$35</f>
        <v>Spaulding Road</v>
      </c>
    </row>
    <row r="17" spans="1:8" ht="12" customHeight="1">
      <c r="E17" s="785" t="str">
        <f>+'Part I-Project Information'!$F$38&amp;","&amp;" GA "&amp;LEFT('Part I-Project Information'!$J$38,5)</f>
        <v>Montezuma, GA 31063</v>
      </c>
    </row>
    <row r="18" spans="1:8" ht="3" customHeight="1"/>
    <row r="19" spans="1:8" ht="12" customHeight="1">
      <c r="A19" s="730">
        <v>4</v>
      </c>
      <c r="C19" s="730" t="s">
        <v>2992</v>
      </c>
      <c r="E19" s="785" t="str">
        <f>'Part II-Development Team'!H92</f>
        <v>Fairway Management Co., Inc</v>
      </c>
    </row>
    <row r="20" spans="1:8" ht="12" customHeight="1">
      <c r="C20" s="730" t="s">
        <v>2993</v>
      </c>
      <c r="E20" s="785" t="str">
        <f>'Part II-Development Team'!H93</f>
        <v>3290 Northside Parkway, Suite 300</v>
      </c>
    </row>
    <row r="21" spans="1:8" ht="12" customHeight="1">
      <c r="E21" s="785" t="str">
        <f>+'Part II-Development Team'!H94&amp;","&amp;" "&amp;'Part II-Development Team'!H95&amp;" "&amp;LEFT('Part II-Development Team'!L95,5)</f>
        <v>Atlanta, GA 30327</v>
      </c>
    </row>
    <row r="22" spans="1:8" ht="12" customHeight="1">
      <c r="C22" s="730" t="s">
        <v>3891</v>
      </c>
      <c r="E22" s="1244">
        <f>'Part II-Development Team'!H96</f>
        <v>5734432021</v>
      </c>
    </row>
    <row r="23" spans="1:8" ht="12" customHeight="1">
      <c r="C23" s="730" t="s">
        <v>3894</v>
      </c>
      <c r="E23" s="1244">
        <f>'Part II-Development Team'!Q94</f>
        <v>5734432021</v>
      </c>
    </row>
    <row r="24" spans="1:8" ht="12" customHeight="1">
      <c r="C24" s="730" t="s">
        <v>3895</v>
      </c>
      <c r="E24" s="1244" t="str">
        <f>'Part II-Development Team'!L96</f>
        <v>rstevens@fairwaymanagement.com</v>
      </c>
    </row>
    <row r="25" spans="1:8" ht="3" customHeight="1">
      <c r="E25" s="785"/>
    </row>
    <row r="26" spans="1:8" ht="12" customHeight="1">
      <c r="A26" s="730">
        <v>5</v>
      </c>
      <c r="C26" s="730" t="s">
        <v>2994</v>
      </c>
      <c r="E26" s="785" t="str">
        <f>'Sensitivity Analysis'!$H$7</f>
        <v>New Construction</v>
      </c>
    </row>
    <row r="27" spans="1:8" ht="12" customHeight="1">
      <c r="E27" s="1242" t="s">
        <v>1727</v>
      </c>
    </row>
    <row r="28" spans="1:8" ht="12" customHeight="1">
      <c r="C28" s="730" t="s">
        <v>3381</v>
      </c>
      <c r="E28" s="730" t="str">
        <f>'Sensitivity Analysis'!$C$9</f>
        <v>&lt;&lt;Select&gt;&gt;</v>
      </c>
    </row>
    <row r="29" spans="1:8" ht="3" customHeight="1">
      <c r="H29" s="807"/>
    </row>
    <row r="30" spans="1:8" ht="12" customHeight="1">
      <c r="A30" s="730">
        <v>6</v>
      </c>
      <c r="C30" s="730" t="s">
        <v>2995</v>
      </c>
      <c r="E30" s="730" t="s">
        <v>2346</v>
      </c>
      <c r="F30" s="1245">
        <f>'Part III-Sources of Funds'!L20</f>
        <v>7430272</v>
      </c>
      <c r="G30" s="730" t="s">
        <v>2996</v>
      </c>
    </row>
    <row r="31" spans="1:8" ht="12" customHeight="1">
      <c r="F31" s="1245" t="s">
        <v>2997</v>
      </c>
      <c r="G31" s="730" t="s">
        <v>2998</v>
      </c>
    </row>
    <row r="32" spans="1:8" ht="3" customHeight="1">
      <c r="F32" s="775"/>
    </row>
    <row r="33" spans="1:7" ht="12" customHeight="1">
      <c r="A33" s="730">
        <v>7</v>
      </c>
      <c r="C33" s="730" t="s">
        <v>2999</v>
      </c>
      <c r="F33" s="1246">
        <v>0</v>
      </c>
    </row>
    <row r="34" spans="1:7" ht="3" customHeight="1">
      <c r="F34" s="775"/>
    </row>
    <row r="35" spans="1:7" ht="12" customHeight="1">
      <c r="A35" s="730">
        <v>8</v>
      </c>
      <c r="C35" s="730" t="s">
        <v>3000</v>
      </c>
      <c r="E35" s="730" t="s">
        <v>2346</v>
      </c>
      <c r="F35" s="1247">
        <v>0.01</v>
      </c>
    </row>
    <row r="36" spans="1:7" ht="3" customHeight="1">
      <c r="F36" s="1246"/>
    </row>
    <row r="37" spans="1:7" ht="12" customHeight="1">
      <c r="A37" s="730">
        <v>9</v>
      </c>
      <c r="C37" s="730" t="s">
        <v>3001</v>
      </c>
      <c r="F37" s="1248">
        <v>24</v>
      </c>
      <c r="G37" s="730" t="s">
        <v>3002</v>
      </c>
    </row>
    <row r="38" spans="1:7" ht="3" customHeight="1">
      <c r="F38" s="1246"/>
    </row>
    <row r="39" spans="1:7" ht="12" customHeight="1">
      <c r="A39" s="730">
        <v>10</v>
      </c>
      <c r="C39" s="730" t="s">
        <v>3003</v>
      </c>
      <c r="E39" s="730" t="s">
        <v>2346</v>
      </c>
      <c r="F39" s="775">
        <f>'Part III-Sources of Funds'!L38*12</f>
        <v>0</v>
      </c>
      <c r="G39" s="730" t="s">
        <v>3002</v>
      </c>
    </row>
    <row r="40" spans="1:7" ht="3" customHeight="1">
      <c r="F40" s="775"/>
    </row>
    <row r="41" spans="1:7" ht="12" customHeight="1">
      <c r="A41" s="730">
        <v>11</v>
      </c>
      <c r="C41" s="730" t="s">
        <v>3004</v>
      </c>
      <c r="F41" s="1249">
        <v>24</v>
      </c>
      <c r="G41" s="730" t="s">
        <v>3002</v>
      </c>
    </row>
    <row r="42" spans="1:7" ht="3" customHeight="1"/>
    <row r="43" spans="1:7" ht="12" customHeight="1">
      <c r="A43" s="730">
        <v>12</v>
      </c>
      <c r="C43" s="730" t="s">
        <v>3005</v>
      </c>
      <c r="F43" s="1250" t="s">
        <v>3006</v>
      </c>
    </row>
    <row r="44" spans="1:7" ht="3" customHeight="1"/>
    <row r="45" spans="1:7" ht="12" customHeight="1">
      <c r="A45" s="730">
        <v>13</v>
      </c>
      <c r="C45" s="730" t="s">
        <v>3007</v>
      </c>
      <c r="E45" s="730" t="s">
        <v>2346</v>
      </c>
      <c r="F45" s="785" t="s">
        <v>3008</v>
      </c>
    </row>
    <row r="46" spans="1:7" ht="3" customHeight="1">
      <c r="F46" s="747"/>
    </row>
    <row r="47" spans="1:7" ht="12" customHeight="1">
      <c r="A47" s="730">
        <v>14</v>
      </c>
      <c r="C47" s="730" t="s">
        <v>3009</v>
      </c>
      <c r="E47" s="785" t="str">
        <f>'Part II-Development Team'!H14</f>
        <v>Spring Creek Crossing GP, Inc.</v>
      </c>
    </row>
    <row r="48" spans="1:7" ht="3" customHeight="1">
      <c r="E48" s="785"/>
    </row>
    <row r="49" spans="1:7" ht="12" customHeight="1">
      <c r="A49" s="730">
        <v>15</v>
      </c>
      <c r="C49" s="730" t="s">
        <v>3897</v>
      </c>
      <c r="E49" s="785" t="str">
        <f>'Part II-Development Team'!Q98</f>
        <v>Atkinson Roberts</v>
      </c>
      <c r="G49" s="785" t="str">
        <f>'Part II-Development Team'!H98</f>
        <v>Bradley</v>
      </c>
    </row>
    <row r="50" spans="1:7" ht="12" customHeight="1">
      <c r="C50" s="730" t="s">
        <v>3010</v>
      </c>
      <c r="E50" s="785">
        <f>'Part II-Development Team'!O102</f>
        <v>0</v>
      </c>
      <c r="F50" s="775"/>
    </row>
    <row r="51" spans="1:7" ht="3" customHeight="1">
      <c r="F51" s="775"/>
    </row>
    <row r="52" spans="1:7" ht="12" customHeight="1">
      <c r="A52" s="730">
        <v>16</v>
      </c>
      <c r="C52" s="730" t="s">
        <v>3011</v>
      </c>
      <c r="F52" s="1249">
        <f>'Sensitivity Analysis'!C13</f>
        <v>50</v>
      </c>
    </row>
    <row r="53" spans="1:7" ht="3" customHeight="1">
      <c r="F53" s="775"/>
    </row>
    <row r="54" spans="1:7" ht="12" customHeight="1">
      <c r="A54" s="803">
        <v>17</v>
      </c>
      <c r="B54" s="803"/>
      <c r="C54" s="803" t="s">
        <v>3012</v>
      </c>
      <c r="D54" s="803"/>
      <c r="E54" s="803"/>
      <c r="F54" s="1251">
        <f>'HOME Allocation Limit WS'!K18</f>
        <v>50</v>
      </c>
      <c r="G54" s="803"/>
    </row>
    <row r="55" spans="1:7" ht="3" customHeight="1">
      <c r="F55" s="775"/>
    </row>
    <row r="56" spans="1:7" ht="12" customHeight="1">
      <c r="A56" s="730">
        <v>18</v>
      </c>
      <c r="C56" s="730" t="s">
        <v>3013</v>
      </c>
      <c r="F56" s="1251">
        <f>'Part VI-Revenues &amp; Expenses'!P66</f>
        <v>0</v>
      </c>
      <c r="G56" s="730" t="s">
        <v>3896</v>
      </c>
    </row>
    <row r="57" spans="1:7" ht="3" customHeight="1">
      <c r="F57" s="775"/>
    </row>
    <row r="58" spans="1:7" ht="12" customHeight="1">
      <c r="A58" s="730">
        <v>19</v>
      </c>
      <c r="C58" s="730" t="s">
        <v>3014</v>
      </c>
      <c r="F58" s="1252"/>
      <c r="G58" s="730" t="s">
        <v>3383</v>
      </c>
    </row>
    <row r="59" spans="1:7" ht="3" customHeight="1">
      <c r="F59" s="775"/>
    </row>
    <row r="60" spans="1:7" ht="12" customHeight="1">
      <c r="A60" s="730">
        <v>20</v>
      </c>
      <c r="C60" s="730" t="s">
        <v>3015</v>
      </c>
      <c r="F60" s="1253" t="s">
        <v>948</v>
      </c>
      <c r="G60" s="803"/>
    </row>
    <row r="61" spans="1:7" ht="3" customHeight="1"/>
    <row r="62" spans="1:7" ht="12" customHeight="1">
      <c r="A62" s="730">
        <v>21</v>
      </c>
      <c r="C62" s="730" t="s">
        <v>3398</v>
      </c>
      <c r="E62" s="1254" t="s">
        <v>3384</v>
      </c>
      <c r="F62" s="1255" t="s">
        <v>3385</v>
      </c>
      <c r="G62" s="1254" t="s">
        <v>3016</v>
      </c>
    </row>
    <row r="63" spans="1:7" ht="12" customHeight="1">
      <c r="E63" s="1254" t="s">
        <v>3384</v>
      </c>
      <c r="F63" s="1255" t="s">
        <v>3385</v>
      </c>
      <c r="G63" s="1254"/>
    </row>
    <row r="64" spans="1:7" ht="3" customHeight="1"/>
    <row r="65" spans="1:7" ht="12" customHeight="1">
      <c r="A65" s="730">
        <v>22</v>
      </c>
      <c r="C65" s="730" t="s">
        <v>3017</v>
      </c>
      <c r="E65" s="785" t="str">
        <f>'Sensitivity Analysis'!H9</f>
        <v>Spring Creek Crossing Montezuma, LP</v>
      </c>
    </row>
    <row r="66" spans="1:7" ht="3" customHeight="1"/>
    <row r="67" spans="1:7" ht="12" customHeight="1">
      <c r="A67" s="730">
        <v>23</v>
      </c>
      <c r="C67" s="730" t="s">
        <v>3018</v>
      </c>
      <c r="F67" s="775" t="s">
        <v>3019</v>
      </c>
    </row>
    <row r="68" spans="1:7" ht="3" customHeight="1"/>
    <row r="69" spans="1:7" ht="12" customHeight="1">
      <c r="A69" s="730">
        <v>24</v>
      </c>
      <c r="C69" s="730" t="s">
        <v>3020</v>
      </c>
      <c r="E69" s="730" t="s">
        <v>2346</v>
      </c>
      <c r="F69" s="775">
        <v>20</v>
      </c>
      <c r="G69" s="730" t="s">
        <v>2404</v>
      </c>
    </row>
    <row r="70" spans="1:7" ht="3" customHeight="1"/>
    <row r="71" spans="1:7" ht="12" customHeight="1">
      <c r="A71" s="730">
        <v>25</v>
      </c>
      <c r="C71" s="730" t="s">
        <v>3021</v>
      </c>
      <c r="F71" s="1256">
        <f>'Part IV-A-Uses of Funds'!$G$122</f>
        <v>115659</v>
      </c>
    </row>
    <row r="72" spans="1:7" ht="3" customHeight="1">
      <c r="F72" s="1256"/>
    </row>
    <row r="73" spans="1:7" ht="12" customHeight="1">
      <c r="A73" s="730">
        <v>26</v>
      </c>
      <c r="C73" s="730" t="s">
        <v>3022</v>
      </c>
      <c r="F73" s="1256">
        <f>'Part IV-A-Uses of Funds'!$G$123</f>
        <v>0</v>
      </c>
    </row>
    <row r="74" spans="1:7" ht="3" customHeight="1">
      <c r="F74" s="1256"/>
    </row>
    <row r="75" spans="1:7" ht="12" customHeight="1">
      <c r="A75" s="730">
        <v>27</v>
      </c>
      <c r="C75" s="730" t="s">
        <v>3023</v>
      </c>
      <c r="F75" s="1257">
        <f>'Part IV-A-Uses of Funds'!$G$121</f>
        <v>57830</v>
      </c>
    </row>
    <row r="76" spans="1:7" ht="3" customHeight="1">
      <c r="F76" s="1256"/>
    </row>
    <row r="77" spans="1:7" ht="12" customHeight="1">
      <c r="A77" s="730">
        <v>28</v>
      </c>
      <c r="C77" s="730" t="s">
        <v>3024</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76" t="s">
        <v>3212</v>
      </c>
      <c r="B1" s="3276"/>
      <c r="C1" s="3276"/>
      <c r="D1" s="3276"/>
      <c r="E1" s="3276"/>
      <c r="F1" s="3276"/>
      <c r="G1" s="3276"/>
      <c r="H1" s="3276"/>
      <c r="I1" s="3276"/>
      <c r="J1" s="3276"/>
    </row>
    <row r="2" spans="1:13" ht="13.8">
      <c r="A2" s="3276" t="str">
        <f>'Sensitivity Analysis'!E8&amp;"  "&amp;'Sensitivity Analysis'!C8</f>
        <v>2020-079  Spring Creek Crossing</v>
      </c>
      <c r="B2" s="3276"/>
      <c r="C2" s="3276"/>
      <c r="D2" s="3276"/>
      <c r="E2" s="3276"/>
      <c r="F2" s="3276"/>
      <c r="G2" s="3276"/>
      <c r="H2" s="3276"/>
      <c r="I2" s="3276"/>
      <c r="J2" s="3276"/>
    </row>
    <row r="3" spans="1:13" ht="6" customHeight="1">
      <c r="K3" s="3275" t="s">
        <v>3890</v>
      </c>
      <c r="L3" s="3275"/>
      <c r="M3" s="3275"/>
    </row>
    <row r="4" spans="1:13" ht="12" customHeight="1">
      <c r="A4" s="771" t="s">
        <v>3025</v>
      </c>
      <c r="K4" s="3275"/>
      <c r="L4" s="3275"/>
      <c r="M4" s="3275"/>
    </row>
    <row r="5" spans="1:13" ht="12" customHeight="1">
      <c r="A5" s="730" t="s">
        <v>3026</v>
      </c>
      <c r="C5" s="772" t="str">
        <f>'Subsidy Layering Memo'!D6</f>
        <v>(Underwriter)</v>
      </c>
      <c r="I5" s="772"/>
      <c r="K5" s="3275"/>
      <c r="L5" s="3275"/>
      <c r="M5" s="3275"/>
    </row>
    <row r="6" spans="1:13" ht="6" customHeight="1">
      <c r="C6" s="667"/>
      <c r="D6" s="772"/>
      <c r="I6" s="772"/>
      <c r="K6" s="3275"/>
      <c r="L6" s="3275"/>
      <c r="M6" s="3275"/>
    </row>
    <row r="7" spans="1:13" ht="12" customHeight="1">
      <c r="A7" s="771" t="s">
        <v>3027</v>
      </c>
      <c r="C7" s="667"/>
      <c r="D7" s="772"/>
      <c r="I7" s="772"/>
      <c r="K7" s="3275"/>
      <c r="L7" s="3275"/>
      <c r="M7" s="3275"/>
    </row>
    <row r="8" spans="1:13" ht="12" customHeight="1">
      <c r="A8" s="730" t="s">
        <v>3028</v>
      </c>
      <c r="C8" s="772" t="str">
        <f>'Sensitivity Analysis'!$H$9</f>
        <v>Spring Creek Crossing Montezuma, LP</v>
      </c>
      <c r="I8" s="772"/>
      <c r="K8" s="3275"/>
      <c r="L8" s="3275"/>
      <c r="M8" s="3275"/>
    </row>
    <row r="9" spans="1:13" ht="3" customHeight="1">
      <c r="C9" s="667"/>
      <c r="D9" s="772"/>
      <c r="I9" s="772"/>
    </row>
    <row r="10" spans="1:13" ht="12" customHeight="1">
      <c r="A10" s="730" t="s">
        <v>3029</v>
      </c>
      <c r="C10" s="1196" t="s">
        <v>1727</v>
      </c>
      <c r="I10" s="772"/>
    </row>
    <row r="11" spans="1:13" ht="12" customHeight="1">
      <c r="C11" s="1196" t="s">
        <v>1727</v>
      </c>
      <c r="I11" s="772"/>
    </row>
    <row r="12" spans="1:13" ht="12" customHeight="1">
      <c r="C12" s="772" t="s">
        <v>2602</v>
      </c>
      <c r="D12" s="793" t="s">
        <v>1727</v>
      </c>
      <c r="I12" s="772"/>
    </row>
    <row r="13" spans="1:13" ht="12" customHeight="1">
      <c r="C13" s="772" t="s">
        <v>3030</v>
      </c>
      <c r="D13" s="3279"/>
      <c r="E13" s="3279"/>
      <c r="F13" s="3279"/>
      <c r="G13" s="3279"/>
      <c r="H13" s="3279"/>
      <c r="I13" s="3279"/>
      <c r="J13" s="3279"/>
    </row>
    <row r="14" spans="1:13" ht="3" customHeight="1">
      <c r="G14" s="667"/>
      <c r="H14" s="772"/>
      <c r="I14" s="772"/>
    </row>
    <row r="15" spans="1:13" ht="12" customHeight="1">
      <c r="A15" s="730" t="s">
        <v>3031</v>
      </c>
      <c r="C15" s="774" t="str">
        <f>'Preview term'!E10</f>
        <v>Fred Bennett</v>
      </c>
      <c r="G15" s="667"/>
      <c r="I15" s="772"/>
    </row>
    <row r="16" spans="1:13" ht="12" customHeight="1">
      <c r="A16" s="785" t="s">
        <v>4103</v>
      </c>
      <c r="C16" s="774" t="str">
        <f>'Part II-Development Team'!Q6</f>
        <v>Managing Partner</v>
      </c>
      <c r="G16" s="667"/>
      <c r="I16" s="772"/>
    </row>
    <row r="17" spans="1:9" ht="3" customHeight="1">
      <c r="G17" s="667"/>
      <c r="H17" s="772"/>
      <c r="I17" s="772"/>
    </row>
    <row r="18" spans="1:9" ht="12" customHeight="1">
      <c r="A18" s="730" t="s">
        <v>3032</v>
      </c>
      <c r="C18" s="774" t="str">
        <f>'Preview term'!$E$7</f>
        <v>730 N. Dean Road, Suite 100</v>
      </c>
      <c r="G18" s="667"/>
      <c r="I18" s="772"/>
    </row>
    <row r="19" spans="1:9" ht="12" customHeight="1">
      <c r="C19" s="774" t="str">
        <f>'Preview term'!$E$8</f>
        <v>Auburn, AL 36830</v>
      </c>
      <c r="G19" s="667"/>
      <c r="I19" s="772"/>
    </row>
    <row r="20" spans="1:9" ht="3" customHeight="1">
      <c r="G20" s="667"/>
      <c r="H20" s="772"/>
      <c r="I20" s="772"/>
    </row>
    <row r="21" spans="1:9" ht="12" customHeight="1">
      <c r="A21" s="730" t="s">
        <v>3033</v>
      </c>
      <c r="C21" s="774" t="str">
        <f>CONCATENATE('Preview term'!E49," of  ",'Preview term'!G49)</f>
        <v>Atkinson Roberts of  Bradley</v>
      </c>
      <c r="G21" s="667"/>
      <c r="I21" s="772"/>
    </row>
    <row r="22" spans="1:9" ht="3" customHeight="1">
      <c r="C22" s="774"/>
      <c r="G22" s="667"/>
      <c r="I22" s="772"/>
    </row>
    <row r="23" spans="1:9" ht="12" customHeight="1">
      <c r="A23" s="730" t="s">
        <v>3034</v>
      </c>
      <c r="C23" s="774">
        <f>'Preview term'!E12</f>
        <v>3343210529</v>
      </c>
      <c r="G23" s="667"/>
      <c r="I23" s="772"/>
    </row>
    <row r="24" spans="1:9" ht="3" customHeight="1">
      <c r="C24" s="774"/>
      <c r="G24" s="667"/>
      <c r="I24" s="772"/>
    </row>
    <row r="25" spans="1:9" ht="12" customHeight="1">
      <c r="A25" s="730" t="s">
        <v>3035</v>
      </c>
      <c r="C25" s="1198" t="str">
        <f>'Preview term'!E11</f>
        <v>fred@thebennettgrp.net</v>
      </c>
      <c r="G25" s="667"/>
    </row>
    <row r="26" spans="1:9" ht="6" customHeight="1">
      <c r="G26" s="667"/>
      <c r="H26" s="772"/>
      <c r="I26" s="772"/>
    </row>
    <row r="27" spans="1:9" ht="12" customHeight="1">
      <c r="A27" s="771" t="s">
        <v>3036</v>
      </c>
      <c r="G27" s="667"/>
      <c r="H27" s="772"/>
      <c r="I27" s="772"/>
    </row>
    <row r="28" spans="1:9" ht="12" customHeight="1">
      <c r="A28" s="730" t="s">
        <v>3037</v>
      </c>
      <c r="C28" s="774" t="str">
        <f>'Sensitivity Analysis'!$C$8</f>
        <v>Spring Creek Crossing</v>
      </c>
      <c r="I28" s="772"/>
    </row>
    <row r="29" spans="1:9" ht="3" customHeight="1">
      <c r="C29" s="774"/>
      <c r="I29" s="772"/>
    </row>
    <row r="30" spans="1:9" ht="12" customHeight="1">
      <c r="A30" s="730" t="s">
        <v>3038</v>
      </c>
      <c r="C30" s="774" t="str">
        <f>'Preview term'!E16</f>
        <v>Spaulding Road</v>
      </c>
      <c r="I30" s="772"/>
    </row>
    <row r="31" spans="1:9">
      <c r="C31" s="772" t="str">
        <f>'Preview term'!E17</f>
        <v>Montezuma, GA 31063</v>
      </c>
      <c r="I31" s="772"/>
    </row>
    <row r="32" spans="1:9" ht="3" customHeight="1">
      <c r="C32" s="667"/>
      <c r="D32" s="667"/>
      <c r="I32" s="667"/>
    </row>
    <row r="33" spans="1:10" ht="12" customHeight="1">
      <c r="A33" s="730" t="s">
        <v>3039</v>
      </c>
      <c r="C33" s="667" t="s">
        <v>3040</v>
      </c>
      <c r="D33" s="1197">
        <f>'Preview term'!F54</f>
        <v>50</v>
      </c>
      <c r="I33" s="667"/>
    </row>
    <row r="34" spans="1:10" ht="12" customHeight="1">
      <c r="C34" s="667" t="s">
        <v>3041</v>
      </c>
      <c r="D34" s="776">
        <f>'HOME Allocation Limit WS'!H12-'HOME Allocation Limit WS'!D12</f>
        <v>0</v>
      </c>
      <c r="I34" s="667"/>
    </row>
    <row r="35" spans="1:10" ht="12" customHeight="1">
      <c r="C35" s="667" t="s">
        <v>3042</v>
      </c>
      <c r="D35" s="777">
        <f>SUM(D33:D34)</f>
        <v>50</v>
      </c>
      <c r="I35" s="667"/>
    </row>
    <row r="36" spans="1:10" ht="3" customHeight="1">
      <c r="C36" s="667"/>
      <c r="D36" s="667"/>
      <c r="I36" s="667"/>
    </row>
    <row r="37" spans="1:10" ht="12" customHeight="1">
      <c r="A37" s="730" t="s">
        <v>3043</v>
      </c>
      <c r="C37" s="1254" t="s">
        <v>1727</v>
      </c>
      <c r="D37" s="1195">
        <f>'Preview term'!F56</f>
        <v>0</v>
      </c>
      <c r="E37" s="667" t="s">
        <v>3044</v>
      </c>
      <c r="I37" s="667"/>
    </row>
    <row r="38" spans="1:10" ht="3" customHeight="1">
      <c r="G38" s="778"/>
      <c r="H38" s="667"/>
      <c r="I38" s="667"/>
    </row>
    <row r="39" spans="1:10" ht="25.5" customHeight="1">
      <c r="A39" s="779" t="s">
        <v>3045</v>
      </c>
      <c r="C39" s="3277"/>
      <c r="D39" s="3277"/>
      <c r="E39" s="3277"/>
      <c r="F39" s="3277"/>
      <c r="G39" s="3277"/>
      <c r="H39" s="3277"/>
      <c r="I39" s="3277"/>
      <c r="J39" s="3277"/>
    </row>
    <row r="40" spans="1:10" ht="3" customHeight="1">
      <c r="G40" s="667"/>
      <c r="H40" s="667"/>
      <c r="I40" s="667"/>
    </row>
    <row r="41" spans="1:10" ht="25.5" customHeight="1">
      <c r="A41" s="779" t="s">
        <v>3046</v>
      </c>
      <c r="C41" s="3278" t="s">
        <v>3386</v>
      </c>
      <c r="D41" s="3278"/>
      <c r="E41" s="3278"/>
      <c r="F41" s="3278"/>
      <c r="G41" s="3278"/>
      <c r="H41" s="3278"/>
      <c r="I41" s="3278"/>
      <c r="J41" s="3278"/>
    </row>
    <row r="42" spans="1:10" ht="3" customHeight="1">
      <c r="C42" s="536"/>
      <c r="D42" s="536"/>
      <c r="E42" s="536"/>
      <c r="F42" s="536"/>
      <c r="G42" s="536"/>
      <c r="H42" s="537"/>
      <c r="I42" s="538"/>
      <c r="J42" s="537"/>
    </row>
    <row r="43" spans="1:10" ht="12" customHeight="1">
      <c r="A43" s="730" t="s">
        <v>3047</v>
      </c>
      <c r="C43" s="604" t="str">
        <f>'Part I-Project Information'!J39</f>
        <v>Macon</v>
      </c>
      <c r="D43" s="536"/>
      <c r="F43" s="537"/>
      <c r="I43" s="538"/>
      <c r="J43" s="537"/>
    </row>
    <row r="44" spans="1:10" ht="3" customHeight="1">
      <c r="C44" s="536"/>
      <c r="D44" s="536"/>
      <c r="E44" s="536"/>
      <c r="F44" s="537"/>
      <c r="I44" s="538"/>
      <c r="J44" s="537"/>
    </row>
    <row r="45" spans="1:10" ht="12" customHeight="1">
      <c r="A45" s="730" t="s">
        <v>3048</v>
      </c>
      <c r="C45" s="793" t="s">
        <v>1727</v>
      </c>
      <c r="I45" s="538"/>
      <c r="J45" s="537"/>
    </row>
    <row r="46" spans="1:10" ht="3" customHeight="1">
      <c r="C46" s="667"/>
      <c r="D46" s="780"/>
      <c r="I46" s="667"/>
    </row>
    <row r="47" spans="1:10" ht="12" customHeight="1">
      <c r="A47" s="730" t="s">
        <v>3049</v>
      </c>
      <c r="C47" s="781"/>
      <c r="I47" s="782"/>
      <c r="J47" s="782"/>
    </row>
    <row r="48" spans="1:10" ht="3" customHeight="1">
      <c r="D48" s="782"/>
      <c r="E48" s="782"/>
      <c r="F48" s="782"/>
      <c r="G48" s="783"/>
      <c r="H48" s="667"/>
      <c r="I48" s="782"/>
      <c r="J48" s="782"/>
    </row>
    <row r="49" spans="1:10" ht="12" customHeight="1">
      <c r="A49" s="667"/>
      <c r="B49" s="730" t="s">
        <v>3050</v>
      </c>
      <c r="C49" s="3278" t="s">
        <v>558</v>
      </c>
      <c r="D49" s="3278"/>
      <c r="E49" s="3278"/>
      <c r="F49" s="3278"/>
      <c r="G49" s="3278"/>
      <c r="H49" s="3278"/>
      <c r="I49" s="3278"/>
      <c r="J49" s="3278"/>
    </row>
    <row r="50" spans="1:10" ht="12" customHeight="1">
      <c r="C50" s="3283" t="s">
        <v>1762</v>
      </c>
      <c r="D50" s="3283"/>
      <c r="E50" s="3283"/>
      <c r="F50" s="3283"/>
      <c r="G50" s="3283"/>
      <c r="H50" s="3283"/>
      <c r="I50" s="3283"/>
      <c r="J50" s="3283"/>
    </row>
    <row r="51" spans="1:10" ht="3" customHeight="1">
      <c r="D51" s="782"/>
      <c r="E51" s="782"/>
      <c r="F51" s="782"/>
      <c r="G51" s="783"/>
      <c r="H51" s="667"/>
      <c r="I51" s="782"/>
      <c r="J51" s="782"/>
    </row>
    <row r="52" spans="1:10" ht="12" customHeight="1">
      <c r="A52" s="779" t="s">
        <v>3051</v>
      </c>
      <c r="B52" s="779"/>
      <c r="C52" s="784" t="s">
        <v>3052</v>
      </c>
      <c r="D52" s="784" t="s">
        <v>3387</v>
      </c>
      <c r="E52" s="3284"/>
      <c r="F52" s="3284"/>
      <c r="G52" s="3284"/>
      <c r="H52" s="3284"/>
      <c r="I52" s="3284"/>
      <c r="J52" s="3284"/>
    </row>
    <row r="53" spans="1:10" ht="12" customHeight="1">
      <c r="A53" s="779"/>
      <c r="B53" s="779"/>
      <c r="C53" s="779"/>
      <c r="D53" s="784" t="s">
        <v>3388</v>
      </c>
      <c r="E53" s="3285"/>
      <c r="F53" s="3285"/>
      <c r="G53" s="3285"/>
      <c r="H53" s="3285"/>
      <c r="I53" s="3285"/>
      <c r="J53" s="3285"/>
    </row>
    <row r="54" spans="1:10" ht="12" customHeight="1">
      <c r="A54" s="771" t="s">
        <v>3053</v>
      </c>
      <c r="G54" s="667"/>
      <c r="H54" s="667"/>
      <c r="I54" s="667"/>
    </row>
    <row r="55" spans="1:10" ht="18" customHeight="1">
      <c r="A55" s="730" t="s">
        <v>3054</v>
      </c>
      <c r="C55" s="773" t="str">
        <f>'Sensitivity Analysis'!C10</f>
        <v>Spring Creek Crossing GP, Inc.</v>
      </c>
      <c r="G55" s="667"/>
      <c r="I55" s="667"/>
    </row>
    <row r="56" spans="1:10" ht="3" customHeight="1">
      <c r="C56" s="773"/>
      <c r="G56" s="667"/>
      <c r="I56" s="667"/>
    </row>
    <row r="57" spans="1:10" ht="12" customHeight="1">
      <c r="A57" s="730" t="s">
        <v>3055</v>
      </c>
      <c r="C57" s="773" t="str">
        <f>'Sensitivity Analysis'!C11</f>
        <v/>
      </c>
      <c r="E57" s="773" t="str">
        <f>'Sensitivity Analysis'!E11</f>
        <v/>
      </c>
      <c r="G57" s="667"/>
      <c r="I57" s="667"/>
    </row>
    <row r="58" spans="1:10" ht="3" customHeight="1">
      <c r="C58" s="773"/>
      <c r="G58" s="667"/>
      <c r="I58" s="667"/>
    </row>
    <row r="59" spans="1:10" ht="12" customHeight="1">
      <c r="A59" s="730" t="s">
        <v>3056</v>
      </c>
      <c r="C59" s="773" t="s">
        <v>2727</v>
      </c>
      <c r="G59" s="667"/>
      <c r="I59" s="667"/>
    </row>
    <row r="60" spans="1:10" ht="6" customHeight="1">
      <c r="G60" s="667"/>
      <c r="H60" s="667"/>
      <c r="I60" s="667"/>
    </row>
    <row r="61" spans="1:10" ht="12" customHeight="1">
      <c r="A61" s="771" t="s">
        <v>3057</v>
      </c>
      <c r="G61" s="667"/>
      <c r="H61" s="667"/>
      <c r="I61" s="667"/>
    </row>
    <row r="62" spans="1:10" ht="12" customHeight="1">
      <c r="A62" s="730" t="s">
        <v>3058</v>
      </c>
      <c r="C62" s="730" t="s">
        <v>3059</v>
      </c>
      <c r="D62" s="1199">
        <f>'Preview term'!F30</f>
        <v>7430272</v>
      </c>
      <c r="G62" s="667"/>
      <c r="I62" s="667"/>
    </row>
    <row r="63" spans="1:10" ht="3" customHeight="1">
      <c r="D63" s="785"/>
      <c r="G63" s="667"/>
      <c r="H63" s="786"/>
      <c r="I63" s="667"/>
    </row>
    <row r="64" spans="1:10" ht="12" customHeight="1">
      <c r="A64" s="730" t="s">
        <v>3060</v>
      </c>
      <c r="C64" s="730" t="s">
        <v>3062</v>
      </c>
      <c r="D64" s="773" t="s">
        <v>948</v>
      </c>
      <c r="G64" s="667"/>
      <c r="I64" s="667"/>
    </row>
    <row r="65" spans="1:10" ht="3" customHeight="1">
      <c r="D65" s="785"/>
      <c r="G65" s="667"/>
      <c r="H65" s="667"/>
      <c r="I65" s="667"/>
    </row>
    <row r="66" spans="1:10" ht="12" customHeight="1">
      <c r="A66" s="730" t="s">
        <v>3063</v>
      </c>
      <c r="C66" s="1200" t="s">
        <v>1727</v>
      </c>
      <c r="D66" s="799"/>
      <c r="I66" s="667"/>
    </row>
    <row r="67" spans="1:10" ht="12" customHeight="1">
      <c r="C67" s="730" t="s">
        <v>3064</v>
      </c>
      <c r="D67" s="1241" t="s">
        <v>1727</v>
      </c>
      <c r="I67" s="667"/>
    </row>
    <row r="68" spans="1:10" ht="12" customHeight="1">
      <c r="C68" s="730" t="s">
        <v>3030</v>
      </c>
      <c r="D68" s="3279"/>
      <c r="E68" s="3279"/>
      <c r="F68" s="3279"/>
      <c r="G68" s="3279"/>
      <c r="H68" s="3279"/>
      <c r="I68" s="3279"/>
      <c r="J68" s="3279"/>
    </row>
    <row r="69" spans="1:10" ht="3" customHeight="1">
      <c r="D69" s="785"/>
      <c r="E69" s="667"/>
      <c r="F69" s="667"/>
      <c r="I69" s="667"/>
    </row>
    <row r="70" spans="1:10" ht="12" customHeight="1">
      <c r="A70" s="730" t="s">
        <v>3065</v>
      </c>
      <c r="C70" s="730" t="s">
        <v>2346</v>
      </c>
      <c r="D70" s="793" t="s">
        <v>1727</v>
      </c>
      <c r="I70" s="667"/>
    </row>
    <row r="71" spans="1:10" ht="3" customHeight="1">
      <c r="D71" s="667"/>
      <c r="E71" s="667"/>
      <c r="I71" s="667"/>
    </row>
    <row r="72" spans="1:10" ht="12" customHeight="1">
      <c r="A72" s="730" t="s">
        <v>3066</v>
      </c>
      <c r="C72" s="1200" t="s">
        <v>1727</v>
      </c>
      <c r="I72" s="667"/>
    </row>
    <row r="73" spans="1:10" ht="3" customHeight="1">
      <c r="C73" s="785"/>
      <c r="G73" s="787"/>
      <c r="H73" s="667"/>
      <c r="I73" s="667"/>
    </row>
    <row r="74" spans="1:10" ht="12" customHeight="1">
      <c r="A74" s="730" t="s">
        <v>3067</v>
      </c>
      <c r="C74" s="785" t="s">
        <v>3068</v>
      </c>
      <c r="D74" s="1202">
        <v>0</v>
      </c>
      <c r="J74" s="667"/>
    </row>
    <row r="75" spans="1:10" ht="12" customHeight="1">
      <c r="C75" s="788" t="s">
        <v>3224</v>
      </c>
      <c r="D75" s="1203">
        <v>0.01</v>
      </c>
      <c r="J75" s="667"/>
    </row>
    <row r="76" spans="1:10" ht="3" customHeight="1">
      <c r="C76" s="785"/>
      <c r="D76" s="785"/>
      <c r="G76" s="667"/>
      <c r="H76" s="667"/>
      <c r="I76" s="667"/>
    </row>
    <row r="77" spans="1:10" ht="12" customHeight="1">
      <c r="A77" s="730" t="s">
        <v>3069</v>
      </c>
      <c r="C77" s="785" t="s">
        <v>3429</v>
      </c>
      <c r="D77" s="790">
        <v>24</v>
      </c>
      <c r="I77" s="667"/>
    </row>
    <row r="78" spans="1:10" ht="3" customHeight="1">
      <c r="D78" s="785"/>
      <c r="E78" s="667"/>
      <c r="F78" s="667"/>
      <c r="I78" s="667"/>
    </row>
    <row r="79" spans="1:10" ht="12" customHeight="1">
      <c r="A79" s="730" t="s">
        <v>3070</v>
      </c>
      <c r="C79" s="730" t="s">
        <v>2346</v>
      </c>
      <c r="D79" s="791">
        <f>'Preview term'!F39</f>
        <v>0</v>
      </c>
      <c r="E79" s="667" t="s">
        <v>3391</v>
      </c>
      <c r="I79" s="667"/>
    </row>
    <row r="80" spans="1:10" ht="3" customHeight="1">
      <c r="D80" s="785"/>
      <c r="G80" s="667"/>
      <c r="H80" s="667"/>
      <c r="I80" s="667"/>
    </row>
    <row r="81" spans="1:9" ht="12" customHeight="1">
      <c r="A81" s="730" t="s">
        <v>3071</v>
      </c>
      <c r="D81" s="1201">
        <v>0</v>
      </c>
      <c r="E81" s="792">
        <f>D81*12</f>
        <v>0</v>
      </c>
      <c r="F81" s="667" t="s">
        <v>3430</v>
      </c>
    </row>
    <row r="82" spans="1:9" ht="3" customHeight="1">
      <c r="D82" s="773"/>
      <c r="E82" s="667"/>
      <c r="G82" s="667"/>
    </row>
    <row r="83" spans="1:9" ht="12" customHeight="1">
      <c r="A83" s="730" t="s">
        <v>3072</v>
      </c>
      <c r="D83" s="1241" t="s">
        <v>948</v>
      </c>
      <c r="E83" s="667" t="s">
        <v>3073</v>
      </c>
      <c r="G83" s="667"/>
    </row>
    <row r="84" spans="1:9" ht="3" customHeight="1">
      <c r="G84" s="667"/>
      <c r="H84" s="667"/>
      <c r="I84" s="667"/>
    </row>
    <row r="85" spans="1:9" ht="12" customHeight="1">
      <c r="A85" s="730" t="s">
        <v>3074</v>
      </c>
      <c r="C85" s="1199" t="str">
        <f>'Part VII-Pro Forma'!K71</f>
        <v/>
      </c>
      <c r="D85" s="794" t="s">
        <v>3389</v>
      </c>
      <c r="I85" s="667"/>
    </row>
    <row r="86" spans="1:9" ht="3" customHeight="1">
      <c r="C86" s="667" t="s">
        <v>1727</v>
      </c>
      <c r="D86" s="667"/>
      <c r="E86" s="667"/>
      <c r="I86" s="667"/>
    </row>
    <row r="87" spans="1:9" ht="12" customHeight="1">
      <c r="A87" s="730" t="s">
        <v>3075</v>
      </c>
      <c r="B87" s="795"/>
      <c r="C87" s="1200" t="s">
        <v>1727</v>
      </c>
      <c r="D87" s="1205"/>
      <c r="I87" s="667"/>
    </row>
    <row r="88" spans="1:9" ht="3" customHeight="1">
      <c r="G88" s="667"/>
      <c r="H88" s="667"/>
      <c r="I88" s="667"/>
    </row>
    <row r="89" spans="1:9" ht="12" customHeight="1">
      <c r="A89" s="730" t="s">
        <v>3076</v>
      </c>
      <c r="C89" s="785" t="s">
        <v>3077</v>
      </c>
      <c r="D89" s="773" t="s">
        <v>3006</v>
      </c>
      <c r="I89" s="667"/>
    </row>
    <row r="90" spans="1:9" ht="12" customHeight="1">
      <c r="C90" s="785" t="s">
        <v>3078</v>
      </c>
      <c r="D90" s="773" t="s">
        <v>948</v>
      </c>
      <c r="I90" s="667"/>
    </row>
    <row r="91" spans="1:9" ht="3" customHeight="1">
      <c r="G91" s="667"/>
      <c r="H91" s="667"/>
      <c r="I91" s="667"/>
    </row>
    <row r="92" spans="1:9" ht="12" customHeight="1">
      <c r="A92" s="730" t="s">
        <v>3079</v>
      </c>
      <c r="C92" s="785" t="s">
        <v>3068</v>
      </c>
      <c r="D92" s="667" t="s">
        <v>3080</v>
      </c>
      <c r="E92" s="785" t="str">
        <f>'Part III-Sources of Funds'!H20</f>
        <v>Sterling Bank</v>
      </c>
      <c r="I92" s="667"/>
    </row>
    <row r="93" spans="1:9" ht="12" customHeight="1">
      <c r="C93" s="799"/>
      <c r="D93" s="667"/>
      <c r="E93" s="785" t="s">
        <v>1753</v>
      </c>
      <c r="F93" s="3286"/>
      <c r="G93" s="3286"/>
      <c r="H93" s="3286"/>
      <c r="I93" s="667"/>
    </row>
    <row r="94" spans="1:9" ht="12" customHeight="1">
      <c r="C94" s="785"/>
      <c r="D94" s="667"/>
      <c r="E94" s="785" t="s">
        <v>1934</v>
      </c>
      <c r="F94" s="3287"/>
      <c r="G94" s="3287"/>
      <c r="H94" s="3287"/>
      <c r="I94" s="667"/>
    </row>
    <row r="95" spans="1:9" ht="12" customHeight="1">
      <c r="C95" s="785"/>
      <c r="D95" s="667"/>
      <c r="E95" s="785" t="s">
        <v>1755</v>
      </c>
      <c r="F95" s="3282"/>
      <c r="G95" s="3282"/>
      <c r="H95" s="3282"/>
      <c r="I95" s="667"/>
    </row>
    <row r="96" spans="1:9" ht="12" customHeight="1">
      <c r="B96" s="775"/>
      <c r="C96" s="788" t="s">
        <v>3224</v>
      </c>
      <c r="D96" s="667" t="s">
        <v>3080</v>
      </c>
      <c r="E96" s="785">
        <f>'Part III-Sources of Funds'!E38</f>
        <v>0</v>
      </c>
      <c r="I96" s="667"/>
    </row>
    <row r="97" spans="1:10" ht="12" customHeight="1">
      <c r="C97" s="785"/>
      <c r="D97" s="667"/>
      <c r="E97" s="785" t="s">
        <v>1753</v>
      </c>
      <c r="F97" s="3286"/>
      <c r="G97" s="3286"/>
      <c r="H97" s="3286"/>
      <c r="I97" s="667"/>
    </row>
    <row r="98" spans="1:10" ht="12" customHeight="1">
      <c r="C98" s="785"/>
      <c r="D98" s="667"/>
      <c r="E98" s="785" t="s">
        <v>1934</v>
      </c>
      <c r="F98" s="3287"/>
      <c r="G98" s="3287"/>
      <c r="H98" s="3287"/>
      <c r="I98" s="667"/>
    </row>
    <row r="99" spans="1:10" ht="12" customHeight="1">
      <c r="C99" s="785"/>
      <c r="D99" s="667"/>
      <c r="E99" s="785" t="s">
        <v>1755</v>
      </c>
      <c r="F99" s="3282"/>
      <c r="G99" s="3282"/>
      <c r="H99" s="3282"/>
      <c r="I99" s="667"/>
    </row>
    <row r="100" spans="1:10" ht="3" customHeight="1">
      <c r="D100" s="796"/>
      <c r="G100" s="667"/>
      <c r="H100" s="667"/>
      <c r="I100" s="667"/>
    </row>
    <row r="101" spans="1:10" ht="12" customHeight="1">
      <c r="A101" s="730" t="s">
        <v>3081</v>
      </c>
      <c r="D101" s="1241">
        <f>'Part IX Scoring Criteria'!O337</f>
        <v>0</v>
      </c>
      <c r="E101" s="667" t="s">
        <v>3061</v>
      </c>
      <c r="G101" s="730">
        <f>'Part IX Scoring Criteria'!O333</f>
        <v>4</v>
      </c>
      <c r="H101" s="730" t="s">
        <v>3390</v>
      </c>
      <c r="I101" s="667"/>
    </row>
    <row r="102" spans="1:10" ht="3" customHeight="1">
      <c r="E102" s="667"/>
      <c r="F102" s="667"/>
      <c r="I102" s="667"/>
    </row>
    <row r="103" spans="1:10" ht="12" customHeight="1">
      <c r="A103" s="667" t="s">
        <v>3225</v>
      </c>
      <c r="D103" s="730" t="s">
        <v>948</v>
      </c>
      <c r="E103" s="667"/>
      <c r="I103" s="667"/>
    </row>
    <row r="104" spans="1:10" ht="6" customHeight="1">
      <c r="G104" s="667"/>
      <c r="H104" s="667"/>
      <c r="I104" s="667"/>
    </row>
    <row r="105" spans="1:10" ht="12" customHeight="1">
      <c r="A105" s="771" t="s">
        <v>3226</v>
      </c>
      <c r="I105" s="667"/>
    </row>
    <row r="106" spans="1:10" ht="12" customHeight="1">
      <c r="A106" s="730" t="s">
        <v>3082</v>
      </c>
      <c r="C106" s="1204" t="s">
        <v>1727</v>
      </c>
      <c r="D106" s="3289"/>
      <c r="E106" s="3289"/>
      <c r="F106" s="3289"/>
      <c r="G106" s="3289"/>
      <c r="H106" s="3289"/>
      <c r="I106" s="3289"/>
      <c r="J106" s="3290"/>
    </row>
    <row r="107" spans="1:10" ht="3" customHeight="1">
      <c r="C107" s="785"/>
      <c r="D107" s="667"/>
      <c r="I107" s="667"/>
    </row>
    <row r="108" spans="1:10" ht="12" customHeight="1">
      <c r="A108" s="730" t="s">
        <v>3083</v>
      </c>
      <c r="C108" s="1241" t="s">
        <v>1727</v>
      </c>
    </row>
    <row r="109" spans="1:10" ht="3" customHeight="1">
      <c r="C109" s="785"/>
      <c r="E109" s="667"/>
      <c r="F109" s="667"/>
      <c r="I109" s="667"/>
    </row>
    <row r="110" spans="1:10" ht="12" customHeight="1">
      <c r="A110" s="730" t="s">
        <v>3084</v>
      </c>
      <c r="C110" s="1241" t="s">
        <v>1727</v>
      </c>
      <c r="I110" s="667"/>
    </row>
    <row r="111" spans="1:10" ht="3" customHeight="1">
      <c r="D111" s="778"/>
      <c r="I111" s="667"/>
    </row>
    <row r="112" spans="1:10" ht="12" customHeight="1">
      <c r="A112" s="730" t="s">
        <v>3085</v>
      </c>
      <c r="D112" s="791">
        <v>24</v>
      </c>
      <c r="E112" s="667" t="s">
        <v>3086</v>
      </c>
      <c r="I112" s="667"/>
    </row>
    <row r="113" spans="1:10" ht="12" customHeight="1">
      <c r="C113" s="773" t="s">
        <v>3899</v>
      </c>
      <c r="I113" s="667"/>
    </row>
    <row r="114" spans="1:10" ht="12" customHeight="1">
      <c r="C114" s="773" t="s">
        <v>3898</v>
      </c>
      <c r="G114" s="667"/>
      <c r="I114" s="667"/>
    </row>
    <row r="115" spans="1:10" ht="3" customHeight="1">
      <c r="G115" s="667"/>
      <c r="H115" s="667"/>
      <c r="I115" s="667"/>
    </row>
    <row r="116" spans="1:10" ht="12" customHeight="1">
      <c r="A116" s="730" t="s">
        <v>3087</v>
      </c>
      <c r="D116" s="797">
        <v>0</v>
      </c>
      <c r="E116" s="798" t="s">
        <v>3088</v>
      </c>
      <c r="I116" s="667"/>
    </row>
    <row r="117" spans="1:10" ht="3" customHeight="1">
      <c r="D117" s="785"/>
      <c r="E117" s="667"/>
      <c r="F117" s="667"/>
      <c r="I117" s="667"/>
    </row>
    <row r="118" spans="1:10" ht="12" customHeight="1">
      <c r="A118" s="730" t="s">
        <v>3089</v>
      </c>
      <c r="C118" s="1200" t="s">
        <v>1727</v>
      </c>
      <c r="D118" s="799"/>
      <c r="I118" s="667"/>
    </row>
    <row r="119" spans="1:10" ht="12" customHeight="1">
      <c r="C119" s="667" t="s">
        <v>3090</v>
      </c>
      <c r="D119" s="789"/>
      <c r="E119" s="3292" t="s">
        <v>3900</v>
      </c>
      <c r="F119" s="3292"/>
      <c r="G119" s="3292"/>
      <c r="H119" s="3292"/>
      <c r="I119" s="3292"/>
      <c r="J119" s="3292"/>
    </row>
    <row r="120" spans="1:10" ht="12" customHeight="1">
      <c r="C120" s="667" t="s">
        <v>3091</v>
      </c>
      <c r="D120" s="1206"/>
      <c r="E120" s="3292"/>
      <c r="F120" s="3292"/>
      <c r="G120" s="3292"/>
      <c r="H120" s="3292"/>
      <c r="I120" s="3292"/>
      <c r="J120" s="3292"/>
    </row>
    <row r="121" spans="1:10" ht="12" customHeight="1">
      <c r="C121" s="667" t="s">
        <v>3092</v>
      </c>
      <c r="D121" s="1206"/>
      <c r="E121" s="3292"/>
      <c r="F121" s="3292"/>
      <c r="G121" s="3292"/>
      <c r="H121" s="3292"/>
      <c r="I121" s="3292"/>
      <c r="J121" s="3292"/>
    </row>
    <row r="122" spans="1:10" ht="3" customHeight="1">
      <c r="E122" s="667"/>
      <c r="F122" s="667"/>
      <c r="I122" s="667"/>
    </row>
    <row r="123" spans="1:10" ht="12" customHeight="1">
      <c r="A123" s="730" t="s">
        <v>3093</v>
      </c>
      <c r="D123" s="800" t="s">
        <v>3061</v>
      </c>
      <c r="I123" s="667"/>
    </row>
    <row r="124" spans="1:10" ht="3" customHeight="1">
      <c r="D124" s="667"/>
      <c r="I124" s="667"/>
    </row>
    <row r="125" spans="1:10" ht="12" customHeight="1">
      <c r="A125" s="730" t="s">
        <v>3094</v>
      </c>
      <c r="D125" s="667" t="s">
        <v>3061</v>
      </c>
      <c r="I125" s="667"/>
    </row>
    <row r="126" spans="1:10" ht="3" customHeight="1">
      <c r="G126" s="667"/>
      <c r="H126" s="667"/>
      <c r="I126" s="667"/>
    </row>
    <row r="127" spans="1:10" ht="12" customHeight="1">
      <c r="A127" s="730" t="s">
        <v>3095</v>
      </c>
      <c r="D127" s="667" t="s">
        <v>3096</v>
      </c>
      <c r="G127" s="667"/>
      <c r="I127" s="667"/>
    </row>
    <row r="128" spans="1:10" ht="7.5" customHeight="1">
      <c r="G128" s="667"/>
      <c r="H128" s="667"/>
      <c r="I128" s="667"/>
    </row>
    <row r="129" spans="1:10" ht="12" customHeight="1">
      <c r="A129" s="771" t="s">
        <v>3097</v>
      </c>
      <c r="G129" s="667"/>
      <c r="H129" s="667"/>
      <c r="I129" s="667"/>
    </row>
    <row r="130" spans="1:10" ht="12" customHeight="1">
      <c r="A130" s="730" t="s">
        <v>3098</v>
      </c>
      <c r="C130" s="773" t="str">
        <f>'Sensitivity Analysis'!H11</f>
        <v>Bennett &amp; Company, LLC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3099</v>
      </c>
      <c r="C133" s="801">
        <f>('Part IV-A-Uses of Funds'!G118-'Part III-Sources of Funds'!I43)/2</f>
        <v>596271.5</v>
      </c>
      <c r="G133" s="667"/>
      <c r="I133" s="667"/>
    </row>
    <row r="134" spans="1:10" ht="3" customHeight="1">
      <c r="C134" s="667"/>
      <c r="G134" s="667"/>
      <c r="I134" s="667"/>
    </row>
    <row r="135" spans="1:10" ht="12" customHeight="1">
      <c r="A135" s="730" t="s">
        <v>3100</v>
      </c>
      <c r="C135" s="1241" t="s">
        <v>3101</v>
      </c>
      <c r="G135" s="667"/>
      <c r="I135" s="667"/>
    </row>
    <row r="136" spans="1:10" ht="3" customHeight="1">
      <c r="C136" s="773"/>
      <c r="G136" s="667"/>
      <c r="I136" s="667"/>
    </row>
    <row r="137" spans="1:10" ht="12" customHeight="1">
      <c r="A137" s="730" t="s">
        <v>3102</v>
      </c>
      <c r="C137" s="773" t="str">
        <f>'Preview term'!E19</f>
        <v>Fairway Management Co., Inc</v>
      </c>
      <c r="G137" s="667"/>
      <c r="I137" s="667"/>
      <c r="J137" s="802"/>
    </row>
    <row r="138" spans="1:10" ht="3" customHeight="1">
      <c r="C138" s="773"/>
      <c r="G138" s="667"/>
      <c r="I138" s="667"/>
    </row>
    <row r="139" spans="1:10" ht="12" customHeight="1">
      <c r="A139" s="730" t="s">
        <v>3103</v>
      </c>
      <c r="C139" s="774" t="str">
        <f>C8</f>
        <v>Spring Creek Crossing Montezuma, LP</v>
      </c>
      <c r="G139" s="667"/>
      <c r="I139" s="772"/>
      <c r="J139" s="803"/>
    </row>
    <row r="140" spans="1:10" ht="3" customHeight="1">
      <c r="C140" s="774"/>
      <c r="G140" s="667"/>
      <c r="I140" s="772"/>
      <c r="J140" s="803"/>
    </row>
    <row r="141" spans="1:10" ht="12" customHeight="1">
      <c r="A141" s="730" t="s">
        <v>3104</v>
      </c>
      <c r="C141" s="774" t="str">
        <f>C18</f>
        <v>730 N. Dean Road, Suite 100</v>
      </c>
      <c r="G141" s="667"/>
      <c r="I141" s="772"/>
      <c r="J141" s="803"/>
    </row>
    <row r="142" spans="1:10">
      <c r="C142" s="774" t="str">
        <f>C19</f>
        <v>Auburn, AL 36830</v>
      </c>
      <c r="G142" s="667"/>
      <c r="I142" s="772"/>
      <c r="J142" s="803"/>
    </row>
    <row r="143" spans="1:10" ht="3" customHeight="1">
      <c r="C143" s="804"/>
      <c r="G143" s="667"/>
      <c r="I143" s="772"/>
      <c r="J143" s="803"/>
    </row>
    <row r="144" spans="1:10" ht="12" customHeight="1">
      <c r="A144" s="730" t="s">
        <v>3105</v>
      </c>
      <c r="C144" s="774" t="str">
        <f>'Sensitivity Analysis'!H10</f>
        <v>Affordable Equity Partners, Inc.</v>
      </c>
      <c r="G144" s="667"/>
      <c r="I144" s="772"/>
      <c r="J144" s="802"/>
    </row>
    <row r="145" spans="1:10" ht="3" customHeight="1">
      <c r="C145" s="774"/>
      <c r="G145" s="667"/>
      <c r="I145" s="772"/>
      <c r="J145" s="803"/>
    </row>
    <row r="146" spans="1:10" ht="12" customHeight="1">
      <c r="A146" s="730" t="s">
        <v>3106</v>
      </c>
      <c r="C146" s="774" t="str">
        <f>'Sensitivity Analysis'!K10</f>
        <v>Affordable Equity Partners, Inc.</v>
      </c>
      <c r="G146" s="667"/>
      <c r="I146" s="772"/>
      <c r="J146" s="802"/>
    </row>
    <row r="147" spans="1:10" ht="3" customHeight="1">
      <c r="C147" s="804"/>
      <c r="G147" s="667"/>
      <c r="I147" s="772"/>
      <c r="J147" s="803"/>
    </row>
    <row r="148" spans="1:10" ht="12" customHeight="1">
      <c r="A148" s="730" t="s">
        <v>3107</v>
      </c>
      <c r="C148" s="805" t="s">
        <v>3061</v>
      </c>
      <c r="G148" s="667"/>
      <c r="I148" s="667"/>
    </row>
    <row r="149" spans="1:10" ht="3" customHeight="1">
      <c r="C149" s="805"/>
      <c r="G149" s="667"/>
      <c r="I149" s="667"/>
    </row>
    <row r="150" spans="1:10" ht="12" customHeight="1">
      <c r="A150" s="730" t="s">
        <v>3108</v>
      </c>
      <c r="C150" s="805" t="s">
        <v>3061</v>
      </c>
      <c r="G150" s="667"/>
      <c r="I150" s="667"/>
    </row>
    <row r="151" spans="1:10" ht="7.5" customHeight="1">
      <c r="G151" s="667"/>
      <c r="H151" s="667"/>
      <c r="I151" s="667"/>
    </row>
    <row r="152" spans="1:10" ht="12" customHeight="1">
      <c r="A152" s="771" t="s">
        <v>3109</v>
      </c>
      <c r="G152" s="667"/>
      <c r="H152" s="667"/>
      <c r="I152" s="667"/>
    </row>
    <row r="153" spans="1:10" ht="3" customHeight="1">
      <c r="D153" s="667"/>
      <c r="E153" s="667"/>
      <c r="G153" s="667"/>
    </row>
    <row r="154" spans="1:10" ht="12" customHeight="1">
      <c r="A154" s="730" t="s">
        <v>3110</v>
      </c>
      <c r="C154" s="667" t="s">
        <v>3392</v>
      </c>
      <c r="D154" s="667"/>
      <c r="G154" s="667"/>
      <c r="H154" s="667"/>
      <c r="I154" s="667"/>
    </row>
    <row r="155" spans="1:10" ht="3" customHeight="1">
      <c r="D155" s="667"/>
      <c r="E155" s="667"/>
      <c r="G155" s="667"/>
    </row>
    <row r="156" spans="1:10" ht="12" customHeight="1">
      <c r="A156" s="730" t="s">
        <v>3111</v>
      </c>
      <c r="D156" s="1241">
        <v>20</v>
      </c>
      <c r="E156" s="667" t="s">
        <v>2346</v>
      </c>
    </row>
    <row r="157" spans="1:10" ht="3" customHeight="1">
      <c r="D157" s="667"/>
      <c r="E157" s="667"/>
      <c r="G157" s="667"/>
    </row>
    <row r="158" spans="1:10" ht="12" customHeight="1">
      <c r="A158" s="730" t="s">
        <v>3112</v>
      </c>
      <c r="C158" s="1200" t="s">
        <v>1727</v>
      </c>
      <c r="D158" s="667" t="s">
        <v>3431</v>
      </c>
      <c r="G158" s="667"/>
    </row>
    <row r="159" spans="1:10" ht="3" customHeight="1">
      <c r="G159" s="667"/>
      <c r="H159" s="667"/>
      <c r="I159" s="667"/>
    </row>
    <row r="160" spans="1:10" ht="12" customHeight="1">
      <c r="A160" s="730" t="s">
        <v>3113</v>
      </c>
      <c r="G160" s="667"/>
      <c r="H160" s="667"/>
      <c r="I160" s="667"/>
    </row>
    <row r="161" spans="1:13" ht="7.5" customHeight="1">
      <c r="G161" s="667"/>
      <c r="H161" s="667"/>
      <c r="I161" s="667"/>
    </row>
    <row r="162" spans="1:13" ht="12" customHeight="1">
      <c r="A162" s="771" t="s">
        <v>3114</v>
      </c>
      <c r="G162" s="667"/>
      <c r="H162" s="667"/>
      <c r="I162" s="667"/>
    </row>
    <row r="163" spans="1:13" ht="12" customHeight="1">
      <c r="A163" s="730" t="s">
        <v>3216</v>
      </c>
      <c r="C163" s="730" t="s">
        <v>3217</v>
      </c>
      <c r="E163" s="793">
        <f>'Preview term'!F77</f>
        <v>0</v>
      </c>
      <c r="G163" s="667"/>
      <c r="I163" s="667"/>
    </row>
    <row r="164" spans="1:13" ht="12" customHeight="1">
      <c r="C164" s="730" t="s">
        <v>3393</v>
      </c>
      <c r="E164" s="3279"/>
      <c r="F164" s="3279"/>
      <c r="G164" s="3279"/>
      <c r="I164" s="667"/>
    </row>
    <row r="165" spans="1:13" ht="3" customHeight="1">
      <c r="E165" s="667"/>
      <c r="G165" s="667"/>
      <c r="I165" s="667"/>
    </row>
    <row r="166" spans="1:13" ht="12" customHeight="1">
      <c r="A166" s="730" t="s">
        <v>3115</v>
      </c>
      <c r="C166" s="730" t="s">
        <v>3116</v>
      </c>
      <c r="E166" s="806">
        <f>'Preview term'!F71</f>
        <v>115659</v>
      </c>
      <c r="G166" s="667"/>
      <c r="I166" s="667"/>
    </row>
    <row r="167" spans="1:13" ht="12" customHeight="1">
      <c r="C167" s="730" t="s">
        <v>3393</v>
      </c>
      <c r="E167" s="3279"/>
      <c r="F167" s="3279"/>
      <c r="G167" s="3279"/>
      <c r="I167" s="667"/>
    </row>
    <row r="168" spans="1:13" ht="12" customHeight="1">
      <c r="C168" s="730" t="s">
        <v>3117</v>
      </c>
      <c r="E168" s="773" t="s">
        <v>2727</v>
      </c>
      <c r="G168" s="667"/>
      <c r="I168" s="667"/>
    </row>
    <row r="169" spans="1:13" ht="3" customHeight="1">
      <c r="E169" s="773"/>
      <c r="G169" s="667"/>
      <c r="I169" s="667"/>
    </row>
    <row r="170" spans="1:13" ht="12" customHeight="1">
      <c r="A170" s="730" t="s">
        <v>3218</v>
      </c>
      <c r="C170" s="730" t="s">
        <v>3219</v>
      </c>
      <c r="E170" s="806">
        <f>'Preview term'!F73</f>
        <v>0</v>
      </c>
      <c r="G170" s="667"/>
      <c r="I170" s="667"/>
    </row>
    <row r="171" spans="1:13" ht="12" customHeight="1">
      <c r="C171" s="730" t="s">
        <v>3118</v>
      </c>
      <c r="E171" s="806">
        <f>'Preview term'!F73</f>
        <v>0</v>
      </c>
      <c r="G171" s="667"/>
      <c r="I171" s="772"/>
      <c r="J171" s="803"/>
      <c r="K171" s="803"/>
      <c r="L171" s="803"/>
      <c r="M171" s="803"/>
    </row>
    <row r="172" spans="1:13" ht="12" customHeight="1">
      <c r="C172" s="730" t="s">
        <v>3119</v>
      </c>
      <c r="E172" s="801">
        <f>'Part VI-Revenues &amp; Expenses'!Q233</f>
        <v>12500</v>
      </c>
      <c r="F172" s="772" t="s">
        <v>3120</v>
      </c>
      <c r="J172" s="803"/>
      <c r="K172" s="803"/>
      <c r="L172" s="803"/>
      <c r="M172" s="803"/>
    </row>
    <row r="173" spans="1:13">
      <c r="E173" s="806">
        <f>E172/12</f>
        <v>1041.6666666666667</v>
      </c>
      <c r="F173" s="667" t="s">
        <v>2972</v>
      </c>
    </row>
    <row r="174" spans="1:13" ht="12" customHeight="1">
      <c r="C174" s="730" t="s">
        <v>3394</v>
      </c>
      <c r="E174" s="3279"/>
      <c r="F174" s="3279"/>
      <c r="G174" s="3279"/>
      <c r="I174" s="667"/>
    </row>
    <row r="175" spans="1:13" ht="12" customHeight="1">
      <c r="C175" s="730" t="s">
        <v>3121</v>
      </c>
      <c r="E175" s="667" t="s">
        <v>2884</v>
      </c>
      <c r="I175" s="667"/>
    </row>
    <row r="176" spans="1:13" ht="12" customHeight="1">
      <c r="C176" s="730" t="s">
        <v>3122</v>
      </c>
      <c r="E176" s="667" t="s">
        <v>2727</v>
      </c>
      <c r="I176" s="667"/>
    </row>
    <row r="177" spans="1:10" ht="3" customHeight="1">
      <c r="E177" s="667"/>
      <c r="F177" s="667"/>
      <c r="I177" s="667"/>
    </row>
    <row r="178" spans="1:10" ht="12" customHeight="1">
      <c r="A178" s="730" t="s">
        <v>3214</v>
      </c>
      <c r="C178" s="730" t="s">
        <v>3215</v>
      </c>
      <c r="E178" s="793" t="s">
        <v>1727</v>
      </c>
      <c r="F178" s="807"/>
      <c r="I178" s="667"/>
    </row>
    <row r="179" spans="1:10" ht="12" customHeight="1">
      <c r="C179" s="730" t="s">
        <v>3123</v>
      </c>
      <c r="E179" s="793" t="s">
        <v>1727</v>
      </c>
      <c r="F179" s="3279"/>
      <c r="G179" s="3279"/>
      <c r="H179" s="3279"/>
      <c r="I179" s="3279"/>
      <c r="J179" s="3279"/>
    </row>
    <row r="180" spans="1:10" ht="12" customHeight="1">
      <c r="C180" s="730" t="s">
        <v>3395</v>
      </c>
      <c r="E180" s="667" t="s">
        <v>3061</v>
      </c>
      <c r="I180" s="667"/>
    </row>
    <row r="181" spans="1:10" ht="12" customHeight="1">
      <c r="C181" s="730" t="s">
        <v>3124</v>
      </c>
      <c r="E181" s="667" t="s">
        <v>2727</v>
      </c>
      <c r="I181" s="667"/>
    </row>
    <row r="182" spans="1:10" ht="3" customHeight="1">
      <c r="G182" s="667"/>
      <c r="H182" s="667"/>
      <c r="I182" s="667"/>
    </row>
    <row r="183" spans="1:10" ht="12" customHeight="1">
      <c r="A183" s="730" t="s">
        <v>3220</v>
      </c>
      <c r="C183" s="730" t="s">
        <v>3221</v>
      </c>
      <c r="E183" s="806">
        <f>'Preview term'!F75</f>
        <v>57830</v>
      </c>
      <c r="G183" s="667"/>
      <c r="I183" s="667"/>
    </row>
    <row r="184" spans="1:10" ht="12" customHeight="1">
      <c r="C184" s="730" t="s">
        <v>3393</v>
      </c>
      <c r="E184" s="773">
        <f>E167</f>
        <v>0</v>
      </c>
      <c r="G184" s="667"/>
      <c r="I184" s="667"/>
    </row>
    <row r="185" spans="1:10" ht="12" customHeight="1">
      <c r="C185" s="730" t="s">
        <v>3125</v>
      </c>
      <c r="E185" s="773" t="s">
        <v>3061</v>
      </c>
      <c r="G185" s="667"/>
      <c r="I185" s="667"/>
    </row>
    <row r="186" spans="1:10" ht="3" customHeight="1">
      <c r="E186" s="773"/>
      <c r="G186" s="667"/>
      <c r="I186" s="667"/>
    </row>
    <row r="187" spans="1:10" ht="12" customHeight="1">
      <c r="A187" s="730" t="s">
        <v>3222</v>
      </c>
      <c r="C187" s="730" t="s">
        <v>3223</v>
      </c>
      <c r="E187" s="773" t="s">
        <v>3061</v>
      </c>
      <c r="G187" s="667"/>
      <c r="I187" s="667"/>
    </row>
    <row r="188" spans="1:10" ht="12" customHeight="1">
      <c r="C188" s="730" t="s">
        <v>3116</v>
      </c>
      <c r="E188" s="785"/>
      <c r="G188" s="667"/>
      <c r="H188" s="792"/>
      <c r="I188" s="667"/>
    </row>
    <row r="189" spans="1:10" ht="12" customHeight="1">
      <c r="C189" s="730" t="s">
        <v>3393</v>
      </c>
      <c r="E189" s="785"/>
      <c r="I189" s="773"/>
    </row>
    <row r="190" spans="1:10" ht="12" customHeight="1">
      <c r="C190" s="730" t="s">
        <v>3117</v>
      </c>
      <c r="E190" s="785"/>
      <c r="G190" s="667"/>
      <c r="H190" s="667"/>
      <c r="I190" s="667"/>
    </row>
    <row r="191" spans="1:10" ht="9" customHeight="1">
      <c r="G191" s="667"/>
      <c r="H191" s="667"/>
      <c r="I191" s="667"/>
    </row>
    <row r="192" spans="1:10" ht="12" customHeight="1">
      <c r="A192" s="771" t="s">
        <v>3126</v>
      </c>
      <c r="C192" s="667" t="s">
        <v>3127</v>
      </c>
      <c r="E192" s="667"/>
      <c r="I192" s="667"/>
    </row>
    <row r="193" spans="1:10" ht="9" customHeight="1">
      <c r="E193" s="667"/>
      <c r="F193" s="667"/>
      <c r="I193" s="667"/>
    </row>
    <row r="194" spans="1:10" ht="12" customHeight="1">
      <c r="A194" s="771" t="s">
        <v>3128</v>
      </c>
      <c r="E194" s="667"/>
      <c r="F194" s="667"/>
      <c r="I194" s="667"/>
    </row>
    <row r="195" spans="1:10" ht="12" customHeight="1">
      <c r="A195" s="730" t="s">
        <v>3129</v>
      </c>
      <c r="C195" s="1196" t="s">
        <v>1727</v>
      </c>
      <c r="E195" s="667"/>
      <c r="F195" s="667"/>
      <c r="I195" s="667"/>
    </row>
    <row r="196" spans="1:10" ht="3" customHeight="1">
      <c r="G196" s="667"/>
      <c r="H196" s="667"/>
      <c r="I196" s="667"/>
    </row>
    <row r="197" spans="1:10">
      <c r="A197" s="779" t="s">
        <v>3397</v>
      </c>
      <c r="B197" s="779"/>
      <c r="C197" s="779"/>
      <c r="D197" s="779"/>
      <c r="E197" s="784" t="s">
        <v>3396</v>
      </c>
      <c r="F197" s="3291">
        <f>'Part VIII-Threshold Criteria'!E391</f>
        <v>0</v>
      </c>
      <c r="G197" s="3291"/>
      <c r="H197" s="3291"/>
      <c r="I197" s="3291"/>
      <c r="J197" s="3291"/>
    </row>
    <row r="198" spans="1:10" ht="9" customHeight="1">
      <c r="G198" s="667"/>
      <c r="H198" s="667"/>
      <c r="I198" s="667"/>
    </row>
    <row r="199" spans="1:10" ht="12" customHeight="1">
      <c r="A199" s="808" t="s">
        <v>3213</v>
      </c>
      <c r="G199" s="667"/>
      <c r="H199" s="667"/>
      <c r="I199" s="792"/>
    </row>
    <row r="200" spans="1:10" ht="25.5" hidden="1" customHeight="1">
      <c r="A200" s="3280" t="str">
        <f>'Subsidy Layering Memo'!A98</f>
        <v>Include any reserve requirements; explain any reserves far in excess of 6 month ODR, 3 mo lease up, 1 year RR, 6 mo T&amp;I standards.</v>
      </c>
      <c r="B200" s="3280"/>
      <c r="C200" s="3280"/>
      <c r="D200" s="3280"/>
      <c r="E200" s="3280"/>
      <c r="F200" s="3280"/>
      <c r="G200" s="3280"/>
      <c r="H200" s="3280"/>
      <c r="I200" s="3280"/>
      <c r="J200" s="3280"/>
    </row>
    <row r="201" spans="1:10">
      <c r="A201" s="667"/>
      <c r="G201" s="667"/>
      <c r="H201" s="667"/>
      <c r="I201" s="667"/>
    </row>
    <row r="202" spans="1:10">
      <c r="A202" s="771" t="s">
        <v>3130</v>
      </c>
      <c r="G202" s="667"/>
      <c r="H202" s="667"/>
      <c r="I202" s="667"/>
    </row>
    <row r="203" spans="1:10" ht="3" customHeight="1">
      <c r="G203" s="667"/>
      <c r="H203" s="667"/>
      <c r="I203" s="667"/>
    </row>
    <row r="204" spans="1:10" ht="76.5" customHeight="1">
      <c r="A204" s="3281" t="s">
        <v>2838</v>
      </c>
      <c r="B204" s="3281"/>
      <c r="C204" s="3281"/>
      <c r="D204" s="3281"/>
      <c r="E204" s="3281"/>
      <c r="F204" s="3281"/>
      <c r="G204" s="3281"/>
      <c r="H204" s="3281"/>
      <c r="I204" s="3281"/>
      <c r="J204" s="3281"/>
    </row>
    <row r="205" spans="1:10">
      <c r="A205" s="667" t="s">
        <v>2839</v>
      </c>
      <c r="G205" s="667"/>
      <c r="H205" s="667"/>
      <c r="I205" s="667"/>
    </row>
    <row r="206" spans="1:10" ht="38.25" customHeight="1">
      <c r="A206" s="3281" t="str">
        <f>'Subsidy Layering Memo'!A37&amp;".  "&amp;'Subsidy Layering Memo'!A38</f>
        <v xml:space="preserve">.  </v>
      </c>
      <c r="B206" s="3288"/>
      <c r="C206" s="3288"/>
      <c r="D206" s="3288"/>
      <c r="E206" s="3288"/>
      <c r="F206" s="3288"/>
      <c r="G206" s="3288"/>
      <c r="H206" s="3288"/>
      <c r="I206" s="3288"/>
      <c r="J206" s="3288"/>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4637</v>
      </c>
      <c r="B1" s="1687"/>
      <c r="C1" s="1687"/>
      <c r="D1" s="1687"/>
      <c r="E1" s="1687"/>
      <c r="F1" s="1687"/>
      <c r="G1" s="1687"/>
      <c r="H1" s="1687"/>
    </row>
    <row r="2" spans="1:11" ht="18.600000000000001" thickBot="1">
      <c r="A2" s="1687" t="s">
        <v>4638</v>
      </c>
      <c r="B2" s="1687"/>
      <c r="C2" s="1687"/>
      <c r="D2" s="1687"/>
      <c r="E2" s="1687"/>
      <c r="F2" s="1687"/>
      <c r="G2" s="1687"/>
      <c r="H2" s="1687"/>
    </row>
    <row r="3" spans="1:11" ht="15" customHeight="1" thickBot="1">
      <c r="A3" s="1629" t="s">
        <v>4639</v>
      </c>
      <c r="B3" s="1630"/>
      <c r="C3" s="1631"/>
      <c r="D3" s="3340" t="str">
        <f>'Part I-Project Information'!F34</f>
        <v>Spring Creek Crossing</v>
      </c>
      <c r="E3" s="3341"/>
      <c r="F3" s="3341"/>
      <c r="G3" s="3341"/>
      <c r="H3" s="3341"/>
      <c r="I3" s="3341"/>
      <c r="J3" s="3346" t="s">
        <v>4642</v>
      </c>
      <c r="K3" s="3347"/>
    </row>
    <row r="4" spans="1:11" ht="15" customHeight="1">
      <c r="A4" s="1633" t="s">
        <v>4640</v>
      </c>
      <c r="B4" s="1634"/>
      <c r="C4" s="1635"/>
      <c r="D4" s="3342" t="str">
        <f>CONCATENATE('Part I-Project Information'!F35,", ",'Part I-Project Information'!F38,", GA ",'Part I-Project Information'!J38," (",'Part I-Project Information'!J39," Co.)",)</f>
        <v>Spaulding Road, Montezuma, GA 310631806 (Macon Co.)</v>
      </c>
      <c r="E4" s="3343"/>
      <c r="F4" s="3343"/>
      <c r="G4" s="3343"/>
      <c r="H4" s="3343"/>
      <c r="I4" s="3343"/>
      <c r="J4" s="3348" t="s">
        <v>4681</v>
      </c>
      <c r="K4" s="3349"/>
    </row>
    <row r="5" spans="1:11" ht="15" customHeight="1" thickBot="1">
      <c r="A5" s="1636" t="s">
        <v>4641</v>
      </c>
      <c r="B5" s="1637"/>
      <c r="C5" s="1638"/>
      <c r="D5" s="3344"/>
      <c r="E5" s="3345"/>
      <c r="F5" s="3345"/>
      <c r="G5" s="3345"/>
      <c r="H5" s="3345"/>
      <c r="I5" s="3345"/>
      <c r="J5" s="3350"/>
      <c r="K5" s="3351"/>
    </row>
    <row r="6" spans="1:11" ht="9" customHeight="1" thickBot="1">
      <c r="E6" s="1628"/>
    </row>
    <row r="7" spans="1:11">
      <c r="A7" s="3337" t="s">
        <v>4643</v>
      </c>
      <c r="B7" s="3338"/>
      <c r="C7" s="3338"/>
      <c r="D7" s="3338"/>
      <c r="E7" s="3338"/>
      <c r="F7" s="3338"/>
      <c r="G7" s="3338"/>
      <c r="H7" s="3338"/>
      <c r="I7" s="3338"/>
      <c r="J7" s="3338"/>
      <c r="K7" s="3339"/>
    </row>
    <row r="8" spans="1:11" ht="14.25" customHeight="1">
      <c r="A8" s="1654"/>
      <c r="B8" s="1654"/>
      <c r="C8" s="1676">
        <v>1</v>
      </c>
      <c r="D8" s="1655" t="s">
        <v>4644</v>
      </c>
      <c r="E8" s="1655"/>
      <c r="F8" s="1655"/>
      <c r="G8" s="1655"/>
      <c r="H8" s="1655"/>
      <c r="I8" s="1655"/>
      <c r="J8" s="1655"/>
      <c r="K8" s="1656"/>
    </row>
    <row r="9" spans="1:11" ht="7.2" customHeight="1">
      <c r="A9" s="3332"/>
      <c r="B9" s="3332"/>
      <c r="C9" s="3332"/>
      <c r="D9" s="3333"/>
      <c r="E9" s="3333"/>
      <c r="F9" s="3333"/>
      <c r="G9" s="3333"/>
      <c r="H9" s="3333"/>
      <c r="I9" s="3333"/>
      <c r="J9" s="3333"/>
      <c r="K9" s="1657"/>
    </row>
    <row r="10" spans="1:11">
      <c r="A10" s="3296" t="s">
        <v>4645</v>
      </c>
      <c r="B10" s="3297"/>
      <c r="C10" s="3297"/>
      <c r="D10" s="3297"/>
      <c r="E10" s="3297"/>
      <c r="F10" s="3297"/>
      <c r="G10" s="3297"/>
      <c r="H10" s="3297"/>
      <c r="I10" s="3297"/>
      <c r="J10" s="3297"/>
      <c r="K10" s="3298"/>
    </row>
    <row r="11" spans="1:11" ht="14.25" customHeight="1">
      <c r="A11" s="1654"/>
      <c r="B11" s="1654"/>
      <c r="C11" s="1676">
        <v>2</v>
      </c>
      <c r="D11" s="1655" t="s">
        <v>4646</v>
      </c>
      <c r="E11" s="1658"/>
      <c r="F11" s="1658"/>
      <c r="G11" s="1658"/>
      <c r="H11" s="1658"/>
      <c r="I11" s="1658"/>
      <c r="J11" s="1658"/>
      <c r="K11" s="1659"/>
    </row>
    <row r="12" spans="1:11" ht="7.2" customHeight="1">
      <c r="A12" s="3332"/>
      <c r="B12" s="3332"/>
      <c r="C12" s="3332"/>
      <c r="D12" s="3333"/>
      <c r="E12" s="3333"/>
      <c r="F12" s="3333"/>
      <c r="G12" s="3333"/>
      <c r="H12" s="3333"/>
      <c r="I12" s="3333"/>
      <c r="J12" s="3333"/>
      <c r="K12" s="1660"/>
    </row>
    <row r="13" spans="1:11">
      <c r="A13" s="3296" t="s">
        <v>4647</v>
      </c>
      <c r="B13" s="3297"/>
      <c r="C13" s="3297"/>
      <c r="D13" s="3297"/>
      <c r="E13" s="3297"/>
      <c r="F13" s="3297"/>
      <c r="G13" s="3297"/>
      <c r="H13" s="3297"/>
      <c r="I13" s="3297"/>
      <c r="J13" s="3297"/>
      <c r="K13" s="3298"/>
    </row>
    <row r="14" spans="1:11" ht="14.25" customHeight="1">
      <c r="A14" s="1634"/>
      <c r="B14" s="1634"/>
      <c r="C14" s="1677">
        <v>3</v>
      </c>
      <c r="D14" s="1661" t="s">
        <v>4648</v>
      </c>
      <c r="E14" s="1661"/>
      <c r="F14" s="1661"/>
      <c r="G14" s="1661"/>
      <c r="H14" s="1661"/>
      <c r="I14" s="1661"/>
      <c r="J14" s="1631"/>
      <c r="K14" s="1662"/>
    </row>
    <row r="15" spans="1:11" ht="14.25" customHeight="1">
      <c r="A15" s="1634"/>
      <c r="B15" s="1634"/>
      <c r="C15" s="1678">
        <v>4</v>
      </c>
      <c r="D15" s="1634" t="s">
        <v>4649</v>
      </c>
      <c r="E15" s="1634"/>
      <c r="F15" s="1634"/>
      <c r="G15" s="1634"/>
      <c r="H15" s="1634"/>
      <c r="I15" s="1634"/>
      <c r="J15" s="1635"/>
      <c r="K15" s="1663"/>
    </row>
    <row r="16" spans="1:11" ht="14.25" customHeight="1">
      <c r="A16" s="1634"/>
      <c r="B16" s="1634"/>
      <c r="C16" s="1678">
        <v>5</v>
      </c>
      <c r="D16" s="1634" t="s">
        <v>4650</v>
      </c>
      <c r="E16" s="1634"/>
      <c r="F16" s="1634"/>
      <c r="G16" s="1634"/>
      <c r="H16" s="1634"/>
      <c r="I16" s="1634"/>
      <c r="J16" s="1635"/>
      <c r="K16" s="1663"/>
    </row>
    <row r="17" spans="1:13" ht="14.25" customHeight="1">
      <c r="A17" s="1654"/>
      <c r="B17" s="1654"/>
      <c r="C17" s="1679">
        <v>6</v>
      </c>
      <c r="D17" s="1637" t="s">
        <v>4651</v>
      </c>
      <c r="E17" s="1637"/>
      <c r="F17" s="1637"/>
      <c r="G17" s="1637"/>
      <c r="H17" s="1637"/>
      <c r="I17" s="1637"/>
      <c r="J17" s="1638"/>
      <c r="K17" s="1664"/>
    </row>
    <row r="18" spans="1:13" ht="7.2" customHeight="1">
      <c r="A18" s="3332"/>
      <c r="B18" s="3332"/>
      <c r="C18" s="3332"/>
      <c r="D18" s="3333"/>
      <c r="E18" s="3333"/>
      <c r="F18" s="3333"/>
      <c r="G18" s="3333"/>
      <c r="H18" s="3333"/>
      <c r="I18" s="3333"/>
      <c r="J18" s="3333"/>
      <c r="K18" s="1660"/>
    </row>
    <row r="19" spans="1:13" ht="14.25" customHeight="1">
      <c r="A19" s="1634"/>
      <c r="B19" s="1634"/>
      <c r="C19" s="1677">
        <v>7</v>
      </c>
      <c r="D19" s="1661" t="s">
        <v>4652</v>
      </c>
      <c r="E19" s="1661"/>
      <c r="F19" s="1661"/>
      <c r="G19" s="1661"/>
      <c r="H19" s="1661"/>
      <c r="I19" s="1661"/>
      <c r="J19" s="1631"/>
      <c r="K19" s="1665" t="str">
        <f>IF(K17="No",K14-K15,IF(K17="Yes",K14-K15-K16,"Error"))</f>
        <v>Error</v>
      </c>
    </row>
    <row r="20" spans="1:13" ht="14.25" customHeight="1">
      <c r="A20" s="1654"/>
      <c r="B20" s="1654"/>
      <c r="C20" s="1679">
        <v>8</v>
      </c>
      <c r="D20" s="1637" t="s">
        <v>4653</v>
      </c>
      <c r="E20" s="1637"/>
      <c r="F20" s="1637"/>
      <c r="G20" s="1637"/>
      <c r="H20" s="1637"/>
      <c r="I20" s="1637"/>
      <c r="J20" s="1638"/>
      <c r="K20" s="1666" t="e">
        <f>ROUNDDOWN(K19/K8,2)</f>
        <v>#VALUE!</v>
      </c>
    </row>
    <row r="21" spans="1:13" ht="7.2" customHeight="1">
      <c r="A21" s="3332"/>
      <c r="B21" s="3332"/>
      <c r="C21" s="3332"/>
      <c r="D21" s="3333"/>
      <c r="E21" s="3333"/>
      <c r="F21" s="3333"/>
      <c r="G21" s="3333"/>
      <c r="H21" s="3333"/>
      <c r="I21" s="3333"/>
      <c r="J21" s="3333"/>
      <c r="K21" s="1660"/>
    </row>
    <row r="22" spans="1:13" ht="14.25" customHeight="1" thickBot="1">
      <c r="A22" s="1634"/>
      <c r="B22" s="1634"/>
      <c r="C22" s="1676">
        <v>9</v>
      </c>
      <c r="D22" s="1667" t="s">
        <v>4654</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4655</v>
      </c>
      <c r="C24" s="1644"/>
      <c r="D24" s="1644"/>
      <c r="E24" s="1644"/>
      <c r="F24" s="1644"/>
      <c r="G24" s="1644"/>
      <c r="H24" s="1644"/>
      <c r="I24" s="1644"/>
      <c r="J24" s="1644"/>
      <c r="K24" s="1645"/>
    </row>
    <row r="25" spans="1:13" ht="14.25" customHeight="1">
      <c r="A25" s="1713" t="s">
        <v>4688</v>
      </c>
      <c r="C25" s="1644"/>
      <c r="D25" s="1644"/>
      <c r="E25" s="1644"/>
      <c r="F25" s="1644"/>
      <c r="G25" s="1644"/>
      <c r="H25" s="1644"/>
      <c r="I25" s="1644"/>
      <c r="J25" s="1644"/>
      <c r="K25" s="1645"/>
    </row>
    <row r="26" spans="1:13" ht="14.25" customHeight="1">
      <c r="A26" s="1713" t="s">
        <v>4689</v>
      </c>
      <c r="C26" s="1644"/>
      <c r="D26" s="1644"/>
      <c r="E26" s="1644"/>
      <c r="F26" s="1644"/>
      <c r="G26" s="1644"/>
      <c r="H26" s="1644"/>
      <c r="I26" s="1644"/>
      <c r="J26" s="1644"/>
      <c r="K26" s="1645"/>
    </row>
    <row r="27" spans="1:13" ht="14.25" customHeight="1">
      <c r="A27" s="1713" t="s">
        <v>4690</v>
      </c>
      <c r="C27" s="1644"/>
      <c r="D27" s="1644"/>
      <c r="E27" s="1644"/>
      <c r="F27" s="1644"/>
      <c r="G27" s="1644"/>
      <c r="H27" s="1644"/>
      <c r="I27" s="1644"/>
      <c r="J27" s="1644"/>
      <c r="K27" s="1645"/>
    </row>
    <row r="28" spans="1:13" ht="14.25" customHeight="1">
      <c r="A28" s="1713" t="s">
        <v>4691</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299" t="s">
        <v>4687</v>
      </c>
      <c r="B30" s="3300"/>
      <c r="C30" s="3300"/>
      <c r="D30" s="3300"/>
      <c r="E30" s="3300"/>
      <c r="F30" s="3300"/>
      <c r="G30" s="3300"/>
      <c r="H30" s="3300"/>
      <c r="I30" s="3300"/>
      <c r="J30" s="3300"/>
      <c r="K30" s="3301"/>
    </row>
    <row r="31" spans="1:13">
      <c r="A31" s="1652"/>
      <c r="B31" s="3302" t="s">
        <v>4642</v>
      </c>
      <c r="C31" s="3302"/>
      <c r="D31" s="3302"/>
      <c r="E31" s="3302"/>
      <c r="F31" s="3302"/>
      <c r="G31" s="3334" t="s">
        <v>4656</v>
      </c>
      <c r="H31" s="3335"/>
      <c r="I31" s="3335"/>
      <c r="J31" s="3335"/>
      <c r="K31" s="3336"/>
    </row>
    <row r="32" spans="1:13" ht="56.25" customHeight="1">
      <c r="A32" s="1653"/>
      <c r="B32" s="1680" t="s">
        <v>4684</v>
      </c>
      <c r="C32" s="1681" t="s">
        <v>4680</v>
      </c>
      <c r="D32" s="1681" t="s">
        <v>4679</v>
      </c>
      <c r="E32" s="1681" t="s">
        <v>4685</v>
      </c>
      <c r="F32" s="1682" t="s">
        <v>4686</v>
      </c>
      <c r="G32" s="1683" t="s">
        <v>4657</v>
      </c>
      <c r="H32" s="1683" t="s">
        <v>4658</v>
      </c>
      <c r="J32" s="1683" t="s">
        <v>4659</v>
      </c>
      <c r="K32" s="1683" t="s">
        <v>4660</v>
      </c>
      <c r="L32" s="3294" t="s">
        <v>4661</v>
      </c>
      <c r="M32" s="3294"/>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294"/>
      <c r="M33" s="3294"/>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294"/>
      <c r="M34" s="3294"/>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294"/>
      <c r="M35" s="3294"/>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294"/>
      <c r="M36" s="3294"/>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294"/>
      <c r="M37" s="3294"/>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294"/>
      <c r="M38" s="3294"/>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294"/>
      <c r="M39" s="3294"/>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294"/>
      <c r="M40" s="3294"/>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294"/>
      <c r="M41" s="3294"/>
    </row>
    <row r="42" spans="2:14" ht="12.75" customHeight="1">
      <c r="B42" s="2047"/>
      <c r="C42" s="2048"/>
      <c r="D42" s="2049"/>
      <c r="E42" s="2050"/>
      <c r="F42" s="2051"/>
      <c r="G42" s="1707" t="e">
        <f t="shared" si="0"/>
        <v>#VALUE!</v>
      </c>
      <c r="H42" s="1708" t="e">
        <f>ROUNDUP(G42,0)</f>
        <v>#VALUE!</v>
      </c>
      <c r="I42" s="1705"/>
      <c r="J42" s="1709" t="e">
        <f t="shared" si="1"/>
        <v>#VALUE!</v>
      </c>
      <c r="K42" s="1709" t="e">
        <f t="shared" si="2"/>
        <v>#VALUE!</v>
      </c>
      <c r="L42" s="3294"/>
      <c r="M42" s="3294"/>
    </row>
    <row r="43" spans="2:14" ht="12.75" customHeight="1">
      <c r="B43" s="2047"/>
      <c r="C43" s="2048"/>
      <c r="D43" s="2049"/>
      <c r="E43" s="2050"/>
      <c r="F43" s="2051"/>
      <c r="G43" s="1707" t="e">
        <f t="shared" si="0"/>
        <v>#VALUE!</v>
      </c>
      <c r="H43" s="1708" t="e">
        <f>ROUNDUP(G43,0)</f>
        <v>#VALUE!</v>
      </c>
      <c r="I43" s="1705"/>
      <c r="J43" s="1709" t="e">
        <f t="shared" si="1"/>
        <v>#VALUE!</v>
      </c>
      <c r="K43" s="1709" t="e">
        <f t="shared" si="2"/>
        <v>#VALUE!</v>
      </c>
      <c r="L43" s="3294"/>
      <c r="M43" s="3294"/>
    </row>
    <row r="44" spans="2:14" ht="12.75" customHeight="1">
      <c r="B44" s="2047"/>
      <c r="C44" s="2048"/>
      <c r="D44" s="2049"/>
      <c r="E44" s="2050"/>
      <c r="F44" s="2051"/>
      <c r="G44" s="1707" t="e">
        <f t="shared" si="0"/>
        <v>#VALUE!</v>
      </c>
      <c r="H44" s="1708" t="e">
        <f>ROUNDUP(G44,0)</f>
        <v>#VALUE!</v>
      </c>
      <c r="I44" s="1705"/>
      <c r="J44" s="1709" t="e">
        <f t="shared" si="1"/>
        <v>#VALUE!</v>
      </c>
      <c r="K44" s="1709" t="e">
        <f t="shared" si="2"/>
        <v>#VALUE!</v>
      </c>
      <c r="L44" s="3294"/>
      <c r="M44" s="3294"/>
    </row>
    <row r="45" spans="2:14" ht="12.75" customHeight="1">
      <c r="B45" s="2047"/>
      <c r="C45" s="2048"/>
      <c r="D45" s="2049"/>
      <c r="E45" s="2050"/>
      <c r="F45" s="2051"/>
      <c r="G45" s="1707" t="e">
        <f t="shared" si="0"/>
        <v>#VALUE!</v>
      </c>
      <c r="H45" s="1708" t="e">
        <f>ROUNDUP(G45,0)</f>
        <v>#VALUE!</v>
      </c>
      <c r="I45" s="1705"/>
      <c r="J45" s="1709" t="e">
        <f t="shared" si="1"/>
        <v>#VALUE!</v>
      </c>
      <c r="K45" s="1709" t="e">
        <f t="shared" si="2"/>
        <v>#VALUE!</v>
      </c>
      <c r="L45" s="3294"/>
      <c r="M45" s="3294"/>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294"/>
      <c r="M46" s="3294"/>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294"/>
      <c r="M47" s="3294"/>
    </row>
    <row r="48" spans="2:14" ht="12.75" customHeight="1">
      <c r="B48" s="2047"/>
      <c r="C48" s="2048"/>
      <c r="D48" s="2049"/>
      <c r="E48" s="2050"/>
      <c r="F48" s="2051"/>
      <c r="G48" s="1707" t="e">
        <f t="shared" si="0"/>
        <v>#VALUE!</v>
      </c>
      <c r="H48" s="1708" t="e">
        <f>ROUNDUP(G48,0)</f>
        <v>#VALUE!</v>
      </c>
      <c r="I48" s="1705"/>
      <c r="J48" s="1709" t="e">
        <f t="shared" si="1"/>
        <v>#VALUE!</v>
      </c>
      <c r="K48" s="1709" t="e">
        <f t="shared" si="2"/>
        <v>#VALUE!</v>
      </c>
      <c r="L48" s="3294"/>
      <c r="M48" s="3294"/>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294"/>
      <c r="M49" s="3294"/>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294"/>
      <c r="M50" s="3294"/>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294"/>
      <c r="M51" s="3294"/>
    </row>
    <row r="52" spans="1:13" ht="15" customHeight="1" thickBot="1">
      <c r="A52" s="1652"/>
      <c r="B52" s="1673"/>
      <c r="D52" s="1661"/>
      <c r="E52" s="1661"/>
      <c r="F52" s="1661"/>
      <c r="G52" s="1686" t="s">
        <v>4662</v>
      </c>
      <c r="H52" s="1685" t="e">
        <f>SUM(H33:H51)</f>
        <v>#VALUE!</v>
      </c>
      <c r="I52" s="1661"/>
      <c r="J52" s="1673" t="s">
        <v>4663</v>
      </c>
      <c r="K52" s="1669" t="e">
        <f>SUM(K33:K51)</f>
        <v>#VALUE!</v>
      </c>
      <c r="L52" s="3294"/>
      <c r="M52" s="3294"/>
    </row>
    <row r="53" spans="1:13" ht="15" customHeight="1">
      <c r="A53" s="1652"/>
      <c r="B53" s="1674"/>
      <c r="C53" s="3316" t="s">
        <v>4664</v>
      </c>
      <c r="D53" s="3316"/>
      <c r="E53" s="3316"/>
      <c r="F53" s="3316"/>
      <c r="G53" s="3316"/>
      <c r="H53" s="3316"/>
      <c r="I53" s="3316"/>
      <c r="J53" s="3317"/>
      <c r="K53" s="1675" t="str">
        <f>IF(K17="no",0,IF(K17="yes",K16,"Error"))</f>
        <v>Error</v>
      </c>
      <c r="L53" s="3294"/>
      <c r="M53" s="3294"/>
    </row>
    <row r="54" spans="1:13" ht="15" customHeight="1" thickBot="1">
      <c r="A54" s="1652"/>
      <c r="B54" s="1674"/>
      <c r="C54" s="3318" t="s">
        <v>4665</v>
      </c>
      <c r="D54" s="3318"/>
      <c r="E54" s="3318"/>
      <c r="F54" s="3318"/>
      <c r="G54" s="3318"/>
      <c r="H54" s="3318"/>
      <c r="I54" s="3318"/>
      <c r="J54" s="3319"/>
      <c r="K54" s="1688" t="e">
        <f>K52+K53</f>
        <v>#VALUE!</v>
      </c>
    </row>
    <row r="55" spans="1:13" ht="7.95" customHeight="1">
      <c r="A55" s="3320"/>
      <c r="B55" s="3311"/>
      <c r="C55" s="3311"/>
      <c r="D55" s="3311"/>
      <c r="E55" s="3311"/>
      <c r="F55" s="3311"/>
      <c r="G55" s="3311"/>
      <c r="H55" s="3311"/>
      <c r="I55" s="3311"/>
      <c r="J55" s="3311"/>
      <c r="K55" s="1702"/>
    </row>
    <row r="56" spans="1:13" ht="15" customHeight="1">
      <c r="A56" s="3303" t="s">
        <v>4666</v>
      </c>
      <c r="B56" s="3304"/>
      <c r="C56" s="3304"/>
      <c r="D56" s="3304"/>
      <c r="E56" s="3304"/>
      <c r="F56" s="3304"/>
      <c r="G56" s="3304"/>
      <c r="H56" s="3304"/>
      <c r="I56" s="3304"/>
      <c r="J56" s="3304"/>
      <c r="K56" s="3305"/>
    </row>
    <row r="57" spans="1:13" ht="48" customHeight="1">
      <c r="A57" s="1649"/>
      <c r="B57" s="1640"/>
      <c r="C57" s="1651" t="s">
        <v>4667</v>
      </c>
      <c r="D57" s="2017" t="s">
        <v>6833</v>
      </c>
      <c r="E57" s="3321" t="s">
        <v>4683</v>
      </c>
      <c r="F57" s="3322"/>
      <c r="G57" s="3323" t="s">
        <v>4668</v>
      </c>
      <c r="H57" s="3324"/>
      <c r="I57" s="3321" t="s">
        <v>4682</v>
      </c>
      <c r="J57" s="3322"/>
      <c r="K57" s="3325"/>
    </row>
    <row r="58" spans="1:13" ht="15" customHeight="1">
      <c r="A58" s="1805"/>
      <c r="B58" s="2014"/>
      <c r="C58" s="1670">
        <f>SUMIF(C33:C51, "0", H33:H51)</f>
        <v>0</v>
      </c>
      <c r="D58" s="2018">
        <f t="shared" ref="D58:D63" si="4">ROUNDUP(C58*1.1,0)</f>
        <v>0</v>
      </c>
      <c r="E58" s="3327" t="s">
        <v>4669</v>
      </c>
      <c r="F58" s="3328"/>
      <c r="G58" s="3329">
        <f>62445*2.4</f>
        <v>149868</v>
      </c>
      <c r="H58" s="3330"/>
      <c r="I58" s="3331">
        <f t="shared" ref="I58:I63" si="5">D58*G58</f>
        <v>0</v>
      </c>
      <c r="J58" s="3331"/>
      <c r="K58" s="3326"/>
    </row>
    <row r="59" spans="1:13">
      <c r="A59" s="1805"/>
      <c r="B59" s="2014"/>
      <c r="C59" s="1671">
        <f>SUMIF(C33:C51, "1", H33:H51)</f>
        <v>0</v>
      </c>
      <c r="D59" s="2019">
        <f t="shared" si="4"/>
        <v>0</v>
      </c>
      <c r="E59" s="3312" t="s">
        <v>2631</v>
      </c>
      <c r="F59" s="3313"/>
      <c r="G59" s="3314">
        <f>71584*2.4</f>
        <v>171801.60000000001</v>
      </c>
      <c r="H59" s="3315"/>
      <c r="I59" s="3293">
        <f t="shared" si="5"/>
        <v>0</v>
      </c>
      <c r="J59" s="3293"/>
      <c r="K59" s="3326"/>
    </row>
    <row r="60" spans="1:13" ht="15" customHeight="1">
      <c r="A60" s="1805"/>
      <c r="B60" s="2014"/>
      <c r="C60" s="1671">
        <f>SUMIF(C33:C51, "2", H33:H51)</f>
        <v>0</v>
      </c>
      <c r="D60" s="2019">
        <f t="shared" si="4"/>
        <v>0</v>
      </c>
      <c r="E60" s="3312" t="s">
        <v>2632</v>
      </c>
      <c r="F60" s="3313"/>
      <c r="G60" s="3314">
        <f>87047*2.4</f>
        <v>208912.8</v>
      </c>
      <c r="H60" s="3315"/>
      <c r="I60" s="3293">
        <f t="shared" si="5"/>
        <v>0</v>
      </c>
      <c r="J60" s="3293"/>
      <c r="K60" s="3326"/>
    </row>
    <row r="61" spans="1:13">
      <c r="A61" s="1805"/>
      <c r="B61" s="2014"/>
      <c r="C61" s="1671">
        <f>SUMIF(C33:C51, "3", H33:H51)</f>
        <v>0</v>
      </c>
      <c r="D61" s="2019">
        <f t="shared" si="4"/>
        <v>0</v>
      </c>
      <c r="E61" s="3312" t="s">
        <v>2635</v>
      </c>
      <c r="F61" s="3313"/>
      <c r="G61" s="3314">
        <f>112611*2.4</f>
        <v>270266.39999999997</v>
      </c>
      <c r="H61" s="3315"/>
      <c r="I61" s="3293">
        <f t="shared" si="5"/>
        <v>0</v>
      </c>
      <c r="J61" s="3293"/>
      <c r="K61" s="3326"/>
    </row>
    <row r="62" spans="1:13">
      <c r="A62" s="1805"/>
      <c r="B62" s="2014"/>
      <c r="C62" s="1671">
        <f>SUMIF(C33:C51, "4", H33:H51)</f>
        <v>0</v>
      </c>
      <c r="D62" s="2019">
        <f t="shared" si="4"/>
        <v>0</v>
      </c>
      <c r="E62" s="3312" t="s">
        <v>4670</v>
      </c>
      <c r="F62" s="3313"/>
      <c r="G62" s="3314">
        <f>123611*2.4</f>
        <v>296666.39999999997</v>
      </c>
      <c r="H62" s="3315"/>
      <c r="I62" s="3293">
        <f t="shared" si="5"/>
        <v>0</v>
      </c>
      <c r="J62" s="3293"/>
      <c r="K62" s="3326"/>
    </row>
    <row r="63" spans="1:13">
      <c r="A63" s="2015"/>
      <c r="B63" s="2016"/>
      <c r="C63" s="1672">
        <f>SUMIF(C33:C51, "5", H33:H51)</f>
        <v>0</v>
      </c>
      <c r="D63" s="2020">
        <f t="shared" si="4"/>
        <v>0</v>
      </c>
      <c r="E63" s="3306" t="s">
        <v>4671</v>
      </c>
      <c r="F63" s="3307"/>
      <c r="G63" s="3308">
        <f>123611*2.4</f>
        <v>296666.39999999997</v>
      </c>
      <c r="H63" s="3309"/>
      <c r="I63" s="3310">
        <f t="shared" si="5"/>
        <v>0</v>
      </c>
      <c r="J63" s="3310"/>
      <c r="K63" s="1700"/>
    </row>
    <row r="64" spans="1:13" ht="14.4" thickBot="1">
      <c r="A64" s="2013" t="s">
        <v>4672</v>
      </c>
      <c r="B64" s="1690">
        <f>SUM(C58:C63)</f>
        <v>0</v>
      </c>
      <c r="C64" s="2021"/>
      <c r="D64" s="2021">
        <f>SUM(D58:D63)</f>
        <v>0</v>
      </c>
      <c r="E64" s="2012"/>
      <c r="F64" s="2012"/>
      <c r="G64" s="2012"/>
      <c r="H64" s="2012"/>
      <c r="I64" s="2012"/>
      <c r="J64" s="1806" t="s">
        <v>4673</v>
      </c>
      <c r="K64" s="1689">
        <f>SUM(I58:I62)</f>
        <v>0</v>
      </c>
    </row>
    <row r="65" spans="1:11">
      <c r="A65" s="3311"/>
      <c r="B65" s="3311"/>
      <c r="C65" s="3311"/>
      <c r="D65" s="3311"/>
      <c r="E65" s="3311"/>
      <c r="F65" s="3311"/>
      <c r="G65" s="3311"/>
      <c r="H65" s="3311"/>
      <c r="I65" s="3311"/>
      <c r="J65" s="3311"/>
    </row>
    <row r="66" spans="1:11">
      <c r="A66" s="3303" t="s">
        <v>4674</v>
      </c>
      <c r="B66" s="3304"/>
      <c r="C66" s="3304"/>
      <c r="D66" s="3304"/>
      <c r="E66" s="3304"/>
      <c r="F66" s="3304"/>
      <c r="G66" s="3304"/>
      <c r="H66" s="3304"/>
      <c r="I66" s="3304"/>
      <c r="J66" s="3304"/>
      <c r="K66" s="3305"/>
    </row>
    <row r="67" spans="1:11" ht="15" customHeight="1">
      <c r="A67" s="1691"/>
      <c r="B67" s="1639"/>
      <c r="C67" s="1694"/>
      <c r="D67" s="1694"/>
      <c r="E67" s="1694" t="s">
        <v>4675</v>
      </c>
      <c r="F67" s="1694"/>
      <c r="G67" s="1694"/>
      <c r="H67" s="1694"/>
      <c r="I67" s="1694"/>
      <c r="J67" s="1695"/>
      <c r="K67" s="1648">
        <f>K11</f>
        <v>0</v>
      </c>
    </row>
    <row r="68" spans="1:11">
      <c r="A68" s="1692"/>
      <c r="B68" s="1652"/>
      <c r="C68" s="1684"/>
      <c r="D68" s="1684"/>
      <c r="E68" s="1684" t="s">
        <v>4676</v>
      </c>
      <c r="F68" s="1684"/>
      <c r="G68" s="1684"/>
      <c r="H68" s="1684"/>
      <c r="I68" s="1684"/>
      <c r="J68" s="1696"/>
      <c r="K68" s="1648" t="e">
        <f>K54</f>
        <v>#VALUE!</v>
      </c>
    </row>
    <row r="69" spans="1:11" ht="14.4" thickBot="1">
      <c r="A69" s="1693"/>
      <c r="B69" s="1641"/>
      <c r="C69" s="1697"/>
      <c r="D69" s="1697"/>
      <c r="E69" s="1697" t="s">
        <v>4677</v>
      </c>
      <c r="F69" s="1697"/>
      <c r="G69" s="1697"/>
      <c r="H69" s="1697"/>
      <c r="I69" s="1697"/>
      <c r="J69" s="1698"/>
      <c r="K69" s="1701">
        <f>K64</f>
        <v>0</v>
      </c>
    </row>
    <row r="70" spans="1:11" ht="14.4" thickBot="1">
      <c r="A70" s="1650"/>
      <c r="B70" s="1642"/>
      <c r="C70" s="3295" t="s">
        <v>4678</v>
      </c>
      <c r="D70" s="3295"/>
      <c r="E70" s="3295"/>
      <c r="F70" s="3295"/>
      <c r="G70" s="3295"/>
      <c r="H70" s="3295"/>
      <c r="I70" s="3295"/>
      <c r="J70" s="3295"/>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3131</v>
      </c>
      <c r="H1" s="775" t="str">
        <f>'Sensitivity Analysis'!C8</f>
        <v>Spring Creek Crossing</v>
      </c>
    </row>
    <row r="2" spans="1:11">
      <c r="A2" s="667" t="s">
        <v>3132</v>
      </c>
      <c r="H2" s="730" t="str">
        <f>'Sensitivity Analysis'!E8</f>
        <v>2020-079</v>
      </c>
    </row>
    <row r="3" spans="1:11" ht="3" customHeight="1"/>
    <row r="4" spans="1:11" ht="51.75" customHeight="1">
      <c r="A4" s="3288" t="s">
        <v>3230</v>
      </c>
      <c r="B4" s="3288"/>
      <c r="C4" s="3288"/>
      <c r="D4" s="3288"/>
      <c r="E4" s="3288"/>
      <c r="F4" s="3288"/>
      <c r="G4" s="3288"/>
      <c r="H4" s="3288"/>
      <c r="J4" s="1218">
        <f>SUM('Part VII-Pro Forma'!B14:B16)/12</f>
        <v>25526.826000000001</v>
      </c>
      <c r="K4" s="1217" t="s">
        <v>4104</v>
      </c>
    </row>
    <row r="5" spans="1:11" ht="1.5" customHeight="1">
      <c r="C5" s="809"/>
      <c r="D5" s="809"/>
      <c r="E5" s="809"/>
      <c r="F5" s="809"/>
      <c r="G5" s="809"/>
      <c r="H5" s="809"/>
    </row>
    <row r="6" spans="1:11" ht="12.75" customHeight="1">
      <c r="B6" s="810" t="s">
        <v>2371</v>
      </c>
      <c r="C6" s="3288" t="s">
        <v>3133</v>
      </c>
      <c r="D6" s="3288"/>
      <c r="E6" s="3288"/>
      <c r="F6" s="3288"/>
      <c r="G6" s="3288"/>
      <c r="H6" s="3288"/>
    </row>
    <row r="7" spans="1:11" ht="12.75" customHeight="1">
      <c r="B7" s="810" t="s">
        <v>2372</v>
      </c>
      <c r="C7" s="3288" t="s">
        <v>3134</v>
      </c>
      <c r="D7" s="3288"/>
      <c r="E7" s="3288"/>
      <c r="F7" s="3288"/>
      <c r="G7" s="3288"/>
      <c r="H7" s="3288"/>
    </row>
    <row r="8" spans="1:11" ht="3" customHeight="1"/>
    <row r="9" spans="1:11">
      <c r="A9" s="730" t="s">
        <v>3135</v>
      </c>
    </row>
    <row r="10" spans="1:11" ht="1.5" customHeight="1"/>
    <row r="11" spans="1:11" ht="26.25" customHeight="1">
      <c r="A11" s="811" t="s">
        <v>1935</v>
      </c>
      <c r="B11" s="3357" t="s">
        <v>3227</v>
      </c>
      <c r="C11" s="3357"/>
      <c r="D11" s="3357"/>
      <c r="E11" s="3357"/>
      <c r="F11" s="3357"/>
      <c r="G11" s="3358">
        <f>'Part III-Sources of Funds'!I49+'Part III-Sources of Funds'!I50</f>
        <v>10798506</v>
      </c>
      <c r="H11" s="3358"/>
    </row>
    <row r="12" spans="1:11" ht="1.5" customHeight="1">
      <c r="G12" s="779"/>
      <c r="H12" s="779"/>
    </row>
    <row r="13" spans="1:11" ht="26.25" customHeight="1">
      <c r="A13" s="811" t="s">
        <v>1937</v>
      </c>
      <c r="B13" s="3357" t="s">
        <v>3228</v>
      </c>
      <c r="C13" s="3357"/>
      <c r="D13" s="3357"/>
      <c r="E13" s="3357"/>
      <c r="F13" s="3357"/>
      <c r="G13" s="3359" t="s">
        <v>3061</v>
      </c>
      <c r="H13" s="3359"/>
    </row>
    <row r="14" spans="1:11" ht="12" hidden="1" customHeight="1">
      <c r="A14" s="811"/>
      <c r="B14" s="3277"/>
      <c r="C14" s="3277"/>
      <c r="D14" s="3277"/>
      <c r="E14" s="3277"/>
      <c r="F14" s="3277"/>
      <c r="G14" s="3277"/>
      <c r="H14" s="3277"/>
    </row>
    <row r="15" spans="1:11" ht="1.5" customHeight="1"/>
    <row r="16" spans="1:11" ht="12" customHeight="1">
      <c r="A16" s="811" t="s">
        <v>731</v>
      </c>
      <c r="B16" s="730" t="s">
        <v>3231</v>
      </c>
      <c r="F16" s="803"/>
      <c r="G16" s="3274" t="s">
        <v>2887</v>
      </c>
      <c r="H16" s="3274"/>
    </row>
    <row r="17" spans="1:8" ht="1.5" customHeight="1">
      <c r="G17" s="785"/>
    </row>
    <row r="18" spans="1:8" ht="12" customHeight="1">
      <c r="A18" s="811" t="s">
        <v>2064</v>
      </c>
      <c r="B18" s="779" t="s">
        <v>3229</v>
      </c>
      <c r="C18" s="811"/>
      <c r="D18" s="811"/>
      <c r="E18" s="811"/>
      <c r="G18" s="3277" t="s">
        <v>2727</v>
      </c>
      <c r="H18" s="3277"/>
    </row>
    <row r="19" spans="1:8" ht="12" hidden="1" customHeight="1">
      <c r="B19" s="3277"/>
      <c r="C19" s="3277"/>
      <c r="D19" s="3277"/>
      <c r="E19" s="3277"/>
      <c r="F19" s="3277"/>
      <c r="G19" s="3277"/>
      <c r="H19" s="3277"/>
    </row>
    <row r="20" spans="1:8" ht="13.5" customHeight="1"/>
    <row r="21" spans="1:8" ht="12" customHeight="1">
      <c r="A21" s="667" t="s">
        <v>3136</v>
      </c>
    </row>
    <row r="22" spans="1:8" ht="3" customHeight="1"/>
    <row r="23" spans="1:8" ht="24.75" customHeight="1">
      <c r="A23" s="3360" t="s">
        <v>4819</v>
      </c>
      <c r="B23" s="3360"/>
      <c r="C23" s="3360"/>
      <c r="D23" s="3360"/>
      <c r="E23" s="3360"/>
      <c r="F23" s="3360"/>
      <c r="G23" s="3360"/>
      <c r="H23" s="3360"/>
    </row>
    <row r="24" spans="1:8" ht="9" customHeight="1" thickBot="1">
      <c r="A24" s="752"/>
    </row>
    <row r="25" spans="1:8" ht="16.2" customHeight="1" thickBot="1">
      <c r="A25" s="3352">
        <v>20</v>
      </c>
      <c r="B25" s="3353"/>
      <c r="C25" s="1789" t="s">
        <v>1018</v>
      </c>
    </row>
    <row r="26" spans="1:8" ht="9" customHeight="1">
      <c r="A26" s="752"/>
    </row>
    <row r="27" spans="1:8" ht="28.2" customHeight="1">
      <c r="A27" s="3356" t="s">
        <v>4824</v>
      </c>
      <c r="B27" s="3356"/>
      <c r="C27" s="3356"/>
      <c r="D27" s="3356"/>
      <c r="E27" s="3356"/>
      <c r="F27" s="3356"/>
      <c r="G27" s="3356"/>
      <c r="H27" s="3356"/>
    </row>
    <row r="28" spans="1:8" ht="9" customHeight="1">
      <c r="A28" s="752"/>
    </row>
    <row r="29" spans="1:8">
      <c r="A29" s="785" t="s">
        <v>3232</v>
      </c>
      <c r="B29" s="812" t="str">
        <f>IF('Part VI-Revenues &amp; Expenses'!$K$62=0,"",'Part VI-Revenues &amp; Expenses'!$K$62)</f>
        <v/>
      </c>
      <c r="C29" s="785" t="s">
        <v>4817</v>
      </c>
      <c r="D29" s="813" t="s">
        <v>4818</v>
      </c>
    </row>
    <row r="30" spans="1:8" ht="1.95" customHeight="1"/>
    <row r="31" spans="1:8" ht="12.75" customHeight="1">
      <c r="C31" s="779" t="s">
        <v>3137</v>
      </c>
      <c r="D31" s="814" t="s">
        <v>1938</v>
      </c>
      <c r="E31" s="815"/>
      <c r="F31" s="3288" t="s">
        <v>3138</v>
      </c>
      <c r="G31" s="3288"/>
      <c r="H31" s="3288"/>
    </row>
    <row r="32" spans="1:8" ht="12.75" customHeight="1">
      <c r="C32" s="816" t="s">
        <v>1326</v>
      </c>
      <c r="D32" s="814" t="s">
        <v>1940</v>
      </c>
      <c r="E32" s="3288" t="s">
        <v>3237</v>
      </c>
      <c r="F32" s="3288"/>
      <c r="G32" s="3288"/>
      <c r="H32" s="3288"/>
    </row>
    <row r="33" spans="1:11" ht="12.75" customHeight="1">
      <c r="C33" s="1787" t="s">
        <v>4822</v>
      </c>
      <c r="E33" s="3288" t="s">
        <v>3399</v>
      </c>
      <c r="F33" s="3288"/>
      <c r="G33" s="3288"/>
      <c r="H33" s="3288"/>
    </row>
    <row r="34" spans="1:11" ht="12.75" customHeight="1">
      <c r="C34" s="1788"/>
      <c r="D34" s="1786" t="s">
        <v>3236</v>
      </c>
      <c r="E34" s="3354" t="s">
        <v>3400</v>
      </c>
      <c r="F34" s="3354"/>
      <c r="G34" s="3354"/>
      <c r="H34" s="3354"/>
    </row>
    <row r="35" spans="1:11" ht="3" customHeight="1">
      <c r="D35" s="814"/>
      <c r="E35" s="1784"/>
      <c r="F35" s="1784"/>
      <c r="G35" s="1784"/>
      <c r="H35" s="1784"/>
    </row>
    <row r="36" spans="1:11" ht="12.75" customHeight="1">
      <c r="C36" s="779" t="s">
        <v>3137</v>
      </c>
      <c r="D36" s="814" t="s">
        <v>1938</v>
      </c>
      <c r="E36" s="815"/>
      <c r="F36" s="811" t="s">
        <v>3138</v>
      </c>
      <c r="G36" s="811"/>
      <c r="H36" s="811"/>
    </row>
    <row r="37" spans="1:11" ht="12.75" customHeight="1">
      <c r="C37" s="816" t="s">
        <v>1326</v>
      </c>
      <c r="D37" s="814" t="s">
        <v>1940</v>
      </c>
      <c r="E37" s="3288" t="s">
        <v>3237</v>
      </c>
      <c r="F37" s="3288"/>
      <c r="G37" s="3288"/>
      <c r="H37" s="3288"/>
    </row>
    <row r="38" spans="1:11" ht="12.75" customHeight="1">
      <c r="C38" s="1787" t="s">
        <v>4822</v>
      </c>
      <c r="E38" s="3288" t="s">
        <v>3399</v>
      </c>
      <c r="F38" s="3288"/>
      <c r="G38" s="3288"/>
      <c r="H38" s="3288"/>
    </row>
    <row r="39" spans="1:11" ht="12.75" customHeight="1">
      <c r="C39" s="1788"/>
      <c r="D39" s="1786" t="s">
        <v>3236</v>
      </c>
      <c r="E39" s="3354" t="s">
        <v>3400</v>
      </c>
      <c r="F39" s="3354"/>
      <c r="G39" s="3354"/>
      <c r="H39" s="3354"/>
    </row>
    <row r="40" spans="1:11" ht="3" customHeight="1">
      <c r="D40" s="814"/>
      <c r="E40" s="1784"/>
      <c r="F40" s="1784"/>
      <c r="G40" s="1784"/>
      <c r="H40" s="1784"/>
    </row>
    <row r="41" spans="1:11" ht="12.75" customHeight="1">
      <c r="C41" s="779" t="s">
        <v>3137</v>
      </c>
      <c r="D41" s="814" t="s">
        <v>1938</v>
      </c>
      <c r="E41" s="815"/>
      <c r="F41" s="811" t="s">
        <v>3138</v>
      </c>
      <c r="G41" s="811"/>
      <c r="H41" s="811"/>
    </row>
    <row r="42" spans="1:11" ht="12.75" customHeight="1">
      <c r="C42" s="816" t="s">
        <v>1326</v>
      </c>
      <c r="D42" s="814" t="s">
        <v>1940</v>
      </c>
      <c r="E42" s="3288" t="s">
        <v>3237</v>
      </c>
      <c r="F42" s="3288"/>
      <c r="G42" s="3288"/>
      <c r="H42" s="3288"/>
    </row>
    <row r="43" spans="1:11" ht="12.75" customHeight="1">
      <c r="C43" s="1787" t="s">
        <v>4822</v>
      </c>
      <c r="E43" s="3288" t="s">
        <v>3399</v>
      </c>
      <c r="F43" s="3288"/>
      <c r="G43" s="3288"/>
      <c r="H43" s="3288"/>
    </row>
    <row r="44" spans="1:11" ht="12.75" customHeight="1">
      <c r="C44" s="1788"/>
      <c r="D44" s="1786" t="s">
        <v>3236</v>
      </c>
      <c r="E44" s="3354" t="s">
        <v>3400</v>
      </c>
      <c r="F44" s="3354"/>
      <c r="G44" s="3354"/>
      <c r="H44" s="3354"/>
    </row>
    <row r="45" spans="1:11" ht="6" customHeight="1">
      <c r="D45" s="814"/>
      <c r="E45" s="1784"/>
      <c r="F45" s="1784"/>
      <c r="G45" s="1784"/>
      <c r="H45" s="1784"/>
    </row>
    <row r="46" spans="1:11">
      <c r="A46" s="785" t="s">
        <v>3232</v>
      </c>
      <c r="B46" s="812" t="str">
        <f>IF('Part VI-Revenues &amp; Expenses'!$L$62=0,"",'Part VI-Revenues &amp; Expenses'!$L$62)</f>
        <v/>
      </c>
      <c r="C46" s="785" t="s">
        <v>3233</v>
      </c>
      <c r="D46" s="813" t="s">
        <v>3401</v>
      </c>
    </row>
    <row r="47" spans="1:11" ht="1.95" customHeight="1">
      <c r="K47" s="1803"/>
    </row>
    <row r="48" spans="1:11" ht="12.75" customHeight="1">
      <c r="C48" s="779" t="s">
        <v>3137</v>
      </c>
      <c r="D48" s="814" t="s">
        <v>1938</v>
      </c>
      <c r="E48" s="815"/>
      <c r="F48" s="811" t="s">
        <v>3138</v>
      </c>
      <c r="G48" s="811"/>
      <c r="H48" s="811"/>
      <c r="K48" s="1803"/>
    </row>
    <row r="49" spans="1:11" ht="12.75" customHeight="1">
      <c r="C49" s="816" t="s">
        <v>1326</v>
      </c>
      <c r="D49" s="814" t="s">
        <v>1940</v>
      </c>
      <c r="E49" s="3288" t="s">
        <v>3237</v>
      </c>
      <c r="F49" s="3288"/>
      <c r="G49" s="3288"/>
      <c r="H49" s="3288"/>
      <c r="K49" s="1803"/>
    </row>
    <row r="50" spans="1:11" ht="12.75" customHeight="1">
      <c r="C50" s="1787" t="s">
        <v>4822</v>
      </c>
      <c r="E50" s="3288" t="s">
        <v>3399</v>
      </c>
      <c r="F50" s="3288"/>
      <c r="G50" s="3288"/>
      <c r="H50" s="3288"/>
    </row>
    <row r="51" spans="1:11" ht="12.75" customHeight="1">
      <c r="C51" s="1788"/>
      <c r="D51" s="1785" t="s">
        <v>3236</v>
      </c>
      <c r="E51" s="3355" t="s">
        <v>3400</v>
      </c>
      <c r="F51" s="3355"/>
      <c r="G51" s="3355"/>
      <c r="H51" s="3355"/>
    </row>
    <row r="52" spans="1:11" ht="3" customHeight="1">
      <c r="D52" s="814"/>
      <c r="E52" s="1784"/>
      <c r="F52" s="1784"/>
      <c r="G52" s="1784"/>
      <c r="H52" s="1784"/>
    </row>
    <row r="53" spans="1:11" ht="12.75" customHeight="1">
      <c r="C53" s="779" t="s">
        <v>3137</v>
      </c>
      <c r="D53" s="814" t="s">
        <v>1938</v>
      </c>
      <c r="E53" s="815"/>
      <c r="F53" s="811" t="s">
        <v>3138</v>
      </c>
      <c r="G53" s="811"/>
      <c r="H53" s="811"/>
    </row>
    <row r="54" spans="1:11" ht="12.75" customHeight="1">
      <c r="C54" s="816" t="s">
        <v>1326</v>
      </c>
      <c r="D54" s="814" t="s">
        <v>1940</v>
      </c>
      <c r="E54" s="3288" t="s">
        <v>3237</v>
      </c>
      <c r="F54" s="3288"/>
      <c r="G54" s="3288"/>
      <c r="H54" s="3288"/>
    </row>
    <row r="55" spans="1:11" ht="12.75" customHeight="1">
      <c r="C55" s="1787" t="s">
        <v>4822</v>
      </c>
      <c r="E55" s="3288" t="s">
        <v>3399</v>
      </c>
      <c r="F55" s="3288"/>
      <c r="G55" s="3288"/>
      <c r="H55" s="3288"/>
    </row>
    <row r="56" spans="1:11" ht="12.75" customHeight="1">
      <c r="C56" s="1788"/>
      <c r="D56" s="1786" t="s">
        <v>3236</v>
      </c>
      <c r="E56" s="3354" t="s">
        <v>3400</v>
      </c>
      <c r="F56" s="3354"/>
      <c r="G56" s="3354"/>
      <c r="H56" s="3354"/>
    </row>
    <row r="57" spans="1:11" ht="3" customHeight="1">
      <c r="D57" s="814"/>
      <c r="E57" s="1784"/>
      <c r="F57" s="1784"/>
      <c r="G57" s="1784"/>
      <c r="H57" s="1784"/>
    </row>
    <row r="58" spans="1:11" ht="12.75" customHeight="1">
      <c r="C58" s="779" t="s">
        <v>3137</v>
      </c>
      <c r="D58" s="814" t="s">
        <v>1938</v>
      </c>
      <c r="E58" s="815"/>
      <c r="F58" s="811" t="s">
        <v>3138</v>
      </c>
      <c r="G58" s="811"/>
      <c r="H58" s="811"/>
    </row>
    <row r="59" spans="1:11" ht="12.75" customHeight="1">
      <c r="C59" s="816" t="s">
        <v>1326</v>
      </c>
      <c r="D59" s="814" t="s">
        <v>1940</v>
      </c>
      <c r="E59" s="3288" t="s">
        <v>3237</v>
      </c>
      <c r="F59" s="3288"/>
      <c r="G59" s="3288"/>
      <c r="H59" s="3288"/>
    </row>
    <row r="60" spans="1:11" ht="12.75" customHeight="1">
      <c r="C60" s="1787" t="s">
        <v>4822</v>
      </c>
      <c r="E60" s="3288" t="s">
        <v>3399</v>
      </c>
      <c r="F60" s="3288"/>
      <c r="G60" s="3288"/>
      <c r="H60" s="3288"/>
    </row>
    <row r="61" spans="1:11" ht="12.75" customHeight="1">
      <c r="C61" s="1788"/>
      <c r="D61" s="1786" t="s">
        <v>3236</v>
      </c>
      <c r="E61" s="3354" t="s">
        <v>3400</v>
      </c>
      <c r="F61" s="3354"/>
      <c r="G61" s="3354"/>
      <c r="H61" s="3354"/>
    </row>
    <row r="62" spans="1:11" ht="6" customHeight="1">
      <c r="D62" s="814"/>
      <c r="E62" s="1240"/>
      <c r="F62" s="1240"/>
      <c r="G62" s="1240"/>
      <c r="H62" s="1240"/>
    </row>
    <row r="63" spans="1:11">
      <c r="A63" s="785" t="s">
        <v>3232</v>
      </c>
      <c r="B63" s="812" t="str">
        <f>IF('Part VI-Revenues &amp; Expenses'!$M$62=0,"",'Part VI-Revenues &amp; Expenses'!$M$62)</f>
        <v/>
      </c>
      <c r="C63" s="785" t="s">
        <v>3234</v>
      </c>
      <c r="D63" s="813" t="s">
        <v>3402</v>
      </c>
    </row>
    <row r="64" spans="1:11" ht="1.95" customHeight="1"/>
    <row r="65" spans="1:8" ht="12.75" customHeight="1">
      <c r="C65" s="779" t="s">
        <v>3137</v>
      </c>
      <c r="D65" s="814" t="s">
        <v>1938</v>
      </c>
      <c r="E65" s="815"/>
      <c r="F65" s="811" t="s">
        <v>3138</v>
      </c>
      <c r="G65" s="811"/>
      <c r="H65" s="811"/>
    </row>
    <row r="66" spans="1:8" ht="12.75" customHeight="1">
      <c r="C66" s="816" t="s">
        <v>1326</v>
      </c>
      <c r="D66" s="814" t="s">
        <v>1940</v>
      </c>
      <c r="E66" s="3288" t="s">
        <v>3237</v>
      </c>
      <c r="F66" s="3288"/>
      <c r="G66" s="3288"/>
      <c r="H66" s="3288"/>
    </row>
    <row r="67" spans="1:8" ht="12.75" customHeight="1">
      <c r="C67" s="1787" t="s">
        <v>4822</v>
      </c>
      <c r="E67" s="3288" t="s">
        <v>3399</v>
      </c>
      <c r="F67" s="3288"/>
      <c r="G67" s="3288"/>
      <c r="H67" s="3288"/>
    </row>
    <row r="68" spans="1:8" ht="12.75" customHeight="1">
      <c r="C68" s="1788"/>
      <c r="D68" s="1785" t="s">
        <v>3236</v>
      </c>
      <c r="E68" s="3355" t="s">
        <v>3400</v>
      </c>
      <c r="F68" s="3355"/>
      <c r="G68" s="3355"/>
      <c r="H68" s="3355"/>
    </row>
    <row r="69" spans="1:8" ht="3" customHeight="1">
      <c r="D69" s="814"/>
      <c r="E69" s="1240"/>
      <c r="F69" s="1240"/>
      <c r="G69" s="1240"/>
      <c r="H69" s="1240"/>
    </row>
    <row r="70" spans="1:8" ht="12.75" customHeight="1">
      <c r="C70" s="779" t="s">
        <v>3137</v>
      </c>
      <c r="D70" s="814" t="s">
        <v>1938</v>
      </c>
      <c r="E70" s="815"/>
      <c r="F70" s="811" t="s">
        <v>3138</v>
      </c>
      <c r="G70" s="811"/>
      <c r="H70" s="811"/>
    </row>
    <row r="71" spans="1:8" ht="12.75" customHeight="1">
      <c r="C71" s="816" t="s">
        <v>1326</v>
      </c>
      <c r="D71" s="814" t="s">
        <v>1940</v>
      </c>
      <c r="E71" s="3288" t="s">
        <v>3237</v>
      </c>
      <c r="F71" s="3288"/>
      <c r="G71" s="3288"/>
      <c r="H71" s="3288"/>
    </row>
    <row r="72" spans="1:8" ht="12.75" customHeight="1">
      <c r="C72" s="1787" t="s">
        <v>4822</v>
      </c>
      <c r="E72" s="3288" t="s">
        <v>3399</v>
      </c>
      <c r="F72" s="3288"/>
      <c r="G72" s="3288"/>
      <c r="H72" s="3288"/>
    </row>
    <row r="73" spans="1:8" ht="12.75" customHeight="1">
      <c r="C73" s="1788"/>
      <c r="D73" s="1786" t="s">
        <v>3236</v>
      </c>
      <c r="E73" s="3354" t="s">
        <v>3400</v>
      </c>
      <c r="F73" s="3354"/>
      <c r="G73" s="3354"/>
      <c r="H73" s="3354"/>
    </row>
    <row r="74" spans="1:8" ht="3" customHeight="1">
      <c r="D74" s="814"/>
      <c r="E74" s="1784"/>
      <c r="F74" s="1784"/>
      <c r="G74" s="1784"/>
      <c r="H74" s="1784"/>
    </row>
    <row r="75" spans="1:8" ht="12.75" customHeight="1">
      <c r="C75" s="779" t="s">
        <v>3137</v>
      </c>
      <c r="D75" s="814" t="s">
        <v>1938</v>
      </c>
      <c r="E75" s="815"/>
      <c r="F75" s="811" t="s">
        <v>3138</v>
      </c>
      <c r="G75" s="811"/>
      <c r="H75" s="811"/>
    </row>
    <row r="76" spans="1:8" ht="12.75" customHeight="1">
      <c r="C76" s="816" t="s">
        <v>1326</v>
      </c>
      <c r="D76" s="814" t="s">
        <v>1940</v>
      </c>
      <c r="E76" s="3288" t="s">
        <v>3237</v>
      </c>
      <c r="F76" s="3288"/>
      <c r="G76" s="3288"/>
      <c r="H76" s="3288"/>
    </row>
    <row r="77" spans="1:8" ht="12.75" customHeight="1">
      <c r="C77" s="1787" t="s">
        <v>4822</v>
      </c>
      <c r="E77" s="3288" t="s">
        <v>3399</v>
      </c>
      <c r="F77" s="3288"/>
      <c r="G77" s="3288"/>
      <c r="H77" s="3288"/>
    </row>
    <row r="78" spans="1:8" ht="12.75" customHeight="1">
      <c r="C78" s="1788"/>
      <c r="D78" s="1786" t="s">
        <v>3236</v>
      </c>
      <c r="E78" s="3354" t="s">
        <v>3400</v>
      </c>
      <c r="F78" s="3354"/>
      <c r="G78" s="3354"/>
      <c r="H78" s="3354"/>
    </row>
    <row r="79" spans="1:8" ht="6" customHeight="1">
      <c r="D79" s="814"/>
      <c r="E79" s="1784"/>
      <c r="F79" s="1784"/>
      <c r="G79" s="1784"/>
      <c r="H79" s="1784"/>
    </row>
    <row r="80" spans="1:8">
      <c r="A80" s="785" t="s">
        <v>3232</v>
      </c>
      <c r="B80" s="812" t="str">
        <f>IF('Part VI-Revenues &amp; Expenses'!$N$62=0,"",'Part VI-Revenues &amp; Expenses'!$N$62)</f>
        <v/>
      </c>
      <c r="C80" s="785" t="s">
        <v>3235</v>
      </c>
      <c r="D80" s="813" t="s">
        <v>3403</v>
      </c>
    </row>
    <row r="81" spans="3:8" ht="1.95" customHeight="1"/>
    <row r="82" spans="3:8" ht="12.75" customHeight="1">
      <c r="C82" s="779" t="s">
        <v>3137</v>
      </c>
      <c r="D82" s="814" t="s">
        <v>1938</v>
      </c>
      <c r="E82" s="815"/>
      <c r="F82" s="811" t="s">
        <v>3138</v>
      </c>
      <c r="G82" s="811"/>
      <c r="H82" s="811"/>
    </row>
    <row r="83" spans="3:8" ht="12.75" customHeight="1">
      <c r="C83" s="816" t="s">
        <v>1326</v>
      </c>
      <c r="D83" s="814" t="s">
        <v>1940</v>
      </c>
      <c r="E83" s="3288" t="s">
        <v>3237</v>
      </c>
      <c r="F83" s="3288"/>
      <c r="G83" s="3288"/>
      <c r="H83" s="3288"/>
    </row>
    <row r="84" spans="3:8" ht="12.75" customHeight="1">
      <c r="C84" s="1787" t="s">
        <v>4822</v>
      </c>
      <c r="E84" s="3288" t="s">
        <v>3399</v>
      </c>
      <c r="F84" s="3288"/>
      <c r="G84" s="3288"/>
      <c r="H84" s="3288"/>
    </row>
    <row r="85" spans="3:8" ht="12.75" customHeight="1">
      <c r="C85" s="1788"/>
      <c r="D85" s="1785" t="s">
        <v>3236</v>
      </c>
      <c r="E85" s="3355" t="s">
        <v>3400</v>
      </c>
      <c r="F85" s="3355"/>
      <c r="G85" s="3355"/>
      <c r="H85" s="3355"/>
    </row>
    <row r="86" spans="3:8" ht="3" customHeight="1">
      <c r="D86" s="814"/>
      <c r="E86" s="1784"/>
      <c r="F86" s="1784"/>
      <c r="G86" s="1784"/>
      <c r="H86" s="1784"/>
    </row>
    <row r="87" spans="3:8" ht="12.75" customHeight="1">
      <c r="C87" s="779" t="s">
        <v>3137</v>
      </c>
      <c r="D87" s="814" t="s">
        <v>1938</v>
      </c>
      <c r="E87" s="815"/>
      <c r="F87" s="811" t="s">
        <v>3138</v>
      </c>
      <c r="G87" s="811"/>
      <c r="H87" s="811"/>
    </row>
    <row r="88" spans="3:8" ht="12.75" customHeight="1">
      <c r="C88" s="816" t="s">
        <v>1326</v>
      </c>
      <c r="D88" s="814" t="s">
        <v>1940</v>
      </c>
      <c r="E88" s="3288" t="s">
        <v>3237</v>
      </c>
      <c r="F88" s="3288"/>
      <c r="G88" s="3288"/>
      <c r="H88" s="3288"/>
    </row>
    <row r="89" spans="3:8" ht="12.75" customHeight="1">
      <c r="C89" s="1787" t="s">
        <v>4822</v>
      </c>
      <c r="E89" s="3288" t="s">
        <v>3399</v>
      </c>
      <c r="F89" s="3288"/>
      <c r="G89" s="3288"/>
      <c r="H89" s="3288"/>
    </row>
    <row r="90" spans="3:8" ht="12.75" customHeight="1">
      <c r="C90" s="1788"/>
      <c r="D90" s="1786" t="s">
        <v>3236</v>
      </c>
      <c r="E90" s="3354" t="s">
        <v>3400</v>
      </c>
      <c r="F90" s="3354"/>
      <c r="G90" s="3354"/>
      <c r="H90" s="3354"/>
    </row>
    <row r="91" spans="3:8" ht="3" customHeight="1">
      <c r="D91" s="814"/>
      <c r="E91" s="1784"/>
      <c r="F91" s="1784"/>
      <c r="G91" s="1784"/>
      <c r="H91" s="1784"/>
    </row>
    <row r="92" spans="3:8" ht="12.75" customHeight="1">
      <c r="C92" s="779" t="s">
        <v>3137</v>
      </c>
      <c r="D92" s="814" t="s">
        <v>1938</v>
      </c>
      <c r="E92" s="815"/>
      <c r="F92" s="811" t="s">
        <v>3138</v>
      </c>
      <c r="G92" s="811"/>
      <c r="H92" s="811"/>
    </row>
    <row r="93" spans="3:8" ht="12.75" customHeight="1">
      <c r="C93" s="816" t="s">
        <v>1326</v>
      </c>
      <c r="D93" s="814" t="s">
        <v>1940</v>
      </c>
      <c r="E93" s="3288" t="s">
        <v>3237</v>
      </c>
      <c r="F93" s="3288"/>
      <c r="G93" s="3288"/>
      <c r="H93" s="3288"/>
    </row>
    <row r="94" spans="3:8" ht="12.75" customHeight="1">
      <c r="C94" s="1787" t="s">
        <v>4822</v>
      </c>
      <c r="E94" s="3288" t="s">
        <v>3399</v>
      </c>
      <c r="F94" s="3288"/>
      <c r="G94" s="3288"/>
      <c r="H94" s="3288"/>
    </row>
    <row r="95" spans="3:8" ht="12.75" customHeight="1">
      <c r="C95" s="1788"/>
      <c r="D95" s="1786" t="s">
        <v>3236</v>
      </c>
      <c r="E95" s="3354" t="s">
        <v>3400</v>
      </c>
      <c r="F95" s="3354"/>
      <c r="G95" s="3354"/>
      <c r="H95" s="3354"/>
    </row>
    <row r="96" spans="3:8" ht="6" customHeight="1">
      <c r="D96" s="814"/>
      <c r="E96" s="1784"/>
      <c r="F96" s="1784"/>
      <c r="G96" s="1784"/>
      <c r="H96" s="1784"/>
    </row>
    <row r="97" spans="1:11">
      <c r="A97" s="785" t="s">
        <v>3232</v>
      </c>
      <c r="B97" s="812" t="str">
        <f>IF('Part VI-Revenues &amp; Expenses'!$O$62=0,"",'Part VI-Revenues &amp; Expenses'!$O$62)</f>
        <v/>
      </c>
      <c r="C97" s="785" t="s">
        <v>4820</v>
      </c>
      <c r="D97" s="813" t="s">
        <v>4821</v>
      </c>
    </row>
    <row r="98" spans="1:11" ht="1.95" customHeight="1"/>
    <row r="99" spans="1:11" ht="12.75" customHeight="1">
      <c r="C99" s="779" t="s">
        <v>3137</v>
      </c>
      <c r="D99" s="814" t="s">
        <v>1938</v>
      </c>
      <c r="E99" s="815"/>
      <c r="F99" s="3288" t="s">
        <v>3138</v>
      </c>
      <c r="G99" s="3288"/>
      <c r="H99" s="3288"/>
      <c r="K99" s="730" t="s">
        <v>238</v>
      </c>
    </row>
    <row r="100" spans="1:11" ht="12.75" customHeight="1">
      <c r="C100" s="816" t="s">
        <v>1326</v>
      </c>
      <c r="D100" s="814" t="s">
        <v>1940</v>
      </c>
      <c r="E100" s="3288" t="s">
        <v>3238</v>
      </c>
      <c r="F100" s="3288"/>
      <c r="G100" s="3288"/>
      <c r="H100" s="3288"/>
    </row>
    <row r="101" spans="1:11" ht="12.75" customHeight="1">
      <c r="E101" s="3288" t="s">
        <v>3399</v>
      </c>
      <c r="F101" s="3288"/>
      <c r="G101" s="3288"/>
      <c r="H101" s="3288"/>
    </row>
    <row r="102" spans="1:11" ht="12.75" customHeight="1">
      <c r="D102" s="817" t="s">
        <v>3236</v>
      </c>
      <c r="E102" s="3288" t="s">
        <v>3400</v>
      </c>
      <c r="F102" s="3288"/>
      <c r="G102" s="3288"/>
      <c r="H102" s="3288"/>
    </row>
    <row r="103" spans="1:11" ht="9" customHeight="1" thickBot="1"/>
    <row r="104" spans="1:11" ht="16.2" customHeight="1" thickBot="1">
      <c r="A104" s="3352">
        <v>30</v>
      </c>
      <c r="B104" s="3353"/>
      <c r="C104" s="1789" t="s">
        <v>1018</v>
      </c>
    </row>
    <row r="105" spans="1:11" ht="9" customHeight="1">
      <c r="A105" s="752"/>
    </row>
    <row r="106" spans="1:11" ht="28.2" customHeight="1">
      <c r="A106" s="3356" t="s">
        <v>4825</v>
      </c>
      <c r="B106" s="3356"/>
      <c r="C106" s="3356"/>
      <c r="D106" s="3356"/>
      <c r="E106" s="3356"/>
      <c r="F106" s="3356"/>
      <c r="G106" s="3356"/>
      <c r="H106" s="3356"/>
    </row>
    <row r="107" spans="1:11" ht="9" customHeight="1">
      <c r="A107" s="752"/>
    </row>
    <row r="108" spans="1:11">
      <c r="A108" s="785" t="s">
        <v>3232</v>
      </c>
      <c r="B108" s="812" t="str">
        <f>IF('Part VI-Revenues &amp; Expenses'!$K$61=0,"",'Part VI-Revenues &amp; Expenses'!$K$61)</f>
        <v/>
      </c>
      <c r="C108" s="785" t="s">
        <v>4817</v>
      </c>
      <c r="D108" s="813" t="s">
        <v>4818</v>
      </c>
    </row>
    <row r="109" spans="1:11" ht="1.95" customHeight="1"/>
    <row r="110" spans="1:11" ht="12.75" customHeight="1">
      <c r="C110" s="779" t="s">
        <v>3137</v>
      </c>
      <c r="D110" s="814" t="s">
        <v>1938</v>
      </c>
      <c r="E110" s="815"/>
      <c r="F110" s="3288" t="s">
        <v>3138</v>
      </c>
      <c r="G110" s="3288"/>
      <c r="H110" s="3288"/>
    </row>
    <row r="111" spans="1:11" ht="12.75" customHeight="1">
      <c r="C111" s="816" t="s">
        <v>1326</v>
      </c>
      <c r="D111" s="814" t="s">
        <v>1940</v>
      </c>
      <c r="E111" s="3288" t="s">
        <v>3237</v>
      </c>
      <c r="F111" s="3288"/>
      <c r="G111" s="3288"/>
      <c r="H111" s="3288"/>
    </row>
    <row r="112" spans="1:11" ht="12.75" customHeight="1">
      <c r="C112" s="1787" t="s">
        <v>4822</v>
      </c>
      <c r="E112" s="3288" t="s">
        <v>3399</v>
      </c>
      <c r="F112" s="3288"/>
      <c r="G112" s="3288"/>
      <c r="H112" s="3288"/>
    </row>
    <row r="113" spans="1:8" ht="12.75" customHeight="1">
      <c r="C113" s="1788"/>
      <c r="D113" s="1786" t="s">
        <v>3236</v>
      </c>
      <c r="E113" s="3354" t="s">
        <v>3400</v>
      </c>
      <c r="F113" s="3354"/>
      <c r="G113" s="3354"/>
      <c r="H113" s="3354"/>
    </row>
    <row r="114" spans="1:8" ht="3" customHeight="1">
      <c r="D114" s="814"/>
      <c r="E114" s="1784"/>
      <c r="F114" s="1784"/>
      <c r="G114" s="1784"/>
      <c r="H114" s="1784"/>
    </row>
    <row r="115" spans="1:8" ht="12.75" customHeight="1">
      <c r="C115" s="779" t="s">
        <v>3137</v>
      </c>
      <c r="D115" s="814" t="s">
        <v>1938</v>
      </c>
      <c r="E115" s="815"/>
      <c r="F115" s="811" t="s">
        <v>3138</v>
      </c>
      <c r="G115" s="811"/>
      <c r="H115" s="811"/>
    </row>
    <row r="116" spans="1:8" ht="12.75" customHeight="1">
      <c r="C116" s="816" t="s">
        <v>1326</v>
      </c>
      <c r="D116" s="814" t="s">
        <v>1940</v>
      </c>
      <c r="E116" s="3288" t="s">
        <v>3237</v>
      </c>
      <c r="F116" s="3288"/>
      <c r="G116" s="3288"/>
      <c r="H116" s="3288"/>
    </row>
    <row r="117" spans="1:8" ht="12.75" customHeight="1">
      <c r="C117" s="1787" t="s">
        <v>4822</v>
      </c>
      <c r="E117" s="3288" t="s">
        <v>3399</v>
      </c>
      <c r="F117" s="3288"/>
      <c r="G117" s="3288"/>
      <c r="H117" s="3288"/>
    </row>
    <row r="118" spans="1:8" ht="12.75" customHeight="1">
      <c r="C118" s="1788"/>
      <c r="D118" s="1786" t="s">
        <v>3236</v>
      </c>
      <c r="E118" s="3354" t="s">
        <v>3400</v>
      </c>
      <c r="F118" s="3354"/>
      <c r="G118" s="3354"/>
      <c r="H118" s="3354"/>
    </row>
    <row r="119" spans="1:8" ht="3" customHeight="1">
      <c r="D119" s="814"/>
      <c r="E119" s="1784"/>
      <c r="F119" s="1784"/>
      <c r="G119" s="1784"/>
      <c r="H119" s="1784"/>
    </row>
    <row r="120" spans="1:8" ht="12.75" customHeight="1">
      <c r="C120" s="779" t="s">
        <v>3137</v>
      </c>
      <c r="D120" s="814" t="s">
        <v>1938</v>
      </c>
      <c r="E120" s="815"/>
      <c r="F120" s="811" t="s">
        <v>3138</v>
      </c>
      <c r="G120" s="811"/>
      <c r="H120" s="811"/>
    </row>
    <row r="121" spans="1:8" ht="12.75" customHeight="1">
      <c r="C121" s="816" t="s">
        <v>1326</v>
      </c>
      <c r="D121" s="814" t="s">
        <v>1940</v>
      </c>
      <c r="E121" s="3288" t="s">
        <v>3237</v>
      </c>
      <c r="F121" s="3288"/>
      <c r="G121" s="3288"/>
      <c r="H121" s="3288"/>
    </row>
    <row r="122" spans="1:8" ht="12.75" customHeight="1">
      <c r="C122" s="1787" t="s">
        <v>4822</v>
      </c>
      <c r="E122" s="3288" t="s">
        <v>3399</v>
      </c>
      <c r="F122" s="3288"/>
      <c r="G122" s="3288"/>
      <c r="H122" s="3288"/>
    </row>
    <row r="123" spans="1:8" ht="12.75" customHeight="1">
      <c r="C123" s="1788"/>
      <c r="D123" s="1786" t="s">
        <v>3236</v>
      </c>
      <c r="E123" s="3354" t="s">
        <v>3400</v>
      </c>
      <c r="F123" s="3354"/>
      <c r="G123" s="3354"/>
      <c r="H123" s="3354"/>
    </row>
    <row r="124" spans="1:8" ht="6" customHeight="1">
      <c r="D124" s="814"/>
      <c r="E124" s="1784"/>
      <c r="F124" s="1784"/>
      <c r="G124" s="1784"/>
      <c r="H124" s="1784"/>
    </row>
    <row r="125" spans="1:8">
      <c r="A125" s="785" t="s">
        <v>3232</v>
      </c>
      <c r="B125" s="812" t="str">
        <f>IF('Part VI-Revenues &amp; Expenses'!$L$61=0,"",'Part VI-Revenues &amp; Expenses'!$L$61)</f>
        <v/>
      </c>
      <c r="C125" s="785" t="s">
        <v>3233</v>
      </c>
      <c r="D125" s="813" t="s">
        <v>3401</v>
      </c>
    </row>
    <row r="126" spans="1:8" ht="1.95" customHeight="1"/>
    <row r="127" spans="1:8" ht="12.75" customHeight="1">
      <c r="C127" s="779" t="s">
        <v>3137</v>
      </c>
      <c r="D127" s="814" t="s">
        <v>1938</v>
      </c>
      <c r="E127" s="815"/>
      <c r="F127" s="811" t="s">
        <v>3138</v>
      </c>
      <c r="G127" s="811"/>
      <c r="H127" s="811"/>
    </row>
    <row r="128" spans="1:8" ht="12.75" customHeight="1">
      <c r="C128" s="816" t="s">
        <v>1326</v>
      </c>
      <c r="D128" s="814" t="s">
        <v>1940</v>
      </c>
      <c r="E128" s="3288" t="s">
        <v>3237</v>
      </c>
      <c r="F128" s="3288"/>
      <c r="G128" s="3288"/>
      <c r="H128" s="3288"/>
    </row>
    <row r="129" spans="1:8" ht="12.75" customHeight="1">
      <c r="C129" s="1787" t="s">
        <v>4822</v>
      </c>
      <c r="E129" s="3288" t="s">
        <v>3399</v>
      </c>
      <c r="F129" s="3288"/>
      <c r="G129" s="3288"/>
      <c r="H129" s="3288"/>
    </row>
    <row r="130" spans="1:8" ht="12.75" customHeight="1">
      <c r="C130" s="1788"/>
      <c r="D130" s="1785" t="s">
        <v>3236</v>
      </c>
      <c r="E130" s="3355" t="s">
        <v>3400</v>
      </c>
      <c r="F130" s="3355"/>
      <c r="G130" s="3355"/>
      <c r="H130" s="3355"/>
    </row>
    <row r="131" spans="1:8" ht="3" customHeight="1">
      <c r="D131" s="814"/>
      <c r="E131" s="1784"/>
      <c r="F131" s="1784"/>
      <c r="G131" s="1784"/>
      <c r="H131" s="1784"/>
    </row>
    <row r="132" spans="1:8" ht="12.75" customHeight="1">
      <c r="C132" s="779" t="s">
        <v>3137</v>
      </c>
      <c r="D132" s="814" t="s">
        <v>1938</v>
      </c>
      <c r="E132" s="815"/>
      <c r="F132" s="811" t="s">
        <v>3138</v>
      </c>
      <c r="G132" s="811"/>
      <c r="H132" s="811"/>
    </row>
    <row r="133" spans="1:8" ht="12.75" customHeight="1">
      <c r="C133" s="816" t="s">
        <v>1326</v>
      </c>
      <c r="D133" s="814" t="s">
        <v>1940</v>
      </c>
      <c r="E133" s="3288" t="s">
        <v>3237</v>
      </c>
      <c r="F133" s="3288"/>
      <c r="G133" s="3288"/>
      <c r="H133" s="3288"/>
    </row>
    <row r="134" spans="1:8" ht="12.75" customHeight="1">
      <c r="C134" s="1787" t="s">
        <v>4822</v>
      </c>
      <c r="E134" s="3288" t="s">
        <v>3399</v>
      </c>
      <c r="F134" s="3288"/>
      <c r="G134" s="3288"/>
      <c r="H134" s="3288"/>
    </row>
    <row r="135" spans="1:8" ht="12.75" customHeight="1">
      <c r="C135" s="1788"/>
      <c r="D135" s="1786" t="s">
        <v>3236</v>
      </c>
      <c r="E135" s="3354" t="s">
        <v>3400</v>
      </c>
      <c r="F135" s="3354"/>
      <c r="G135" s="3354"/>
      <c r="H135" s="3354"/>
    </row>
    <row r="136" spans="1:8" ht="3" customHeight="1">
      <c r="D136" s="814"/>
      <c r="E136" s="1784"/>
      <c r="F136" s="1784"/>
      <c r="G136" s="1784"/>
      <c r="H136" s="1784"/>
    </row>
    <row r="137" spans="1:8" ht="12.75" customHeight="1">
      <c r="C137" s="779" t="s">
        <v>3137</v>
      </c>
      <c r="D137" s="814" t="s">
        <v>1938</v>
      </c>
      <c r="E137" s="815"/>
      <c r="F137" s="811" t="s">
        <v>3138</v>
      </c>
      <c r="G137" s="811"/>
      <c r="H137" s="811"/>
    </row>
    <row r="138" spans="1:8" ht="12.75" customHeight="1">
      <c r="C138" s="816" t="s">
        <v>1326</v>
      </c>
      <c r="D138" s="814" t="s">
        <v>1940</v>
      </c>
      <c r="E138" s="3288" t="s">
        <v>3237</v>
      </c>
      <c r="F138" s="3288"/>
      <c r="G138" s="3288"/>
      <c r="H138" s="3288"/>
    </row>
    <row r="139" spans="1:8" ht="12.75" customHeight="1">
      <c r="C139" s="1787" t="s">
        <v>4822</v>
      </c>
      <c r="E139" s="3288" t="s">
        <v>3399</v>
      </c>
      <c r="F139" s="3288"/>
      <c r="G139" s="3288"/>
      <c r="H139" s="3288"/>
    </row>
    <row r="140" spans="1:8" ht="12.75" customHeight="1">
      <c r="C140" s="1788"/>
      <c r="D140" s="1786" t="s">
        <v>3236</v>
      </c>
      <c r="E140" s="3354" t="s">
        <v>3400</v>
      </c>
      <c r="F140" s="3354"/>
      <c r="G140" s="3354"/>
      <c r="H140" s="3354"/>
    </row>
    <row r="141" spans="1:8" ht="6" customHeight="1">
      <c r="D141" s="814"/>
      <c r="E141" s="1784"/>
      <c r="F141" s="1784"/>
      <c r="G141" s="1784"/>
      <c r="H141" s="1784"/>
    </row>
    <row r="142" spans="1:8">
      <c r="A142" s="785" t="s">
        <v>3232</v>
      </c>
      <c r="B142" s="812" t="str">
        <f>IF('Part VI-Revenues &amp; Expenses'!$M$61=0,"",'Part VI-Revenues &amp; Expenses'!$M$61)</f>
        <v/>
      </c>
      <c r="C142" s="785" t="s">
        <v>3234</v>
      </c>
      <c r="D142" s="813" t="s">
        <v>3402</v>
      </c>
    </row>
    <row r="143" spans="1:8" ht="1.95" customHeight="1"/>
    <row r="144" spans="1:8" ht="12.75" customHeight="1">
      <c r="C144" s="779" t="s">
        <v>3137</v>
      </c>
      <c r="D144" s="814" t="s">
        <v>1938</v>
      </c>
      <c r="E144" s="815"/>
      <c r="F144" s="811" t="s">
        <v>3138</v>
      </c>
      <c r="G144" s="811"/>
      <c r="H144" s="811"/>
    </row>
    <row r="145" spans="1:8" ht="12.75" customHeight="1">
      <c r="C145" s="816" t="s">
        <v>1326</v>
      </c>
      <c r="D145" s="814" t="s">
        <v>1940</v>
      </c>
      <c r="E145" s="3288" t="s">
        <v>3237</v>
      </c>
      <c r="F145" s="3288"/>
      <c r="G145" s="3288"/>
      <c r="H145" s="3288"/>
    </row>
    <row r="146" spans="1:8" ht="12.75" customHeight="1">
      <c r="C146" s="1787" t="s">
        <v>4822</v>
      </c>
      <c r="E146" s="3288" t="s">
        <v>3399</v>
      </c>
      <c r="F146" s="3288"/>
      <c r="G146" s="3288"/>
      <c r="H146" s="3288"/>
    </row>
    <row r="147" spans="1:8" ht="12.75" customHeight="1">
      <c r="C147" s="1788"/>
      <c r="D147" s="1785" t="s">
        <v>3236</v>
      </c>
      <c r="E147" s="3355" t="s">
        <v>3400</v>
      </c>
      <c r="F147" s="3355"/>
      <c r="G147" s="3355"/>
      <c r="H147" s="3355"/>
    </row>
    <row r="148" spans="1:8" ht="3" customHeight="1">
      <c r="D148" s="814"/>
      <c r="E148" s="1784"/>
      <c r="F148" s="1784"/>
      <c r="G148" s="1784"/>
      <c r="H148" s="1784"/>
    </row>
    <row r="149" spans="1:8" ht="12.75" customHeight="1">
      <c r="C149" s="779" t="s">
        <v>3137</v>
      </c>
      <c r="D149" s="814" t="s">
        <v>1938</v>
      </c>
      <c r="E149" s="815"/>
      <c r="F149" s="811" t="s">
        <v>3138</v>
      </c>
      <c r="G149" s="811"/>
      <c r="H149" s="811"/>
    </row>
    <row r="150" spans="1:8" ht="12.75" customHeight="1">
      <c r="C150" s="816" t="s">
        <v>1326</v>
      </c>
      <c r="D150" s="814" t="s">
        <v>1940</v>
      </c>
      <c r="E150" s="3288" t="s">
        <v>3237</v>
      </c>
      <c r="F150" s="3288"/>
      <c r="G150" s="3288"/>
      <c r="H150" s="3288"/>
    </row>
    <row r="151" spans="1:8" ht="12.75" customHeight="1">
      <c r="C151" s="1787" t="s">
        <v>4822</v>
      </c>
      <c r="E151" s="3288" t="s">
        <v>3399</v>
      </c>
      <c r="F151" s="3288"/>
      <c r="G151" s="3288"/>
      <c r="H151" s="3288"/>
    </row>
    <row r="152" spans="1:8" ht="12.75" customHeight="1">
      <c r="C152" s="1788"/>
      <c r="D152" s="1786" t="s">
        <v>3236</v>
      </c>
      <c r="E152" s="3354" t="s">
        <v>3400</v>
      </c>
      <c r="F152" s="3354"/>
      <c r="G152" s="3354"/>
      <c r="H152" s="3354"/>
    </row>
    <row r="153" spans="1:8" ht="3" customHeight="1">
      <c r="D153" s="814"/>
      <c r="E153" s="1784"/>
      <c r="F153" s="1784"/>
      <c r="G153" s="1784"/>
      <c r="H153" s="1784"/>
    </row>
    <row r="154" spans="1:8" ht="12.75" customHeight="1">
      <c r="C154" s="779" t="s">
        <v>3137</v>
      </c>
      <c r="D154" s="814" t="s">
        <v>1938</v>
      </c>
      <c r="E154" s="815"/>
      <c r="F154" s="811" t="s">
        <v>3138</v>
      </c>
      <c r="G154" s="811"/>
      <c r="H154" s="811"/>
    </row>
    <row r="155" spans="1:8" ht="12.75" customHeight="1">
      <c r="C155" s="816" t="s">
        <v>1326</v>
      </c>
      <c r="D155" s="814" t="s">
        <v>1940</v>
      </c>
      <c r="E155" s="3288" t="s">
        <v>3237</v>
      </c>
      <c r="F155" s="3288"/>
      <c r="G155" s="3288"/>
      <c r="H155" s="3288"/>
    </row>
    <row r="156" spans="1:8" ht="12.75" customHeight="1">
      <c r="C156" s="1787" t="s">
        <v>4822</v>
      </c>
      <c r="E156" s="3288" t="s">
        <v>3399</v>
      </c>
      <c r="F156" s="3288"/>
      <c r="G156" s="3288"/>
      <c r="H156" s="3288"/>
    </row>
    <row r="157" spans="1:8" ht="12.75" customHeight="1">
      <c r="C157" s="1788"/>
      <c r="D157" s="1786" t="s">
        <v>3236</v>
      </c>
      <c r="E157" s="3354" t="s">
        <v>3400</v>
      </c>
      <c r="F157" s="3354"/>
      <c r="G157" s="3354"/>
      <c r="H157" s="3354"/>
    </row>
    <row r="158" spans="1:8" ht="6" customHeight="1">
      <c r="D158" s="814"/>
      <c r="E158" s="1784"/>
      <c r="F158" s="1784"/>
      <c r="G158" s="1784"/>
      <c r="H158" s="1784"/>
    </row>
    <row r="159" spans="1:8">
      <c r="A159" s="785" t="s">
        <v>3232</v>
      </c>
      <c r="B159" s="812" t="str">
        <f>IF('Part VI-Revenues &amp; Expenses'!$N$61=0,"",'Part VI-Revenues &amp; Expenses'!$N$61)</f>
        <v/>
      </c>
      <c r="C159" s="785" t="s">
        <v>3235</v>
      </c>
      <c r="D159" s="813" t="s">
        <v>3403</v>
      </c>
    </row>
    <row r="160" spans="1:8" ht="1.95" customHeight="1"/>
    <row r="161" spans="1:8" ht="12.75" customHeight="1">
      <c r="C161" s="779" t="s">
        <v>3137</v>
      </c>
      <c r="D161" s="814" t="s">
        <v>1938</v>
      </c>
      <c r="E161" s="815"/>
      <c r="F161" s="811" t="s">
        <v>3138</v>
      </c>
      <c r="G161" s="811"/>
      <c r="H161" s="811"/>
    </row>
    <row r="162" spans="1:8" ht="12.75" customHeight="1">
      <c r="C162" s="816" t="s">
        <v>1326</v>
      </c>
      <c r="D162" s="814" t="s">
        <v>1940</v>
      </c>
      <c r="E162" s="3288" t="s">
        <v>3237</v>
      </c>
      <c r="F162" s="3288"/>
      <c r="G162" s="3288"/>
      <c r="H162" s="3288"/>
    </row>
    <row r="163" spans="1:8" ht="12.75" customHeight="1">
      <c r="C163" s="1787" t="s">
        <v>4822</v>
      </c>
      <c r="E163" s="3288" t="s">
        <v>3399</v>
      </c>
      <c r="F163" s="3288"/>
      <c r="G163" s="3288"/>
      <c r="H163" s="3288"/>
    </row>
    <row r="164" spans="1:8" ht="12.75" customHeight="1">
      <c r="C164" s="1788"/>
      <c r="D164" s="1785" t="s">
        <v>3236</v>
      </c>
      <c r="E164" s="3355" t="s">
        <v>3400</v>
      </c>
      <c r="F164" s="3355"/>
      <c r="G164" s="3355"/>
      <c r="H164" s="3355"/>
    </row>
    <row r="165" spans="1:8" ht="3" customHeight="1">
      <c r="D165" s="814"/>
      <c r="E165" s="1784"/>
      <c r="F165" s="1784"/>
      <c r="G165" s="1784"/>
      <c r="H165" s="1784"/>
    </row>
    <row r="166" spans="1:8" ht="12.75" customHeight="1">
      <c r="C166" s="779" t="s">
        <v>3137</v>
      </c>
      <c r="D166" s="814" t="s">
        <v>1938</v>
      </c>
      <c r="E166" s="815"/>
      <c r="F166" s="811" t="s">
        <v>3138</v>
      </c>
      <c r="G166" s="811"/>
      <c r="H166" s="811"/>
    </row>
    <row r="167" spans="1:8" ht="12.75" customHeight="1">
      <c r="C167" s="816" t="s">
        <v>1326</v>
      </c>
      <c r="D167" s="814" t="s">
        <v>1940</v>
      </c>
      <c r="E167" s="3288" t="s">
        <v>3237</v>
      </c>
      <c r="F167" s="3288"/>
      <c r="G167" s="3288"/>
      <c r="H167" s="3288"/>
    </row>
    <row r="168" spans="1:8" ht="12.75" customHeight="1">
      <c r="C168" s="1787" t="s">
        <v>4822</v>
      </c>
      <c r="E168" s="3288" t="s">
        <v>3399</v>
      </c>
      <c r="F168" s="3288"/>
      <c r="G168" s="3288"/>
      <c r="H168" s="3288"/>
    </row>
    <row r="169" spans="1:8" ht="12.75" customHeight="1">
      <c r="C169" s="1788"/>
      <c r="D169" s="1786" t="s">
        <v>3236</v>
      </c>
      <c r="E169" s="3354" t="s">
        <v>3400</v>
      </c>
      <c r="F169" s="3354"/>
      <c r="G169" s="3354"/>
      <c r="H169" s="3354"/>
    </row>
    <row r="170" spans="1:8" ht="3" customHeight="1">
      <c r="D170" s="814"/>
      <c r="E170" s="1784"/>
      <c r="F170" s="1784"/>
      <c r="G170" s="1784"/>
      <c r="H170" s="1784"/>
    </row>
    <row r="171" spans="1:8" ht="12.75" customHeight="1">
      <c r="C171" s="779" t="s">
        <v>3137</v>
      </c>
      <c r="D171" s="814" t="s">
        <v>1938</v>
      </c>
      <c r="E171" s="815"/>
      <c r="F171" s="811" t="s">
        <v>3138</v>
      </c>
      <c r="G171" s="811"/>
      <c r="H171" s="811"/>
    </row>
    <row r="172" spans="1:8" ht="12.75" customHeight="1">
      <c r="C172" s="816" t="s">
        <v>1326</v>
      </c>
      <c r="D172" s="814" t="s">
        <v>1940</v>
      </c>
      <c r="E172" s="3288" t="s">
        <v>3237</v>
      </c>
      <c r="F172" s="3288"/>
      <c r="G172" s="3288"/>
      <c r="H172" s="3288"/>
    </row>
    <row r="173" spans="1:8" ht="12.75" customHeight="1">
      <c r="C173" s="1787" t="s">
        <v>4822</v>
      </c>
      <c r="E173" s="3288" t="s">
        <v>3399</v>
      </c>
      <c r="F173" s="3288"/>
      <c r="G173" s="3288"/>
      <c r="H173" s="3288"/>
    </row>
    <row r="174" spans="1:8" ht="12.75" customHeight="1">
      <c r="C174" s="1788"/>
      <c r="D174" s="1786" t="s">
        <v>3236</v>
      </c>
      <c r="E174" s="3354" t="s">
        <v>3400</v>
      </c>
      <c r="F174" s="3354"/>
      <c r="G174" s="3354"/>
      <c r="H174" s="3354"/>
    </row>
    <row r="175" spans="1:8" ht="6" customHeight="1">
      <c r="D175" s="814"/>
      <c r="E175" s="1784"/>
      <c r="F175" s="1784"/>
      <c r="G175" s="1784"/>
      <c r="H175" s="1784"/>
    </row>
    <row r="176" spans="1:8">
      <c r="A176" s="785" t="s">
        <v>3232</v>
      </c>
      <c r="B176" s="812" t="str">
        <f>IF('Part VI-Revenues &amp; Expenses'!$O61=0,"",'Part VI-Revenues &amp; Expenses'!$O$61)</f>
        <v/>
      </c>
      <c r="C176" s="785" t="s">
        <v>4820</v>
      </c>
      <c r="D176" s="813" t="s">
        <v>4821</v>
      </c>
    </row>
    <row r="177" spans="1:11" ht="1.95" customHeight="1"/>
    <row r="178" spans="1:11" ht="12.75" customHeight="1">
      <c r="C178" s="779" t="s">
        <v>3137</v>
      </c>
      <c r="D178" s="814" t="s">
        <v>1938</v>
      </c>
      <c r="E178" s="815"/>
      <c r="F178" s="3288" t="s">
        <v>3138</v>
      </c>
      <c r="G178" s="3288"/>
      <c r="H178" s="3288"/>
      <c r="K178" s="730" t="s">
        <v>238</v>
      </c>
    </row>
    <row r="179" spans="1:11" ht="12.75" customHeight="1">
      <c r="C179" s="816" t="s">
        <v>1326</v>
      </c>
      <c r="D179" s="814" t="s">
        <v>1940</v>
      </c>
      <c r="E179" s="3288" t="s">
        <v>3238</v>
      </c>
      <c r="F179" s="3288"/>
      <c r="G179" s="3288"/>
      <c r="H179" s="3288"/>
    </row>
    <row r="180" spans="1:11" ht="12.75" customHeight="1">
      <c r="E180" s="3288" t="s">
        <v>3399</v>
      </c>
      <c r="F180" s="3288"/>
      <c r="G180" s="3288"/>
      <c r="H180" s="3288"/>
    </row>
    <row r="181" spans="1:11" ht="12.75" customHeight="1">
      <c r="D181" s="817" t="s">
        <v>3236</v>
      </c>
      <c r="E181" s="3288" t="s">
        <v>3400</v>
      </c>
      <c r="F181" s="3288"/>
      <c r="G181" s="3288"/>
      <c r="H181" s="3288"/>
    </row>
    <row r="182" spans="1:11" ht="9" customHeight="1" thickBot="1"/>
    <row r="183" spans="1:11" ht="16.2" customHeight="1" thickBot="1">
      <c r="A183" s="3352">
        <v>40</v>
      </c>
      <c r="B183" s="3353"/>
      <c r="C183" s="1789" t="s">
        <v>1018</v>
      </c>
    </row>
    <row r="184" spans="1:11" ht="9" customHeight="1">
      <c r="A184" s="752"/>
    </row>
    <row r="185" spans="1:11" ht="28.2" customHeight="1">
      <c r="A185" s="3356" t="s">
        <v>4826</v>
      </c>
      <c r="B185" s="3356"/>
      <c r="C185" s="3356"/>
      <c r="D185" s="3356"/>
      <c r="E185" s="3356"/>
      <c r="F185" s="3356"/>
      <c r="G185" s="3356"/>
      <c r="H185" s="3356"/>
    </row>
    <row r="186" spans="1:11" ht="9" customHeight="1">
      <c r="A186" s="752"/>
    </row>
    <row r="187" spans="1:11">
      <c r="A187" s="785" t="s">
        <v>3232</v>
      </c>
      <c r="B187" s="812" t="str">
        <f>IF('Part VI-Revenues &amp; Expenses'!$K$60=0,"",'Part VI-Revenues &amp; Expenses'!$K$60)</f>
        <v/>
      </c>
      <c r="C187" s="785" t="s">
        <v>4817</v>
      </c>
      <c r="D187" s="813" t="s">
        <v>4818</v>
      </c>
    </row>
    <row r="188" spans="1:11" ht="1.95" customHeight="1"/>
    <row r="189" spans="1:11" ht="12.75" customHeight="1">
      <c r="C189" s="779" t="s">
        <v>3137</v>
      </c>
      <c r="D189" s="814" t="s">
        <v>1938</v>
      </c>
      <c r="E189" s="815"/>
      <c r="F189" s="3288" t="s">
        <v>3138</v>
      </c>
      <c r="G189" s="3288"/>
      <c r="H189" s="3288"/>
    </row>
    <row r="190" spans="1:11" ht="12.75" customHeight="1">
      <c r="C190" s="816" t="s">
        <v>1326</v>
      </c>
      <c r="D190" s="814" t="s">
        <v>1940</v>
      </c>
      <c r="E190" s="3288" t="s">
        <v>3237</v>
      </c>
      <c r="F190" s="3288"/>
      <c r="G190" s="3288"/>
      <c r="H190" s="3288"/>
    </row>
    <row r="191" spans="1:11" ht="12.75" customHeight="1">
      <c r="C191" s="1787" t="s">
        <v>4822</v>
      </c>
      <c r="E191" s="3288" t="s">
        <v>3399</v>
      </c>
      <c r="F191" s="3288"/>
      <c r="G191" s="3288"/>
      <c r="H191" s="3288"/>
    </row>
    <row r="192" spans="1:11" ht="12.75" customHeight="1">
      <c r="C192" s="1788"/>
      <c r="D192" s="1786" t="s">
        <v>3236</v>
      </c>
      <c r="E192" s="3354" t="s">
        <v>3400</v>
      </c>
      <c r="F192" s="3354"/>
      <c r="G192" s="3354"/>
      <c r="H192" s="3354"/>
    </row>
    <row r="193" spans="1:8" ht="3" customHeight="1">
      <c r="D193" s="814"/>
      <c r="E193" s="1784"/>
      <c r="F193" s="1784"/>
      <c r="G193" s="1784"/>
      <c r="H193" s="1784"/>
    </row>
    <row r="194" spans="1:8" ht="12.75" customHeight="1">
      <c r="C194" s="779" t="s">
        <v>3137</v>
      </c>
      <c r="D194" s="814" t="s">
        <v>1938</v>
      </c>
      <c r="E194" s="815"/>
      <c r="F194" s="811" t="s">
        <v>3138</v>
      </c>
      <c r="G194" s="811"/>
      <c r="H194" s="811"/>
    </row>
    <row r="195" spans="1:8" ht="12.75" customHeight="1">
      <c r="C195" s="816" t="s">
        <v>1326</v>
      </c>
      <c r="D195" s="814" t="s">
        <v>1940</v>
      </c>
      <c r="E195" s="3288" t="s">
        <v>3237</v>
      </c>
      <c r="F195" s="3288"/>
      <c r="G195" s="3288"/>
      <c r="H195" s="3288"/>
    </row>
    <row r="196" spans="1:8" ht="12.75" customHeight="1">
      <c r="C196" s="1787" t="s">
        <v>4822</v>
      </c>
      <c r="E196" s="3288" t="s">
        <v>3399</v>
      </c>
      <c r="F196" s="3288"/>
      <c r="G196" s="3288"/>
      <c r="H196" s="3288"/>
    </row>
    <row r="197" spans="1:8" ht="12.75" customHeight="1">
      <c r="C197" s="1788"/>
      <c r="D197" s="1786" t="s">
        <v>3236</v>
      </c>
      <c r="E197" s="3354" t="s">
        <v>3400</v>
      </c>
      <c r="F197" s="3354"/>
      <c r="G197" s="3354"/>
      <c r="H197" s="3354"/>
    </row>
    <row r="198" spans="1:8" ht="3" customHeight="1">
      <c r="D198" s="814"/>
      <c r="E198" s="1784"/>
      <c r="F198" s="1784"/>
      <c r="G198" s="1784"/>
      <c r="H198" s="1784"/>
    </row>
    <row r="199" spans="1:8" ht="12.75" customHeight="1">
      <c r="C199" s="779" t="s">
        <v>3137</v>
      </c>
      <c r="D199" s="814" t="s">
        <v>1938</v>
      </c>
      <c r="E199" s="815"/>
      <c r="F199" s="811" t="s">
        <v>3138</v>
      </c>
      <c r="G199" s="811"/>
      <c r="H199" s="811"/>
    </row>
    <row r="200" spans="1:8" ht="12.75" customHeight="1">
      <c r="C200" s="816" t="s">
        <v>1326</v>
      </c>
      <c r="D200" s="814" t="s">
        <v>1940</v>
      </c>
      <c r="E200" s="3288" t="s">
        <v>3237</v>
      </c>
      <c r="F200" s="3288"/>
      <c r="G200" s="3288"/>
      <c r="H200" s="3288"/>
    </row>
    <row r="201" spans="1:8" ht="12.75" customHeight="1">
      <c r="C201" s="1787" t="s">
        <v>4822</v>
      </c>
      <c r="E201" s="3288" t="s">
        <v>3399</v>
      </c>
      <c r="F201" s="3288"/>
      <c r="G201" s="3288"/>
      <c r="H201" s="3288"/>
    </row>
    <row r="202" spans="1:8" ht="12.75" customHeight="1">
      <c r="C202" s="1788"/>
      <c r="D202" s="1786" t="s">
        <v>3236</v>
      </c>
      <c r="E202" s="3354" t="s">
        <v>3400</v>
      </c>
      <c r="F202" s="3354"/>
      <c r="G202" s="3354"/>
      <c r="H202" s="3354"/>
    </row>
    <row r="203" spans="1:8" ht="6" customHeight="1">
      <c r="D203" s="814"/>
      <c r="E203" s="1784"/>
      <c r="F203" s="1784"/>
      <c r="G203" s="1784"/>
      <c r="H203" s="1784"/>
    </row>
    <row r="204" spans="1:8">
      <c r="A204" s="785" t="s">
        <v>3232</v>
      </c>
      <c r="B204" s="812" t="str">
        <f>IF('Part VI-Revenues &amp; Expenses'!$L$60=0,"",'Part VI-Revenues &amp; Expenses'!$L$60)</f>
        <v/>
      </c>
      <c r="C204" s="785" t="s">
        <v>3233</v>
      </c>
      <c r="D204" s="813" t="s">
        <v>3401</v>
      </c>
    </row>
    <row r="205" spans="1:8" ht="1.95" customHeight="1"/>
    <row r="206" spans="1:8" ht="12.75" customHeight="1">
      <c r="C206" s="779" t="s">
        <v>3137</v>
      </c>
      <c r="D206" s="814" t="s">
        <v>1938</v>
      </c>
      <c r="E206" s="815"/>
      <c r="F206" s="811" t="s">
        <v>3138</v>
      </c>
      <c r="G206" s="811"/>
      <c r="H206" s="811"/>
    </row>
    <row r="207" spans="1:8" ht="12.75" customHeight="1">
      <c r="C207" s="816" t="s">
        <v>1326</v>
      </c>
      <c r="D207" s="814" t="s">
        <v>1940</v>
      </c>
      <c r="E207" s="3288" t="s">
        <v>3237</v>
      </c>
      <c r="F207" s="3288"/>
      <c r="G207" s="3288"/>
      <c r="H207" s="3288"/>
    </row>
    <row r="208" spans="1:8" ht="12.75" customHeight="1">
      <c r="C208" s="1787" t="s">
        <v>4822</v>
      </c>
      <c r="E208" s="3288" t="s">
        <v>3399</v>
      </c>
      <c r="F208" s="3288"/>
      <c r="G208" s="3288"/>
      <c r="H208" s="3288"/>
    </row>
    <row r="209" spans="1:8" ht="12.75" customHeight="1">
      <c r="C209" s="1788"/>
      <c r="D209" s="1785" t="s">
        <v>3236</v>
      </c>
      <c r="E209" s="3355" t="s">
        <v>3400</v>
      </c>
      <c r="F209" s="3355"/>
      <c r="G209" s="3355"/>
      <c r="H209" s="3355"/>
    </row>
    <row r="210" spans="1:8" ht="3" customHeight="1">
      <c r="D210" s="814"/>
      <c r="E210" s="1784"/>
      <c r="F210" s="1784"/>
      <c r="G210" s="1784"/>
      <c r="H210" s="1784"/>
    </row>
    <row r="211" spans="1:8" ht="12.75" customHeight="1">
      <c r="C211" s="779" t="s">
        <v>3137</v>
      </c>
      <c r="D211" s="814" t="s">
        <v>1938</v>
      </c>
      <c r="E211" s="815"/>
      <c r="F211" s="811" t="s">
        <v>3138</v>
      </c>
      <c r="G211" s="811"/>
      <c r="H211" s="811"/>
    </row>
    <row r="212" spans="1:8" ht="12.75" customHeight="1">
      <c r="C212" s="816" t="s">
        <v>1326</v>
      </c>
      <c r="D212" s="814" t="s">
        <v>1940</v>
      </c>
      <c r="E212" s="3288" t="s">
        <v>3237</v>
      </c>
      <c r="F212" s="3288"/>
      <c r="G212" s="3288"/>
      <c r="H212" s="3288"/>
    </row>
    <row r="213" spans="1:8" ht="12.75" customHeight="1">
      <c r="C213" s="1787" t="s">
        <v>4822</v>
      </c>
      <c r="E213" s="3288" t="s">
        <v>3399</v>
      </c>
      <c r="F213" s="3288"/>
      <c r="G213" s="3288"/>
      <c r="H213" s="3288"/>
    </row>
    <row r="214" spans="1:8" ht="12.75" customHeight="1">
      <c r="C214" s="1788"/>
      <c r="D214" s="1786" t="s">
        <v>3236</v>
      </c>
      <c r="E214" s="3354" t="s">
        <v>3400</v>
      </c>
      <c r="F214" s="3354"/>
      <c r="G214" s="3354"/>
      <c r="H214" s="3354"/>
    </row>
    <row r="215" spans="1:8" ht="3" customHeight="1">
      <c r="D215" s="814"/>
      <c r="E215" s="1784"/>
      <c r="F215" s="1784"/>
      <c r="G215" s="1784"/>
      <c r="H215" s="1784"/>
    </row>
    <row r="216" spans="1:8" ht="12.75" customHeight="1">
      <c r="C216" s="779" t="s">
        <v>3137</v>
      </c>
      <c r="D216" s="814" t="s">
        <v>1938</v>
      </c>
      <c r="E216" s="815"/>
      <c r="F216" s="811" t="s">
        <v>3138</v>
      </c>
      <c r="G216" s="811"/>
      <c r="H216" s="811"/>
    </row>
    <row r="217" spans="1:8" ht="12.75" customHeight="1">
      <c r="C217" s="816" t="s">
        <v>1326</v>
      </c>
      <c r="D217" s="814" t="s">
        <v>1940</v>
      </c>
      <c r="E217" s="3288" t="s">
        <v>3237</v>
      </c>
      <c r="F217" s="3288"/>
      <c r="G217" s="3288"/>
      <c r="H217" s="3288"/>
    </row>
    <row r="218" spans="1:8" ht="12.75" customHeight="1">
      <c r="C218" s="1787" t="s">
        <v>4822</v>
      </c>
      <c r="E218" s="3288" t="s">
        <v>3399</v>
      </c>
      <c r="F218" s="3288"/>
      <c r="G218" s="3288"/>
      <c r="H218" s="3288"/>
    </row>
    <row r="219" spans="1:8" ht="12.75" customHeight="1">
      <c r="C219" s="1788"/>
      <c r="D219" s="1786" t="s">
        <v>3236</v>
      </c>
      <c r="E219" s="3354" t="s">
        <v>3400</v>
      </c>
      <c r="F219" s="3354"/>
      <c r="G219" s="3354"/>
      <c r="H219" s="3354"/>
    </row>
    <row r="220" spans="1:8" ht="6" customHeight="1">
      <c r="D220" s="814"/>
      <c r="E220" s="1784"/>
      <c r="F220" s="1784"/>
      <c r="G220" s="1784"/>
      <c r="H220" s="1784"/>
    </row>
    <row r="221" spans="1:8">
      <c r="A221" s="785" t="s">
        <v>3232</v>
      </c>
      <c r="B221" s="812" t="str">
        <f>IF('Part VI-Revenues &amp; Expenses'!$M$60=0,"",'Part VI-Revenues &amp; Expenses'!$M$60)</f>
        <v/>
      </c>
      <c r="C221" s="785" t="s">
        <v>3234</v>
      </c>
      <c r="D221" s="813" t="s">
        <v>3402</v>
      </c>
    </row>
    <row r="222" spans="1:8" ht="1.95" customHeight="1"/>
    <row r="223" spans="1:8" ht="12.75" customHeight="1">
      <c r="C223" s="779" t="s">
        <v>3137</v>
      </c>
      <c r="D223" s="814" t="s">
        <v>1938</v>
      </c>
      <c r="E223" s="815"/>
      <c r="F223" s="811" t="s">
        <v>3138</v>
      </c>
      <c r="G223" s="811"/>
      <c r="H223" s="811"/>
    </row>
    <row r="224" spans="1:8" ht="12.75" customHeight="1">
      <c r="C224" s="816" t="s">
        <v>1326</v>
      </c>
      <c r="D224" s="814" t="s">
        <v>1940</v>
      </c>
      <c r="E224" s="3288" t="s">
        <v>3237</v>
      </c>
      <c r="F224" s="3288"/>
      <c r="G224" s="3288"/>
      <c r="H224" s="3288"/>
    </row>
    <row r="225" spans="1:8" ht="12.75" customHeight="1">
      <c r="C225" s="1787" t="s">
        <v>4822</v>
      </c>
      <c r="E225" s="3288" t="s">
        <v>3399</v>
      </c>
      <c r="F225" s="3288"/>
      <c r="G225" s="3288"/>
      <c r="H225" s="3288"/>
    </row>
    <row r="226" spans="1:8" ht="12.75" customHeight="1">
      <c r="C226" s="1788"/>
      <c r="D226" s="1785" t="s">
        <v>3236</v>
      </c>
      <c r="E226" s="3355" t="s">
        <v>3400</v>
      </c>
      <c r="F226" s="3355"/>
      <c r="G226" s="3355"/>
      <c r="H226" s="3355"/>
    </row>
    <row r="227" spans="1:8" ht="3" customHeight="1">
      <c r="D227" s="814"/>
      <c r="E227" s="1784"/>
      <c r="F227" s="1784"/>
      <c r="G227" s="1784"/>
      <c r="H227" s="1784"/>
    </row>
    <row r="228" spans="1:8" ht="12.75" customHeight="1">
      <c r="C228" s="779" t="s">
        <v>3137</v>
      </c>
      <c r="D228" s="814" t="s">
        <v>1938</v>
      </c>
      <c r="E228" s="815"/>
      <c r="F228" s="811" t="s">
        <v>3138</v>
      </c>
      <c r="G228" s="811"/>
      <c r="H228" s="811"/>
    </row>
    <row r="229" spans="1:8" ht="12.75" customHeight="1">
      <c r="C229" s="816" t="s">
        <v>1326</v>
      </c>
      <c r="D229" s="814" t="s">
        <v>1940</v>
      </c>
      <c r="E229" s="3288" t="s">
        <v>3237</v>
      </c>
      <c r="F229" s="3288"/>
      <c r="G229" s="3288"/>
      <c r="H229" s="3288"/>
    </row>
    <row r="230" spans="1:8" ht="12.75" customHeight="1">
      <c r="C230" s="1787" t="s">
        <v>4822</v>
      </c>
      <c r="E230" s="3288" t="s">
        <v>3399</v>
      </c>
      <c r="F230" s="3288"/>
      <c r="G230" s="3288"/>
      <c r="H230" s="3288"/>
    </row>
    <row r="231" spans="1:8" ht="12.75" customHeight="1">
      <c r="C231" s="1788"/>
      <c r="D231" s="1786" t="s">
        <v>3236</v>
      </c>
      <c r="E231" s="3354" t="s">
        <v>3400</v>
      </c>
      <c r="F231" s="3354"/>
      <c r="G231" s="3354"/>
      <c r="H231" s="3354"/>
    </row>
    <row r="232" spans="1:8" ht="3" customHeight="1">
      <c r="D232" s="814"/>
      <c r="E232" s="1784"/>
      <c r="F232" s="1784"/>
      <c r="G232" s="1784"/>
      <c r="H232" s="1784"/>
    </row>
    <row r="233" spans="1:8" ht="12.75" customHeight="1">
      <c r="C233" s="779" t="s">
        <v>3137</v>
      </c>
      <c r="D233" s="814" t="s">
        <v>1938</v>
      </c>
      <c r="E233" s="815"/>
      <c r="F233" s="811" t="s">
        <v>3138</v>
      </c>
      <c r="G233" s="811"/>
      <c r="H233" s="811"/>
    </row>
    <row r="234" spans="1:8" ht="12.75" customHeight="1">
      <c r="C234" s="816" t="s">
        <v>1326</v>
      </c>
      <c r="D234" s="814" t="s">
        <v>1940</v>
      </c>
      <c r="E234" s="3288" t="s">
        <v>3237</v>
      </c>
      <c r="F234" s="3288"/>
      <c r="G234" s="3288"/>
      <c r="H234" s="3288"/>
    </row>
    <row r="235" spans="1:8" ht="12.75" customHeight="1">
      <c r="C235" s="1787" t="s">
        <v>4822</v>
      </c>
      <c r="E235" s="3288" t="s">
        <v>3399</v>
      </c>
      <c r="F235" s="3288"/>
      <c r="G235" s="3288"/>
      <c r="H235" s="3288"/>
    </row>
    <row r="236" spans="1:8" ht="12.75" customHeight="1">
      <c r="C236" s="1788"/>
      <c r="D236" s="1786" t="s">
        <v>3236</v>
      </c>
      <c r="E236" s="3354" t="s">
        <v>3400</v>
      </c>
      <c r="F236" s="3354"/>
      <c r="G236" s="3354"/>
      <c r="H236" s="3354"/>
    </row>
    <row r="237" spans="1:8" ht="6" customHeight="1">
      <c r="D237" s="814"/>
      <c r="E237" s="1784"/>
      <c r="F237" s="1784"/>
      <c r="G237" s="1784"/>
      <c r="H237" s="1784"/>
    </row>
    <row r="238" spans="1:8">
      <c r="A238" s="785" t="s">
        <v>3232</v>
      </c>
      <c r="B238" s="812" t="str">
        <f>IF('Part VI-Revenues &amp; Expenses'!$N$60=0,"",'Part VI-Revenues &amp; Expenses'!$N$60)</f>
        <v/>
      </c>
      <c r="C238" s="785" t="s">
        <v>3235</v>
      </c>
      <c r="D238" s="813" t="s">
        <v>3403</v>
      </c>
    </row>
    <row r="239" spans="1:8" ht="1.95" customHeight="1"/>
    <row r="240" spans="1:8" ht="12.75" customHeight="1">
      <c r="C240" s="779" t="s">
        <v>3137</v>
      </c>
      <c r="D240" s="814" t="s">
        <v>1938</v>
      </c>
      <c r="E240" s="815"/>
      <c r="F240" s="811" t="s">
        <v>3138</v>
      </c>
      <c r="G240" s="811"/>
      <c r="H240" s="811"/>
    </row>
    <row r="241" spans="1:8" ht="12.75" customHeight="1">
      <c r="C241" s="816" t="s">
        <v>1326</v>
      </c>
      <c r="D241" s="814" t="s">
        <v>1940</v>
      </c>
      <c r="E241" s="3288" t="s">
        <v>3237</v>
      </c>
      <c r="F241" s="3288"/>
      <c r="G241" s="3288"/>
      <c r="H241" s="3288"/>
    </row>
    <row r="242" spans="1:8" ht="12.75" customHeight="1">
      <c r="C242" s="1787" t="s">
        <v>4822</v>
      </c>
      <c r="E242" s="3288" t="s">
        <v>3399</v>
      </c>
      <c r="F242" s="3288"/>
      <c r="G242" s="3288"/>
      <c r="H242" s="3288"/>
    </row>
    <row r="243" spans="1:8" ht="12.75" customHeight="1">
      <c r="C243" s="1788"/>
      <c r="D243" s="1785" t="s">
        <v>3236</v>
      </c>
      <c r="E243" s="3355" t="s">
        <v>3400</v>
      </c>
      <c r="F243" s="3355"/>
      <c r="G243" s="3355"/>
      <c r="H243" s="3355"/>
    </row>
    <row r="244" spans="1:8" ht="3" customHeight="1">
      <c r="D244" s="814"/>
      <c r="E244" s="1784"/>
      <c r="F244" s="1784"/>
      <c r="G244" s="1784"/>
      <c r="H244" s="1784"/>
    </row>
    <row r="245" spans="1:8" ht="12.75" customHeight="1">
      <c r="C245" s="779" t="s">
        <v>3137</v>
      </c>
      <c r="D245" s="814" t="s">
        <v>1938</v>
      </c>
      <c r="E245" s="815"/>
      <c r="F245" s="811" t="s">
        <v>3138</v>
      </c>
      <c r="G245" s="811"/>
      <c r="H245" s="811"/>
    </row>
    <row r="246" spans="1:8" ht="12.75" customHeight="1">
      <c r="C246" s="816" t="s">
        <v>1326</v>
      </c>
      <c r="D246" s="814" t="s">
        <v>1940</v>
      </c>
      <c r="E246" s="3288" t="s">
        <v>3237</v>
      </c>
      <c r="F246" s="3288"/>
      <c r="G246" s="3288"/>
      <c r="H246" s="3288"/>
    </row>
    <row r="247" spans="1:8" ht="12.75" customHeight="1">
      <c r="C247" s="1787" t="s">
        <v>4822</v>
      </c>
      <c r="E247" s="3288" t="s">
        <v>3399</v>
      </c>
      <c r="F247" s="3288"/>
      <c r="G247" s="3288"/>
      <c r="H247" s="3288"/>
    </row>
    <row r="248" spans="1:8" ht="12.75" customHeight="1">
      <c r="C248" s="1788"/>
      <c r="D248" s="1786" t="s">
        <v>3236</v>
      </c>
      <c r="E248" s="3354" t="s">
        <v>3400</v>
      </c>
      <c r="F248" s="3354"/>
      <c r="G248" s="3354"/>
      <c r="H248" s="3354"/>
    </row>
    <row r="249" spans="1:8" ht="3" customHeight="1">
      <c r="D249" s="814"/>
      <c r="E249" s="1784"/>
      <c r="F249" s="1784"/>
      <c r="G249" s="1784"/>
      <c r="H249" s="1784"/>
    </row>
    <row r="250" spans="1:8" ht="12.75" customHeight="1">
      <c r="C250" s="779" t="s">
        <v>3137</v>
      </c>
      <c r="D250" s="814" t="s">
        <v>1938</v>
      </c>
      <c r="E250" s="815"/>
      <c r="F250" s="811" t="s">
        <v>3138</v>
      </c>
      <c r="G250" s="811"/>
      <c r="H250" s="811"/>
    </row>
    <row r="251" spans="1:8" ht="12.75" customHeight="1">
      <c r="C251" s="816" t="s">
        <v>1326</v>
      </c>
      <c r="D251" s="814" t="s">
        <v>1940</v>
      </c>
      <c r="E251" s="3288" t="s">
        <v>3237</v>
      </c>
      <c r="F251" s="3288"/>
      <c r="G251" s="3288"/>
      <c r="H251" s="3288"/>
    </row>
    <row r="252" spans="1:8" ht="12.75" customHeight="1">
      <c r="C252" s="1787" t="s">
        <v>4822</v>
      </c>
      <c r="E252" s="3288" t="s">
        <v>3399</v>
      </c>
      <c r="F252" s="3288"/>
      <c r="G252" s="3288"/>
      <c r="H252" s="3288"/>
    </row>
    <row r="253" spans="1:8" ht="12.75" customHeight="1">
      <c r="C253" s="1788"/>
      <c r="D253" s="1786" t="s">
        <v>3236</v>
      </c>
      <c r="E253" s="3354" t="s">
        <v>3400</v>
      </c>
      <c r="F253" s="3354"/>
      <c r="G253" s="3354"/>
      <c r="H253" s="3354"/>
    </row>
    <row r="254" spans="1:8" ht="6" customHeight="1">
      <c r="D254" s="814"/>
      <c r="E254" s="1784"/>
      <c r="F254" s="1784"/>
      <c r="G254" s="1784"/>
      <c r="H254" s="1784"/>
    </row>
    <row r="255" spans="1:8">
      <c r="A255" s="785" t="s">
        <v>3232</v>
      </c>
      <c r="B255" s="812" t="str">
        <f>IF('Part VI-Revenues &amp; Expenses'!$O$60=0,"",'Part VI-Revenues &amp; Expenses'!$O$60)</f>
        <v/>
      </c>
      <c r="C255" s="785" t="s">
        <v>4820</v>
      </c>
      <c r="D255" s="813" t="s">
        <v>4821</v>
      </c>
    </row>
    <row r="256" spans="1:8" ht="1.95" customHeight="1"/>
    <row r="257" spans="1:11" ht="12.75" customHeight="1">
      <c r="C257" s="779" t="s">
        <v>3137</v>
      </c>
      <c r="D257" s="814" t="s">
        <v>1938</v>
      </c>
      <c r="E257" s="815"/>
      <c r="F257" s="3288" t="s">
        <v>3138</v>
      </c>
      <c r="G257" s="3288"/>
      <c r="H257" s="3288"/>
      <c r="K257" s="730" t="s">
        <v>238</v>
      </c>
    </row>
    <row r="258" spans="1:11" ht="12.75" customHeight="1">
      <c r="C258" s="816" t="s">
        <v>1326</v>
      </c>
      <c r="D258" s="814" t="s">
        <v>1940</v>
      </c>
      <c r="E258" s="3288" t="s">
        <v>3238</v>
      </c>
      <c r="F258" s="3288"/>
      <c r="G258" s="3288"/>
      <c r="H258" s="3288"/>
    </row>
    <row r="259" spans="1:11" ht="12.75" customHeight="1">
      <c r="E259" s="3288" t="s">
        <v>3399</v>
      </c>
      <c r="F259" s="3288"/>
      <c r="G259" s="3288"/>
      <c r="H259" s="3288"/>
    </row>
    <row r="260" spans="1:11" ht="12.75" customHeight="1">
      <c r="D260" s="817" t="s">
        <v>3236</v>
      </c>
      <c r="E260" s="3288" t="s">
        <v>3400</v>
      </c>
      <c r="F260" s="3288"/>
      <c r="G260" s="3288"/>
      <c r="H260" s="3288"/>
    </row>
    <row r="261" spans="1:11" ht="9" customHeight="1" thickBot="1"/>
    <row r="262" spans="1:11" ht="16.2" customHeight="1" thickBot="1">
      <c r="A262" s="3352">
        <v>50</v>
      </c>
      <c r="B262" s="3353"/>
      <c r="C262" s="1789" t="s">
        <v>1018</v>
      </c>
    </row>
    <row r="263" spans="1:11" ht="9" customHeight="1">
      <c r="A263" s="752"/>
    </row>
    <row r="264" spans="1:11" ht="28.2" customHeight="1">
      <c r="A264" s="3356" t="s">
        <v>4823</v>
      </c>
      <c r="B264" s="3356"/>
      <c r="C264" s="3356"/>
      <c r="D264" s="3356"/>
      <c r="E264" s="3356"/>
      <c r="F264" s="3356"/>
      <c r="G264" s="3356"/>
      <c r="H264" s="3356"/>
    </row>
    <row r="265" spans="1:11" ht="9" customHeight="1">
      <c r="A265" s="752"/>
    </row>
    <row r="266" spans="1:11">
      <c r="A266" s="785" t="s">
        <v>3232</v>
      </c>
      <c r="B266" s="812" t="str">
        <f>IF('Part VI-Revenues &amp; Expenses'!$K$59=0,"",'Part VI-Revenues &amp; Expenses'!$K$59)</f>
        <v/>
      </c>
      <c r="C266" s="785" t="s">
        <v>4817</v>
      </c>
      <c r="D266" s="813" t="s">
        <v>4818</v>
      </c>
    </row>
    <row r="267" spans="1:11" ht="1.95" customHeight="1"/>
    <row r="268" spans="1:11" ht="12.75" customHeight="1">
      <c r="C268" s="779" t="s">
        <v>3137</v>
      </c>
      <c r="D268" s="814" t="s">
        <v>1938</v>
      </c>
      <c r="E268" s="815"/>
      <c r="F268" s="3288" t="s">
        <v>3138</v>
      </c>
      <c r="G268" s="3288"/>
      <c r="H268" s="3288"/>
    </row>
    <row r="269" spans="1:11" ht="12.75" customHeight="1">
      <c r="C269" s="816" t="s">
        <v>1326</v>
      </c>
      <c r="D269" s="814" t="s">
        <v>1940</v>
      </c>
      <c r="E269" s="3288" t="s">
        <v>3237</v>
      </c>
      <c r="F269" s="3288"/>
      <c r="G269" s="3288"/>
      <c r="H269" s="3288"/>
    </row>
    <row r="270" spans="1:11" ht="12.75" customHeight="1">
      <c r="C270" s="1787" t="s">
        <v>4822</v>
      </c>
      <c r="E270" s="3288" t="s">
        <v>3399</v>
      </c>
      <c r="F270" s="3288"/>
      <c r="G270" s="3288"/>
      <c r="H270" s="3288"/>
    </row>
    <row r="271" spans="1:11" ht="12.75" customHeight="1">
      <c r="C271" s="1788"/>
      <c r="D271" s="1786" t="s">
        <v>3236</v>
      </c>
      <c r="E271" s="3354" t="s">
        <v>3400</v>
      </c>
      <c r="F271" s="3354"/>
      <c r="G271" s="3354"/>
      <c r="H271" s="3354"/>
    </row>
    <row r="272" spans="1:11" ht="3" customHeight="1">
      <c r="D272" s="814"/>
      <c r="E272" s="1784"/>
      <c r="F272" s="1784"/>
      <c r="G272" s="1784"/>
      <c r="H272" s="1784"/>
    </row>
    <row r="273" spans="1:8" ht="12.75" customHeight="1">
      <c r="C273" s="779" t="s">
        <v>3137</v>
      </c>
      <c r="D273" s="814" t="s">
        <v>1938</v>
      </c>
      <c r="E273" s="815"/>
      <c r="F273" s="811" t="s">
        <v>3138</v>
      </c>
      <c r="G273" s="811"/>
      <c r="H273" s="811"/>
    </row>
    <row r="274" spans="1:8" ht="12.75" customHeight="1">
      <c r="C274" s="816" t="s">
        <v>1326</v>
      </c>
      <c r="D274" s="814" t="s">
        <v>1940</v>
      </c>
      <c r="E274" s="3288" t="s">
        <v>3237</v>
      </c>
      <c r="F274" s="3288"/>
      <c r="G274" s="3288"/>
      <c r="H274" s="3288"/>
    </row>
    <row r="275" spans="1:8" ht="12.75" customHeight="1">
      <c r="C275" s="1787" t="s">
        <v>4822</v>
      </c>
      <c r="E275" s="3288" t="s">
        <v>3399</v>
      </c>
      <c r="F275" s="3288"/>
      <c r="G275" s="3288"/>
      <c r="H275" s="3288"/>
    </row>
    <row r="276" spans="1:8" ht="12.75" customHeight="1">
      <c r="C276" s="1788"/>
      <c r="D276" s="1786" t="s">
        <v>3236</v>
      </c>
      <c r="E276" s="3354" t="s">
        <v>3400</v>
      </c>
      <c r="F276" s="3354"/>
      <c r="G276" s="3354"/>
      <c r="H276" s="3354"/>
    </row>
    <row r="277" spans="1:8" ht="3" customHeight="1">
      <c r="D277" s="814"/>
      <c r="E277" s="1784"/>
      <c r="F277" s="1784"/>
      <c r="G277" s="1784"/>
      <c r="H277" s="1784"/>
    </row>
    <row r="278" spans="1:8" ht="12.75" customHeight="1">
      <c r="C278" s="779" t="s">
        <v>3137</v>
      </c>
      <c r="D278" s="814" t="s">
        <v>1938</v>
      </c>
      <c r="E278" s="815"/>
      <c r="F278" s="811" t="s">
        <v>3138</v>
      </c>
      <c r="G278" s="811"/>
      <c r="H278" s="811"/>
    </row>
    <row r="279" spans="1:8" ht="12.75" customHeight="1">
      <c r="C279" s="816" t="s">
        <v>1326</v>
      </c>
      <c r="D279" s="814" t="s">
        <v>1940</v>
      </c>
      <c r="E279" s="3288" t="s">
        <v>3237</v>
      </c>
      <c r="F279" s="3288"/>
      <c r="G279" s="3288"/>
      <c r="H279" s="3288"/>
    </row>
    <row r="280" spans="1:8" ht="12.75" customHeight="1">
      <c r="C280" s="1787" t="s">
        <v>4822</v>
      </c>
      <c r="E280" s="3288" t="s">
        <v>3399</v>
      </c>
      <c r="F280" s="3288"/>
      <c r="G280" s="3288"/>
      <c r="H280" s="3288"/>
    </row>
    <row r="281" spans="1:8" ht="12.75" customHeight="1">
      <c r="C281" s="1788"/>
      <c r="D281" s="1786" t="s">
        <v>3236</v>
      </c>
      <c r="E281" s="3354" t="s">
        <v>3400</v>
      </c>
      <c r="F281" s="3354"/>
      <c r="G281" s="3354"/>
      <c r="H281" s="3354"/>
    </row>
    <row r="282" spans="1:8" ht="6" customHeight="1">
      <c r="D282" s="814"/>
      <c r="E282" s="1784"/>
      <c r="F282" s="1784"/>
      <c r="G282" s="1784"/>
      <c r="H282" s="1784"/>
    </row>
    <row r="283" spans="1:8">
      <c r="A283" s="785" t="s">
        <v>3232</v>
      </c>
      <c r="B283" s="812">
        <f>IF('Part VI-Revenues &amp; Expenses'!$L$59=0,"",'Part VI-Revenues &amp; Expenses'!$L$59)</f>
        <v>4</v>
      </c>
      <c r="C283" s="785" t="s">
        <v>3233</v>
      </c>
      <c r="D283" s="813" t="s">
        <v>3401</v>
      </c>
    </row>
    <row r="284" spans="1:8" ht="1.95" customHeight="1"/>
    <row r="285" spans="1:8" ht="12.75" customHeight="1">
      <c r="C285" s="779" t="s">
        <v>3137</v>
      </c>
      <c r="D285" s="814" t="s">
        <v>1938</v>
      </c>
      <c r="E285" s="815"/>
      <c r="F285" s="811" t="s">
        <v>3138</v>
      </c>
      <c r="G285" s="811"/>
      <c r="H285" s="811"/>
    </row>
    <row r="286" spans="1:8" ht="12.75" customHeight="1">
      <c r="C286" s="816" t="s">
        <v>1326</v>
      </c>
      <c r="D286" s="814" t="s">
        <v>1940</v>
      </c>
      <c r="E286" s="3288" t="s">
        <v>3237</v>
      </c>
      <c r="F286" s="3288"/>
      <c r="G286" s="3288"/>
      <c r="H286" s="3288"/>
    </row>
    <row r="287" spans="1:8" ht="12.75" customHeight="1">
      <c r="C287" s="1787" t="s">
        <v>4822</v>
      </c>
      <c r="E287" s="3288" t="s">
        <v>3399</v>
      </c>
      <c r="F287" s="3288"/>
      <c r="G287" s="3288"/>
      <c r="H287" s="3288"/>
    </row>
    <row r="288" spans="1:8" ht="12.75" customHeight="1">
      <c r="C288" s="1788"/>
      <c r="D288" s="1785" t="s">
        <v>3236</v>
      </c>
      <c r="E288" s="3355" t="s">
        <v>3400</v>
      </c>
      <c r="F288" s="3355"/>
      <c r="G288" s="3355"/>
      <c r="H288" s="3355"/>
    </row>
    <row r="289" spans="1:8" ht="3" customHeight="1">
      <c r="D289" s="814"/>
      <c r="E289" s="1784"/>
      <c r="F289" s="1784"/>
      <c r="G289" s="1784"/>
      <c r="H289" s="1784"/>
    </row>
    <row r="290" spans="1:8" ht="12.75" customHeight="1">
      <c r="C290" s="779" t="s">
        <v>3137</v>
      </c>
      <c r="D290" s="814" t="s">
        <v>1938</v>
      </c>
      <c r="E290" s="815"/>
      <c r="F290" s="811" t="s">
        <v>3138</v>
      </c>
      <c r="G290" s="811"/>
      <c r="H290" s="811"/>
    </row>
    <row r="291" spans="1:8" ht="12.75" customHeight="1">
      <c r="C291" s="816" t="s">
        <v>1326</v>
      </c>
      <c r="D291" s="814" t="s">
        <v>1940</v>
      </c>
      <c r="E291" s="3288" t="s">
        <v>3237</v>
      </c>
      <c r="F291" s="3288"/>
      <c r="G291" s="3288"/>
      <c r="H291" s="3288"/>
    </row>
    <row r="292" spans="1:8" ht="12.75" customHeight="1">
      <c r="C292" s="1787" t="s">
        <v>4822</v>
      </c>
      <c r="E292" s="3288" t="s">
        <v>3399</v>
      </c>
      <c r="F292" s="3288"/>
      <c r="G292" s="3288"/>
      <c r="H292" s="3288"/>
    </row>
    <row r="293" spans="1:8" ht="12.75" customHeight="1">
      <c r="C293" s="1788"/>
      <c r="D293" s="1786" t="s">
        <v>3236</v>
      </c>
      <c r="E293" s="3354" t="s">
        <v>3400</v>
      </c>
      <c r="F293" s="3354"/>
      <c r="G293" s="3354"/>
      <c r="H293" s="3354"/>
    </row>
    <row r="294" spans="1:8" ht="3" customHeight="1">
      <c r="D294" s="814"/>
      <c r="E294" s="1784"/>
      <c r="F294" s="1784"/>
      <c r="G294" s="1784"/>
      <c r="H294" s="1784"/>
    </row>
    <row r="295" spans="1:8" ht="12.75" customHeight="1">
      <c r="C295" s="779" t="s">
        <v>3137</v>
      </c>
      <c r="D295" s="814" t="s">
        <v>1938</v>
      </c>
      <c r="E295" s="815"/>
      <c r="F295" s="811" t="s">
        <v>3138</v>
      </c>
      <c r="G295" s="811"/>
      <c r="H295" s="811"/>
    </row>
    <row r="296" spans="1:8" ht="12.75" customHeight="1">
      <c r="C296" s="816" t="s">
        <v>1326</v>
      </c>
      <c r="D296" s="814" t="s">
        <v>1940</v>
      </c>
      <c r="E296" s="3288" t="s">
        <v>3237</v>
      </c>
      <c r="F296" s="3288"/>
      <c r="G296" s="3288"/>
      <c r="H296" s="3288"/>
    </row>
    <row r="297" spans="1:8" ht="12.75" customHeight="1">
      <c r="C297" s="1787" t="s">
        <v>4822</v>
      </c>
      <c r="E297" s="3288" t="s">
        <v>3399</v>
      </c>
      <c r="F297" s="3288"/>
      <c r="G297" s="3288"/>
      <c r="H297" s="3288"/>
    </row>
    <row r="298" spans="1:8" ht="12.75" customHeight="1">
      <c r="C298" s="1788"/>
      <c r="D298" s="1786" t="s">
        <v>3236</v>
      </c>
      <c r="E298" s="3354" t="s">
        <v>3400</v>
      </c>
      <c r="F298" s="3354"/>
      <c r="G298" s="3354"/>
      <c r="H298" s="3354"/>
    </row>
    <row r="299" spans="1:8" ht="6" customHeight="1">
      <c r="D299" s="814"/>
      <c r="E299" s="1784"/>
      <c r="F299" s="1784"/>
      <c r="G299" s="1784"/>
      <c r="H299" s="1784"/>
    </row>
    <row r="300" spans="1:8">
      <c r="A300" s="785" t="s">
        <v>3232</v>
      </c>
      <c r="B300" s="812">
        <f>IF('Part VI-Revenues &amp; Expenses'!$M$59=0,"",'Part VI-Revenues &amp; Expenses'!$M$59)</f>
        <v>8</v>
      </c>
      <c r="C300" s="785" t="s">
        <v>3234</v>
      </c>
      <c r="D300" s="813" t="s">
        <v>3402</v>
      </c>
    </row>
    <row r="301" spans="1:8" ht="1.95" customHeight="1"/>
    <row r="302" spans="1:8" ht="12.75" customHeight="1">
      <c r="C302" s="779" t="s">
        <v>3137</v>
      </c>
      <c r="D302" s="814" t="s">
        <v>1938</v>
      </c>
      <c r="E302" s="815"/>
      <c r="F302" s="811" t="s">
        <v>3138</v>
      </c>
      <c r="G302" s="811"/>
      <c r="H302" s="811"/>
    </row>
    <row r="303" spans="1:8" ht="12.75" customHeight="1">
      <c r="C303" s="816" t="s">
        <v>1326</v>
      </c>
      <c r="D303" s="814" t="s">
        <v>1940</v>
      </c>
      <c r="E303" s="3288" t="s">
        <v>3237</v>
      </c>
      <c r="F303" s="3288"/>
      <c r="G303" s="3288"/>
      <c r="H303" s="3288"/>
    </row>
    <row r="304" spans="1:8" ht="12.75" customHeight="1">
      <c r="C304" s="1787" t="s">
        <v>4822</v>
      </c>
      <c r="E304" s="3288" t="s">
        <v>3399</v>
      </c>
      <c r="F304" s="3288"/>
      <c r="G304" s="3288"/>
      <c r="H304" s="3288"/>
    </row>
    <row r="305" spans="1:8" ht="12.75" customHeight="1">
      <c r="C305" s="1788"/>
      <c r="D305" s="1785" t="s">
        <v>3236</v>
      </c>
      <c r="E305" s="3355" t="s">
        <v>3400</v>
      </c>
      <c r="F305" s="3355"/>
      <c r="G305" s="3355"/>
      <c r="H305" s="3355"/>
    </row>
    <row r="306" spans="1:8" ht="3" customHeight="1">
      <c r="D306" s="814"/>
      <c r="E306" s="1784"/>
      <c r="F306" s="1784"/>
      <c r="G306" s="1784"/>
      <c r="H306" s="1784"/>
    </row>
    <row r="307" spans="1:8" ht="12.75" customHeight="1">
      <c r="C307" s="779" t="s">
        <v>3137</v>
      </c>
      <c r="D307" s="814" t="s">
        <v>1938</v>
      </c>
      <c r="E307" s="815"/>
      <c r="F307" s="811" t="s">
        <v>3138</v>
      </c>
      <c r="G307" s="811"/>
      <c r="H307" s="811"/>
    </row>
    <row r="308" spans="1:8" ht="12.75" customHeight="1">
      <c r="C308" s="816" t="s">
        <v>1326</v>
      </c>
      <c r="D308" s="814" t="s">
        <v>1940</v>
      </c>
      <c r="E308" s="3288" t="s">
        <v>3237</v>
      </c>
      <c r="F308" s="3288"/>
      <c r="G308" s="3288"/>
      <c r="H308" s="3288"/>
    </row>
    <row r="309" spans="1:8" ht="12.75" customHeight="1">
      <c r="C309" s="1787" t="s">
        <v>4822</v>
      </c>
      <c r="E309" s="3288" t="s">
        <v>3399</v>
      </c>
      <c r="F309" s="3288"/>
      <c r="G309" s="3288"/>
      <c r="H309" s="3288"/>
    </row>
    <row r="310" spans="1:8" ht="12.75" customHeight="1">
      <c r="C310" s="1788"/>
      <c r="D310" s="1786" t="s">
        <v>3236</v>
      </c>
      <c r="E310" s="3354" t="s">
        <v>3400</v>
      </c>
      <c r="F310" s="3354"/>
      <c r="G310" s="3354"/>
      <c r="H310" s="3354"/>
    </row>
    <row r="311" spans="1:8" ht="3" customHeight="1">
      <c r="D311" s="814"/>
      <c r="E311" s="1784"/>
      <c r="F311" s="1784"/>
      <c r="G311" s="1784"/>
      <c r="H311" s="1784"/>
    </row>
    <row r="312" spans="1:8" ht="12.75" customHeight="1">
      <c r="C312" s="779" t="s">
        <v>3137</v>
      </c>
      <c r="D312" s="814" t="s">
        <v>1938</v>
      </c>
      <c r="E312" s="815"/>
      <c r="F312" s="811" t="s">
        <v>3138</v>
      </c>
      <c r="G312" s="811"/>
      <c r="H312" s="811"/>
    </row>
    <row r="313" spans="1:8" ht="12.75" customHeight="1">
      <c r="C313" s="816" t="s">
        <v>1326</v>
      </c>
      <c r="D313" s="814" t="s">
        <v>1940</v>
      </c>
      <c r="E313" s="3288" t="s">
        <v>3237</v>
      </c>
      <c r="F313" s="3288"/>
      <c r="G313" s="3288"/>
      <c r="H313" s="3288"/>
    </row>
    <row r="314" spans="1:8" ht="12.75" customHeight="1">
      <c r="C314" s="1787" t="s">
        <v>4822</v>
      </c>
      <c r="E314" s="3288" t="s">
        <v>3399</v>
      </c>
      <c r="F314" s="3288"/>
      <c r="G314" s="3288"/>
      <c r="H314" s="3288"/>
    </row>
    <row r="315" spans="1:8" ht="12.75" customHeight="1">
      <c r="C315" s="1788"/>
      <c r="D315" s="1786" t="s">
        <v>3236</v>
      </c>
      <c r="E315" s="3354" t="s">
        <v>3400</v>
      </c>
      <c r="F315" s="3354"/>
      <c r="G315" s="3354"/>
      <c r="H315" s="3354"/>
    </row>
    <row r="316" spans="1:8" ht="6" customHeight="1">
      <c r="D316" s="814"/>
      <c r="E316" s="1784"/>
      <c r="F316" s="1784"/>
      <c r="G316" s="1784"/>
      <c r="H316" s="1784"/>
    </row>
    <row r="317" spans="1:8">
      <c r="A317" s="785" t="s">
        <v>3232</v>
      </c>
      <c r="B317" s="812">
        <f>IF('Part VI-Revenues &amp; Expenses'!$N$59=0,"",'Part VI-Revenues &amp; Expenses'!$N$59)</f>
        <v>8</v>
      </c>
      <c r="C317" s="785" t="s">
        <v>3235</v>
      </c>
      <c r="D317" s="813" t="s">
        <v>3403</v>
      </c>
    </row>
    <row r="318" spans="1:8" ht="1.95" customHeight="1"/>
    <row r="319" spans="1:8" ht="12.75" customHeight="1">
      <c r="C319" s="779" t="s">
        <v>3137</v>
      </c>
      <c r="D319" s="814" t="s">
        <v>1938</v>
      </c>
      <c r="E319" s="815"/>
      <c r="F319" s="811" t="s">
        <v>3138</v>
      </c>
      <c r="G319" s="811"/>
      <c r="H319" s="811"/>
    </row>
    <row r="320" spans="1:8" ht="12.75" customHeight="1">
      <c r="C320" s="816" t="s">
        <v>1326</v>
      </c>
      <c r="D320" s="814" t="s">
        <v>1940</v>
      </c>
      <c r="E320" s="3288" t="s">
        <v>3237</v>
      </c>
      <c r="F320" s="3288"/>
      <c r="G320" s="3288"/>
      <c r="H320" s="3288"/>
    </row>
    <row r="321" spans="1:11" ht="12.75" customHeight="1">
      <c r="C321" s="1787" t="s">
        <v>4822</v>
      </c>
      <c r="E321" s="3288" t="s">
        <v>3399</v>
      </c>
      <c r="F321" s="3288"/>
      <c r="G321" s="3288"/>
      <c r="H321" s="3288"/>
    </row>
    <row r="322" spans="1:11" ht="12.75" customHeight="1">
      <c r="C322" s="1788"/>
      <c r="D322" s="1785" t="s">
        <v>3236</v>
      </c>
      <c r="E322" s="3355" t="s">
        <v>3400</v>
      </c>
      <c r="F322" s="3355"/>
      <c r="G322" s="3355"/>
      <c r="H322" s="3355"/>
    </row>
    <row r="323" spans="1:11" ht="3" customHeight="1">
      <c r="D323" s="814"/>
      <c r="E323" s="1784"/>
      <c r="F323" s="1784"/>
      <c r="G323" s="1784"/>
      <c r="H323" s="1784"/>
    </row>
    <row r="324" spans="1:11" ht="12.75" customHeight="1">
      <c r="C324" s="779" t="s">
        <v>3137</v>
      </c>
      <c r="D324" s="814" t="s">
        <v>1938</v>
      </c>
      <c r="E324" s="815"/>
      <c r="F324" s="811" t="s">
        <v>3138</v>
      </c>
      <c r="G324" s="811"/>
      <c r="H324" s="811"/>
    </row>
    <row r="325" spans="1:11" ht="12.75" customHeight="1">
      <c r="C325" s="816" t="s">
        <v>1326</v>
      </c>
      <c r="D325" s="814" t="s">
        <v>1940</v>
      </c>
      <c r="E325" s="3288" t="s">
        <v>3237</v>
      </c>
      <c r="F325" s="3288"/>
      <c r="G325" s="3288"/>
      <c r="H325" s="3288"/>
    </row>
    <row r="326" spans="1:11" ht="12.75" customHeight="1">
      <c r="C326" s="1787" t="s">
        <v>4822</v>
      </c>
      <c r="E326" s="3288" t="s">
        <v>3399</v>
      </c>
      <c r="F326" s="3288"/>
      <c r="G326" s="3288"/>
      <c r="H326" s="3288"/>
    </row>
    <row r="327" spans="1:11" ht="12.75" customHeight="1">
      <c r="C327" s="1788"/>
      <c r="D327" s="1786" t="s">
        <v>3236</v>
      </c>
      <c r="E327" s="3354" t="s">
        <v>3400</v>
      </c>
      <c r="F327" s="3354"/>
      <c r="G327" s="3354"/>
      <c r="H327" s="3354"/>
    </row>
    <row r="328" spans="1:11" ht="3" customHeight="1">
      <c r="D328" s="814"/>
      <c r="E328" s="1784"/>
      <c r="F328" s="1784"/>
      <c r="G328" s="1784"/>
      <c r="H328" s="1784"/>
    </row>
    <row r="329" spans="1:11" ht="12.75" customHeight="1">
      <c r="C329" s="779" t="s">
        <v>3137</v>
      </c>
      <c r="D329" s="814" t="s">
        <v>1938</v>
      </c>
      <c r="E329" s="815"/>
      <c r="F329" s="811" t="s">
        <v>3138</v>
      </c>
      <c r="G329" s="811"/>
      <c r="H329" s="811"/>
    </row>
    <row r="330" spans="1:11" ht="12.75" customHeight="1">
      <c r="C330" s="816" t="s">
        <v>1326</v>
      </c>
      <c r="D330" s="814" t="s">
        <v>1940</v>
      </c>
      <c r="E330" s="3288" t="s">
        <v>3237</v>
      </c>
      <c r="F330" s="3288"/>
      <c r="G330" s="3288"/>
      <c r="H330" s="3288"/>
    </row>
    <row r="331" spans="1:11" ht="12.75" customHeight="1">
      <c r="C331" s="1787" t="s">
        <v>4822</v>
      </c>
      <c r="E331" s="3288" t="s">
        <v>3399</v>
      </c>
      <c r="F331" s="3288"/>
      <c r="G331" s="3288"/>
      <c r="H331" s="3288"/>
    </row>
    <row r="332" spans="1:11" ht="12.75" customHeight="1">
      <c r="C332" s="1788"/>
      <c r="D332" s="1786" t="s">
        <v>3236</v>
      </c>
      <c r="E332" s="3354" t="s">
        <v>3400</v>
      </c>
      <c r="F332" s="3354"/>
      <c r="G332" s="3354"/>
      <c r="H332" s="3354"/>
    </row>
    <row r="333" spans="1:11" ht="6" customHeight="1">
      <c r="D333" s="814"/>
      <c r="E333" s="1784"/>
      <c r="F333" s="1784"/>
      <c r="G333" s="1784"/>
      <c r="H333" s="1784"/>
    </row>
    <row r="334" spans="1:11">
      <c r="A334" s="785" t="s">
        <v>3232</v>
      </c>
      <c r="B334" s="812" t="str">
        <f>IF('Part VI-Revenues &amp; Expenses'!$O$59=0,"",'Part VI-Revenues &amp; Expenses'!$O$59)</f>
        <v/>
      </c>
      <c r="C334" s="785" t="s">
        <v>4820</v>
      </c>
      <c r="D334" s="813" t="s">
        <v>4821</v>
      </c>
    </row>
    <row r="335" spans="1:11" ht="1.95" customHeight="1"/>
    <row r="336" spans="1:11" ht="12.75" customHeight="1">
      <c r="C336" s="779" t="s">
        <v>3137</v>
      </c>
      <c r="D336" s="814" t="s">
        <v>1938</v>
      </c>
      <c r="E336" s="815"/>
      <c r="F336" s="3288" t="s">
        <v>3138</v>
      </c>
      <c r="G336" s="3288"/>
      <c r="H336" s="3288"/>
      <c r="K336" s="730" t="s">
        <v>238</v>
      </c>
    </row>
    <row r="337" spans="1:8" ht="12.75" customHeight="1">
      <c r="C337" s="816" t="s">
        <v>1326</v>
      </c>
      <c r="D337" s="814" t="s">
        <v>1940</v>
      </c>
      <c r="E337" s="3288" t="s">
        <v>3238</v>
      </c>
      <c r="F337" s="3288"/>
      <c r="G337" s="3288"/>
      <c r="H337" s="3288"/>
    </row>
    <row r="338" spans="1:8" ht="12.75" customHeight="1">
      <c r="E338" s="3288" t="s">
        <v>3399</v>
      </c>
      <c r="F338" s="3288"/>
      <c r="G338" s="3288"/>
      <c r="H338" s="3288"/>
    </row>
    <row r="339" spans="1:8" ht="12.75" customHeight="1">
      <c r="D339" s="817" t="s">
        <v>3236</v>
      </c>
      <c r="E339" s="3288" t="s">
        <v>3400</v>
      </c>
      <c r="F339" s="3288"/>
      <c r="G339" s="3288"/>
      <c r="H339" s="3288"/>
    </row>
    <row r="340" spans="1:8" ht="9" customHeight="1"/>
    <row r="341" spans="1:8" ht="7.5" customHeight="1" thickBot="1">
      <c r="E341" s="3288"/>
      <c r="F341" s="3288"/>
      <c r="G341" s="3288"/>
      <c r="H341" s="3288"/>
    </row>
    <row r="342" spans="1:8" ht="16.2" customHeight="1" thickBot="1">
      <c r="A342" s="3352">
        <v>60</v>
      </c>
      <c r="B342" s="3353"/>
      <c r="C342" s="1789" t="s">
        <v>1018</v>
      </c>
    </row>
    <row r="343" spans="1:8" ht="9" customHeight="1">
      <c r="A343" s="752"/>
    </row>
    <row r="344" spans="1:8" ht="28.2" customHeight="1">
      <c r="A344" s="3356" t="s">
        <v>4827</v>
      </c>
      <c r="B344" s="3356"/>
      <c r="C344" s="3356"/>
      <c r="D344" s="3356"/>
      <c r="E344" s="3356"/>
      <c r="F344" s="3356"/>
      <c r="G344" s="3356"/>
      <c r="H344" s="3356"/>
    </row>
    <row r="345" spans="1:8" ht="9" customHeight="1">
      <c r="A345" s="752"/>
    </row>
    <row r="346" spans="1:8">
      <c r="A346" s="785" t="s">
        <v>3232</v>
      </c>
      <c r="B346" s="812" t="str">
        <f>IF('Part VI-Revenues &amp; Expenses'!$K$58=0,"",'Part VI-Revenues &amp; Expenses'!$K$58)</f>
        <v/>
      </c>
      <c r="C346" s="785" t="s">
        <v>4817</v>
      </c>
      <c r="D346" s="813" t="s">
        <v>4818</v>
      </c>
    </row>
    <row r="347" spans="1:8" ht="1.95" customHeight="1"/>
    <row r="348" spans="1:8" ht="12.75" customHeight="1">
      <c r="C348" s="779" t="s">
        <v>3137</v>
      </c>
      <c r="D348" s="814" t="s">
        <v>1938</v>
      </c>
      <c r="E348" s="815"/>
      <c r="F348" s="3288" t="s">
        <v>3138</v>
      </c>
      <c r="G348" s="3288"/>
      <c r="H348" s="3288"/>
    </row>
    <row r="349" spans="1:8" ht="12.75" customHeight="1">
      <c r="C349" s="816" t="s">
        <v>1326</v>
      </c>
      <c r="D349" s="814" t="s">
        <v>1940</v>
      </c>
      <c r="E349" s="3288" t="s">
        <v>3237</v>
      </c>
      <c r="F349" s="3288"/>
      <c r="G349" s="3288"/>
      <c r="H349" s="3288"/>
    </row>
    <row r="350" spans="1:8" ht="12.75" customHeight="1">
      <c r="C350" s="1787" t="s">
        <v>4822</v>
      </c>
      <c r="E350" s="3288" t="s">
        <v>3399</v>
      </c>
      <c r="F350" s="3288"/>
      <c r="G350" s="3288"/>
      <c r="H350" s="3288"/>
    </row>
    <row r="351" spans="1:8" ht="12.75" customHeight="1">
      <c r="C351" s="1788"/>
      <c r="D351" s="1786" t="s">
        <v>3236</v>
      </c>
      <c r="E351" s="3354" t="s">
        <v>3400</v>
      </c>
      <c r="F351" s="3354"/>
      <c r="G351" s="3354"/>
      <c r="H351" s="3354"/>
    </row>
    <row r="352" spans="1:8" ht="3" customHeight="1">
      <c r="D352" s="814"/>
      <c r="E352" s="1784"/>
      <c r="F352" s="1784"/>
      <c r="G352" s="1784"/>
      <c r="H352" s="1784"/>
    </row>
    <row r="353" spans="1:8" ht="12.75" customHeight="1">
      <c r="C353" s="779" t="s">
        <v>3137</v>
      </c>
      <c r="D353" s="814" t="s">
        <v>1938</v>
      </c>
      <c r="E353" s="815"/>
      <c r="F353" s="811" t="s">
        <v>3138</v>
      </c>
      <c r="G353" s="811"/>
      <c r="H353" s="811"/>
    </row>
    <row r="354" spans="1:8" ht="12.75" customHeight="1">
      <c r="C354" s="816" t="s">
        <v>1326</v>
      </c>
      <c r="D354" s="814" t="s">
        <v>1940</v>
      </c>
      <c r="E354" s="3288" t="s">
        <v>3237</v>
      </c>
      <c r="F354" s="3288"/>
      <c r="G354" s="3288"/>
      <c r="H354" s="3288"/>
    </row>
    <row r="355" spans="1:8" ht="12.75" customHeight="1">
      <c r="C355" s="1787" t="s">
        <v>4822</v>
      </c>
      <c r="E355" s="3288" t="s">
        <v>3399</v>
      </c>
      <c r="F355" s="3288"/>
      <c r="G355" s="3288"/>
      <c r="H355" s="3288"/>
    </row>
    <row r="356" spans="1:8" ht="12.75" customHeight="1">
      <c r="C356" s="1788"/>
      <c r="D356" s="1786" t="s">
        <v>3236</v>
      </c>
      <c r="E356" s="3354" t="s">
        <v>3400</v>
      </c>
      <c r="F356" s="3354"/>
      <c r="G356" s="3354"/>
      <c r="H356" s="3354"/>
    </row>
    <row r="357" spans="1:8" ht="3" customHeight="1">
      <c r="D357" s="814"/>
      <c r="E357" s="1784"/>
      <c r="F357" s="1784"/>
      <c r="G357" s="1784"/>
      <c r="H357" s="1784"/>
    </row>
    <row r="358" spans="1:8" ht="12.75" customHeight="1">
      <c r="C358" s="779" t="s">
        <v>3137</v>
      </c>
      <c r="D358" s="814" t="s">
        <v>1938</v>
      </c>
      <c r="E358" s="815"/>
      <c r="F358" s="811" t="s">
        <v>3138</v>
      </c>
      <c r="G358" s="811"/>
      <c r="H358" s="811"/>
    </row>
    <row r="359" spans="1:8" ht="12.75" customHeight="1">
      <c r="C359" s="816" t="s">
        <v>1326</v>
      </c>
      <c r="D359" s="814" t="s">
        <v>1940</v>
      </c>
      <c r="E359" s="3288" t="s">
        <v>3237</v>
      </c>
      <c r="F359" s="3288"/>
      <c r="G359" s="3288"/>
      <c r="H359" s="3288"/>
    </row>
    <row r="360" spans="1:8" ht="12.75" customHeight="1">
      <c r="C360" s="1787" t="s">
        <v>4822</v>
      </c>
      <c r="E360" s="3288" t="s">
        <v>3399</v>
      </c>
      <c r="F360" s="3288"/>
      <c r="G360" s="3288"/>
      <c r="H360" s="3288"/>
    </row>
    <row r="361" spans="1:8" ht="12.75" customHeight="1">
      <c r="C361" s="1788"/>
      <c r="D361" s="1786" t="s">
        <v>3236</v>
      </c>
      <c r="E361" s="3354" t="s">
        <v>3400</v>
      </c>
      <c r="F361" s="3354"/>
      <c r="G361" s="3354"/>
      <c r="H361" s="3354"/>
    </row>
    <row r="362" spans="1:8" ht="6" customHeight="1">
      <c r="D362" s="814"/>
      <c r="E362" s="1784"/>
      <c r="F362" s="1784"/>
      <c r="G362" s="1784"/>
      <c r="H362" s="1784"/>
    </row>
    <row r="363" spans="1:8">
      <c r="A363" s="785" t="s">
        <v>3232</v>
      </c>
      <c r="B363" s="812">
        <f>IF('Part VI-Revenues &amp; Expenses'!$L$58=0,"",'Part VI-Revenues &amp; Expenses'!$L$58)</f>
        <v>4</v>
      </c>
      <c r="C363" s="785" t="s">
        <v>3233</v>
      </c>
      <c r="D363" s="813" t="s">
        <v>3401</v>
      </c>
    </row>
    <row r="364" spans="1:8" ht="1.95" customHeight="1"/>
    <row r="365" spans="1:8" ht="12.75" customHeight="1">
      <c r="C365" s="779" t="s">
        <v>3137</v>
      </c>
      <c r="D365" s="814" t="s">
        <v>1938</v>
      </c>
      <c r="E365" s="815"/>
      <c r="F365" s="811" t="s">
        <v>3138</v>
      </c>
      <c r="G365" s="811"/>
      <c r="H365" s="811"/>
    </row>
    <row r="366" spans="1:8" ht="12.75" customHeight="1">
      <c r="C366" s="816" t="s">
        <v>1326</v>
      </c>
      <c r="D366" s="814" t="s">
        <v>1940</v>
      </c>
      <c r="E366" s="3288" t="s">
        <v>3237</v>
      </c>
      <c r="F366" s="3288"/>
      <c r="G366" s="3288"/>
      <c r="H366" s="3288"/>
    </row>
    <row r="367" spans="1:8" ht="12.75" customHeight="1">
      <c r="C367" s="1787" t="s">
        <v>4822</v>
      </c>
      <c r="E367" s="3288" t="s">
        <v>3399</v>
      </c>
      <c r="F367" s="3288"/>
      <c r="G367" s="3288"/>
      <c r="H367" s="3288"/>
    </row>
    <row r="368" spans="1:8" ht="12.75" customHeight="1">
      <c r="C368" s="1788"/>
      <c r="D368" s="1785" t="s">
        <v>3236</v>
      </c>
      <c r="E368" s="3355" t="s">
        <v>3400</v>
      </c>
      <c r="F368" s="3355"/>
      <c r="G368" s="3355"/>
      <c r="H368" s="3355"/>
    </row>
    <row r="369" spans="1:8" ht="3" customHeight="1">
      <c r="D369" s="814"/>
      <c r="E369" s="1784"/>
      <c r="F369" s="1784"/>
      <c r="G369" s="1784"/>
      <c r="H369" s="1784"/>
    </row>
    <row r="370" spans="1:8" ht="12.75" customHeight="1">
      <c r="C370" s="779" t="s">
        <v>3137</v>
      </c>
      <c r="D370" s="814" t="s">
        <v>1938</v>
      </c>
      <c r="E370" s="815"/>
      <c r="F370" s="811" t="s">
        <v>3138</v>
      </c>
      <c r="G370" s="811"/>
      <c r="H370" s="811"/>
    </row>
    <row r="371" spans="1:8" ht="12.75" customHeight="1">
      <c r="C371" s="816" t="s">
        <v>1326</v>
      </c>
      <c r="D371" s="814" t="s">
        <v>1940</v>
      </c>
      <c r="E371" s="3288" t="s">
        <v>3237</v>
      </c>
      <c r="F371" s="3288"/>
      <c r="G371" s="3288"/>
      <c r="H371" s="3288"/>
    </row>
    <row r="372" spans="1:8" ht="12.75" customHeight="1">
      <c r="C372" s="1787" t="s">
        <v>4822</v>
      </c>
      <c r="E372" s="3288" t="s">
        <v>3399</v>
      </c>
      <c r="F372" s="3288"/>
      <c r="G372" s="3288"/>
      <c r="H372" s="3288"/>
    </row>
    <row r="373" spans="1:8" ht="12.75" customHeight="1">
      <c r="C373" s="1788"/>
      <c r="D373" s="1786" t="s">
        <v>3236</v>
      </c>
      <c r="E373" s="3354" t="s">
        <v>3400</v>
      </c>
      <c r="F373" s="3354"/>
      <c r="G373" s="3354"/>
      <c r="H373" s="3354"/>
    </row>
    <row r="374" spans="1:8" ht="3" customHeight="1">
      <c r="D374" s="814"/>
      <c r="E374" s="1784"/>
      <c r="F374" s="1784"/>
      <c r="G374" s="1784"/>
      <c r="H374" s="1784"/>
    </row>
    <row r="375" spans="1:8" ht="12.75" customHeight="1">
      <c r="C375" s="779" t="s">
        <v>3137</v>
      </c>
      <c r="D375" s="814" t="s">
        <v>1938</v>
      </c>
      <c r="E375" s="815"/>
      <c r="F375" s="811" t="s">
        <v>3138</v>
      </c>
      <c r="G375" s="811"/>
      <c r="H375" s="811"/>
    </row>
    <row r="376" spans="1:8" ht="12.75" customHeight="1">
      <c r="C376" s="816" t="s">
        <v>1326</v>
      </c>
      <c r="D376" s="814" t="s">
        <v>1940</v>
      </c>
      <c r="E376" s="3288" t="s">
        <v>3237</v>
      </c>
      <c r="F376" s="3288"/>
      <c r="G376" s="3288"/>
      <c r="H376" s="3288"/>
    </row>
    <row r="377" spans="1:8" ht="12.75" customHeight="1">
      <c r="C377" s="1787" t="s">
        <v>4822</v>
      </c>
      <c r="E377" s="3288" t="s">
        <v>3399</v>
      </c>
      <c r="F377" s="3288"/>
      <c r="G377" s="3288"/>
      <c r="H377" s="3288"/>
    </row>
    <row r="378" spans="1:8" ht="12.75" customHeight="1">
      <c r="C378" s="1788"/>
      <c r="D378" s="1786" t="s">
        <v>3236</v>
      </c>
      <c r="E378" s="3354" t="s">
        <v>3400</v>
      </c>
      <c r="F378" s="3354"/>
      <c r="G378" s="3354"/>
      <c r="H378" s="3354"/>
    </row>
    <row r="379" spans="1:8" ht="6" customHeight="1">
      <c r="D379" s="814"/>
      <c r="E379" s="1784"/>
      <c r="F379" s="1784"/>
      <c r="G379" s="1784"/>
      <c r="H379" s="1784"/>
    </row>
    <row r="380" spans="1:8">
      <c r="A380" s="785" t="s">
        <v>3232</v>
      </c>
      <c r="B380" s="812">
        <f>IF('Part VI-Revenues &amp; Expenses'!$M$58=0,"",'Part VI-Revenues &amp; Expenses'!$M$58)</f>
        <v>8</v>
      </c>
      <c r="C380" s="785" t="s">
        <v>3234</v>
      </c>
      <c r="D380" s="813" t="s">
        <v>3402</v>
      </c>
    </row>
    <row r="381" spans="1:8" ht="1.95" customHeight="1"/>
    <row r="382" spans="1:8" ht="12.75" customHeight="1">
      <c r="C382" s="779" t="s">
        <v>3137</v>
      </c>
      <c r="D382" s="814" t="s">
        <v>1938</v>
      </c>
      <c r="E382" s="815"/>
      <c r="F382" s="811" t="s">
        <v>3138</v>
      </c>
      <c r="G382" s="811"/>
      <c r="H382" s="811"/>
    </row>
    <row r="383" spans="1:8" ht="12.75" customHeight="1">
      <c r="C383" s="816" t="s">
        <v>1326</v>
      </c>
      <c r="D383" s="814" t="s">
        <v>1940</v>
      </c>
      <c r="E383" s="3288" t="s">
        <v>3237</v>
      </c>
      <c r="F383" s="3288"/>
      <c r="G383" s="3288"/>
      <c r="H383" s="3288"/>
    </row>
    <row r="384" spans="1:8" ht="12.75" customHeight="1">
      <c r="C384" s="1787" t="s">
        <v>4822</v>
      </c>
      <c r="E384" s="3288" t="s">
        <v>3399</v>
      </c>
      <c r="F384" s="3288"/>
      <c r="G384" s="3288"/>
      <c r="H384" s="3288"/>
    </row>
    <row r="385" spans="1:8" ht="12.75" customHeight="1">
      <c r="C385" s="1788"/>
      <c r="D385" s="1785" t="s">
        <v>3236</v>
      </c>
      <c r="E385" s="3355" t="s">
        <v>3400</v>
      </c>
      <c r="F385" s="3355"/>
      <c r="G385" s="3355"/>
      <c r="H385" s="3355"/>
    </row>
    <row r="386" spans="1:8" ht="3" customHeight="1">
      <c r="D386" s="814"/>
      <c r="E386" s="1784"/>
      <c r="F386" s="1784"/>
      <c r="G386" s="1784"/>
      <c r="H386" s="1784"/>
    </row>
    <row r="387" spans="1:8" ht="12.75" customHeight="1">
      <c r="C387" s="779" t="s">
        <v>3137</v>
      </c>
      <c r="D387" s="814" t="s">
        <v>1938</v>
      </c>
      <c r="E387" s="815"/>
      <c r="F387" s="811" t="s">
        <v>3138</v>
      </c>
      <c r="G387" s="811"/>
      <c r="H387" s="811"/>
    </row>
    <row r="388" spans="1:8" ht="12.75" customHeight="1">
      <c r="C388" s="816" t="s">
        <v>1326</v>
      </c>
      <c r="D388" s="814" t="s">
        <v>1940</v>
      </c>
      <c r="E388" s="3288" t="s">
        <v>3237</v>
      </c>
      <c r="F388" s="3288"/>
      <c r="G388" s="3288"/>
      <c r="H388" s="3288"/>
    </row>
    <row r="389" spans="1:8" ht="12.75" customHeight="1">
      <c r="C389" s="1787" t="s">
        <v>4822</v>
      </c>
      <c r="E389" s="3288" t="s">
        <v>3399</v>
      </c>
      <c r="F389" s="3288"/>
      <c r="G389" s="3288"/>
      <c r="H389" s="3288"/>
    </row>
    <row r="390" spans="1:8" ht="12.75" customHeight="1">
      <c r="C390" s="1788"/>
      <c r="D390" s="1786" t="s">
        <v>3236</v>
      </c>
      <c r="E390" s="3354" t="s">
        <v>3400</v>
      </c>
      <c r="F390" s="3354"/>
      <c r="G390" s="3354"/>
      <c r="H390" s="3354"/>
    </row>
    <row r="391" spans="1:8" ht="3" customHeight="1">
      <c r="D391" s="814"/>
      <c r="E391" s="1784"/>
      <c r="F391" s="1784"/>
      <c r="G391" s="1784"/>
      <c r="H391" s="1784"/>
    </row>
    <row r="392" spans="1:8" ht="12.75" customHeight="1">
      <c r="C392" s="779" t="s">
        <v>3137</v>
      </c>
      <c r="D392" s="814" t="s">
        <v>1938</v>
      </c>
      <c r="E392" s="815"/>
      <c r="F392" s="811" t="s">
        <v>3138</v>
      </c>
      <c r="G392" s="811"/>
      <c r="H392" s="811"/>
    </row>
    <row r="393" spans="1:8" ht="12.75" customHeight="1">
      <c r="C393" s="816" t="s">
        <v>1326</v>
      </c>
      <c r="D393" s="814" t="s">
        <v>1940</v>
      </c>
      <c r="E393" s="3288" t="s">
        <v>3237</v>
      </c>
      <c r="F393" s="3288"/>
      <c r="G393" s="3288"/>
      <c r="H393" s="3288"/>
    </row>
    <row r="394" spans="1:8" ht="12.75" customHeight="1">
      <c r="C394" s="1787" t="s">
        <v>4822</v>
      </c>
      <c r="E394" s="3288" t="s">
        <v>3399</v>
      </c>
      <c r="F394" s="3288"/>
      <c r="G394" s="3288"/>
      <c r="H394" s="3288"/>
    </row>
    <row r="395" spans="1:8" ht="12.75" customHeight="1">
      <c r="C395" s="1788"/>
      <c r="D395" s="1786" t="s">
        <v>3236</v>
      </c>
      <c r="E395" s="3354" t="s">
        <v>3400</v>
      </c>
      <c r="F395" s="3354"/>
      <c r="G395" s="3354"/>
      <c r="H395" s="3354"/>
    </row>
    <row r="396" spans="1:8" ht="6" customHeight="1">
      <c r="D396" s="814"/>
      <c r="E396" s="1784"/>
      <c r="F396" s="1784"/>
      <c r="G396" s="1784"/>
      <c r="H396" s="1784"/>
    </row>
    <row r="397" spans="1:8">
      <c r="A397" s="785" t="s">
        <v>3232</v>
      </c>
      <c r="B397" s="812">
        <f>IF('Part VI-Revenues &amp; Expenses'!$N$58=0,"",'Part VI-Revenues &amp; Expenses'!$N$58)</f>
        <v>8</v>
      </c>
      <c r="C397" s="785" t="s">
        <v>3235</v>
      </c>
      <c r="D397" s="813" t="s">
        <v>3403</v>
      </c>
    </row>
    <row r="398" spans="1:8" ht="1.95" customHeight="1"/>
    <row r="399" spans="1:8" ht="12.75" customHeight="1">
      <c r="C399" s="779" t="s">
        <v>3137</v>
      </c>
      <c r="D399" s="814" t="s">
        <v>1938</v>
      </c>
      <c r="E399" s="815"/>
      <c r="F399" s="811" t="s">
        <v>3138</v>
      </c>
      <c r="G399" s="811"/>
      <c r="H399" s="811"/>
    </row>
    <row r="400" spans="1:8" ht="12.75" customHeight="1">
      <c r="C400" s="816" t="s">
        <v>1326</v>
      </c>
      <c r="D400" s="814" t="s">
        <v>1940</v>
      </c>
      <c r="E400" s="3288" t="s">
        <v>3237</v>
      </c>
      <c r="F400" s="3288"/>
      <c r="G400" s="3288"/>
      <c r="H400" s="3288"/>
    </row>
    <row r="401" spans="1:11" ht="12.75" customHeight="1">
      <c r="C401" s="1787" t="s">
        <v>4822</v>
      </c>
      <c r="E401" s="3288" t="s">
        <v>3399</v>
      </c>
      <c r="F401" s="3288"/>
      <c r="G401" s="3288"/>
      <c r="H401" s="3288"/>
    </row>
    <row r="402" spans="1:11" ht="12.75" customHeight="1">
      <c r="C402" s="1788"/>
      <c r="D402" s="1785" t="s">
        <v>3236</v>
      </c>
      <c r="E402" s="3355" t="s">
        <v>3400</v>
      </c>
      <c r="F402" s="3355"/>
      <c r="G402" s="3355"/>
      <c r="H402" s="3355"/>
    </row>
    <row r="403" spans="1:11" ht="3" customHeight="1">
      <c r="D403" s="814"/>
      <c r="E403" s="1784"/>
      <c r="F403" s="1784"/>
      <c r="G403" s="1784"/>
      <c r="H403" s="1784"/>
    </row>
    <row r="404" spans="1:11" ht="12.75" customHeight="1">
      <c r="C404" s="779" t="s">
        <v>3137</v>
      </c>
      <c r="D404" s="814" t="s">
        <v>1938</v>
      </c>
      <c r="E404" s="815"/>
      <c r="F404" s="811" t="s">
        <v>3138</v>
      </c>
      <c r="G404" s="811"/>
      <c r="H404" s="811"/>
    </row>
    <row r="405" spans="1:11" ht="12.75" customHeight="1">
      <c r="C405" s="816" t="s">
        <v>1326</v>
      </c>
      <c r="D405" s="814" t="s">
        <v>1940</v>
      </c>
      <c r="E405" s="3288" t="s">
        <v>3237</v>
      </c>
      <c r="F405" s="3288"/>
      <c r="G405" s="3288"/>
      <c r="H405" s="3288"/>
    </row>
    <row r="406" spans="1:11" ht="12.75" customHeight="1">
      <c r="C406" s="1787" t="s">
        <v>4822</v>
      </c>
      <c r="E406" s="3288" t="s">
        <v>3399</v>
      </c>
      <c r="F406" s="3288"/>
      <c r="G406" s="3288"/>
      <c r="H406" s="3288"/>
    </row>
    <row r="407" spans="1:11" ht="12.75" customHeight="1">
      <c r="C407" s="1788"/>
      <c r="D407" s="1786" t="s">
        <v>3236</v>
      </c>
      <c r="E407" s="3354" t="s">
        <v>3400</v>
      </c>
      <c r="F407" s="3354"/>
      <c r="G407" s="3354"/>
      <c r="H407" s="3354"/>
    </row>
    <row r="408" spans="1:11" ht="3" customHeight="1">
      <c r="D408" s="814"/>
      <c r="E408" s="1784"/>
      <c r="F408" s="1784"/>
      <c r="G408" s="1784"/>
      <c r="H408" s="1784"/>
    </row>
    <row r="409" spans="1:11" ht="12.75" customHeight="1">
      <c r="C409" s="779" t="s">
        <v>3137</v>
      </c>
      <c r="D409" s="814" t="s">
        <v>1938</v>
      </c>
      <c r="E409" s="815"/>
      <c r="F409" s="811" t="s">
        <v>3138</v>
      </c>
      <c r="G409" s="811"/>
      <c r="H409" s="811"/>
    </row>
    <row r="410" spans="1:11" ht="12.75" customHeight="1">
      <c r="C410" s="816" t="s">
        <v>1326</v>
      </c>
      <c r="D410" s="814" t="s">
        <v>1940</v>
      </c>
      <c r="E410" s="3288" t="s">
        <v>3237</v>
      </c>
      <c r="F410" s="3288"/>
      <c r="G410" s="3288"/>
      <c r="H410" s="3288"/>
    </row>
    <row r="411" spans="1:11" ht="12.75" customHeight="1">
      <c r="C411" s="1787" t="s">
        <v>4822</v>
      </c>
      <c r="E411" s="3288" t="s">
        <v>3399</v>
      </c>
      <c r="F411" s="3288"/>
      <c r="G411" s="3288"/>
      <c r="H411" s="3288"/>
    </row>
    <row r="412" spans="1:11" ht="12.75" customHeight="1">
      <c r="C412" s="1788"/>
      <c r="D412" s="1786" t="s">
        <v>3236</v>
      </c>
      <c r="E412" s="3354" t="s">
        <v>3400</v>
      </c>
      <c r="F412" s="3354"/>
      <c r="G412" s="3354"/>
      <c r="H412" s="3354"/>
    </row>
    <row r="413" spans="1:11" ht="6" customHeight="1">
      <c r="D413" s="814"/>
      <c r="E413" s="1784"/>
      <c r="F413" s="1784"/>
      <c r="G413" s="1784"/>
      <c r="H413" s="1784"/>
    </row>
    <row r="414" spans="1:11">
      <c r="A414" s="785" t="s">
        <v>3232</v>
      </c>
      <c r="B414" s="812" t="str">
        <f>IF('Part VI-Revenues &amp; Expenses'!$O$58=0,"",'Part VI-Revenues &amp; Expenses'!$O$58)</f>
        <v/>
      </c>
      <c r="C414" s="785" t="s">
        <v>4820</v>
      </c>
      <c r="D414" s="813" t="s">
        <v>4821</v>
      </c>
    </row>
    <row r="415" spans="1:11" ht="1.95" customHeight="1"/>
    <row r="416" spans="1:11" ht="12.75" customHeight="1">
      <c r="C416" s="779" t="s">
        <v>3137</v>
      </c>
      <c r="D416" s="814" t="s">
        <v>1938</v>
      </c>
      <c r="E416" s="815"/>
      <c r="F416" s="3288" t="s">
        <v>3138</v>
      </c>
      <c r="G416" s="3288"/>
      <c r="H416" s="3288"/>
      <c r="K416" s="730" t="s">
        <v>238</v>
      </c>
    </row>
    <row r="417" spans="1:8" ht="12.75" customHeight="1">
      <c r="C417" s="816" t="s">
        <v>1326</v>
      </c>
      <c r="D417" s="814" t="s">
        <v>1940</v>
      </c>
      <c r="E417" s="3288" t="s">
        <v>3238</v>
      </c>
      <c r="F417" s="3288"/>
      <c r="G417" s="3288"/>
      <c r="H417" s="3288"/>
    </row>
    <row r="418" spans="1:8" ht="12.75" customHeight="1">
      <c r="E418" s="3288" t="s">
        <v>3399</v>
      </c>
      <c r="F418" s="3288"/>
      <c r="G418" s="3288"/>
      <c r="H418" s="3288"/>
    </row>
    <row r="419" spans="1:8" ht="12.75" customHeight="1">
      <c r="D419" s="817" t="s">
        <v>3236</v>
      </c>
      <c r="E419" s="3288" t="s">
        <v>3400</v>
      </c>
      <c r="F419" s="3288"/>
      <c r="G419" s="3288"/>
      <c r="H419" s="3288"/>
    </row>
    <row r="420" spans="1:8" ht="9" customHeight="1" thickBot="1"/>
    <row r="421" spans="1:8" ht="16.2" customHeight="1" thickBot="1">
      <c r="A421" s="3352">
        <v>70</v>
      </c>
      <c r="B421" s="3353"/>
      <c r="C421" s="1789" t="s">
        <v>1018</v>
      </c>
    </row>
    <row r="422" spans="1:8" ht="9" customHeight="1">
      <c r="A422" s="752"/>
    </row>
    <row r="423" spans="1:8" ht="28.2" customHeight="1">
      <c r="A423" s="3356" t="s">
        <v>4828</v>
      </c>
      <c r="B423" s="3356"/>
      <c r="C423" s="3356"/>
      <c r="D423" s="3356"/>
      <c r="E423" s="3356"/>
      <c r="F423" s="3356"/>
      <c r="G423" s="3356"/>
      <c r="H423" s="3356"/>
    </row>
    <row r="424" spans="1:8" ht="9" customHeight="1">
      <c r="A424" s="752"/>
    </row>
    <row r="425" spans="1:8">
      <c r="A425" s="785" t="s">
        <v>3232</v>
      </c>
      <c r="B425" s="812" t="str">
        <f>IF('Part VI-Revenues &amp; Expenses'!$K$57=0,"",'Part VI-Revenues &amp; Expenses'!$K$57)</f>
        <v/>
      </c>
      <c r="C425" s="785" t="s">
        <v>4817</v>
      </c>
      <c r="D425" s="813" t="s">
        <v>4818</v>
      </c>
    </row>
    <row r="426" spans="1:8" ht="1.95" customHeight="1"/>
    <row r="427" spans="1:8" ht="12.75" customHeight="1">
      <c r="C427" s="779" t="s">
        <v>3137</v>
      </c>
      <c r="D427" s="814" t="s">
        <v>1938</v>
      </c>
      <c r="E427" s="815"/>
      <c r="F427" s="3288" t="s">
        <v>3138</v>
      </c>
      <c r="G427" s="3288"/>
      <c r="H427" s="3288"/>
    </row>
    <row r="428" spans="1:8" ht="12.75" customHeight="1">
      <c r="C428" s="816" t="s">
        <v>1326</v>
      </c>
      <c r="D428" s="814" t="s">
        <v>1940</v>
      </c>
      <c r="E428" s="3288" t="s">
        <v>3237</v>
      </c>
      <c r="F428" s="3288"/>
      <c r="G428" s="3288"/>
      <c r="H428" s="3288"/>
    </row>
    <row r="429" spans="1:8" ht="12.75" customHeight="1">
      <c r="C429" s="1787" t="s">
        <v>4822</v>
      </c>
      <c r="E429" s="3288" t="s">
        <v>3399</v>
      </c>
      <c r="F429" s="3288"/>
      <c r="G429" s="3288"/>
      <c r="H429" s="3288"/>
    </row>
    <row r="430" spans="1:8" ht="12.75" customHeight="1">
      <c r="C430" s="1788"/>
      <c r="D430" s="1786" t="s">
        <v>3236</v>
      </c>
      <c r="E430" s="3354" t="s">
        <v>3400</v>
      </c>
      <c r="F430" s="3354"/>
      <c r="G430" s="3354"/>
      <c r="H430" s="3354"/>
    </row>
    <row r="431" spans="1:8" ht="3" customHeight="1">
      <c r="D431" s="814"/>
      <c r="E431" s="1784"/>
      <c r="F431" s="1784"/>
      <c r="G431" s="1784"/>
      <c r="H431" s="1784"/>
    </row>
    <row r="432" spans="1:8" ht="12.75" customHeight="1">
      <c r="C432" s="779" t="s">
        <v>3137</v>
      </c>
      <c r="D432" s="814" t="s">
        <v>1938</v>
      </c>
      <c r="E432" s="815"/>
      <c r="F432" s="811" t="s">
        <v>3138</v>
      </c>
      <c r="G432" s="811"/>
      <c r="H432" s="811"/>
    </row>
    <row r="433" spans="1:8" ht="12.75" customHeight="1">
      <c r="C433" s="816" t="s">
        <v>1326</v>
      </c>
      <c r="D433" s="814" t="s">
        <v>1940</v>
      </c>
      <c r="E433" s="3288" t="s">
        <v>3237</v>
      </c>
      <c r="F433" s="3288"/>
      <c r="G433" s="3288"/>
      <c r="H433" s="3288"/>
    </row>
    <row r="434" spans="1:8" ht="12.75" customHeight="1">
      <c r="C434" s="1787" t="s">
        <v>4822</v>
      </c>
      <c r="E434" s="3288" t="s">
        <v>3399</v>
      </c>
      <c r="F434" s="3288"/>
      <c r="G434" s="3288"/>
      <c r="H434" s="3288"/>
    </row>
    <row r="435" spans="1:8" ht="12.75" customHeight="1">
      <c r="C435" s="1788"/>
      <c r="D435" s="1786" t="s">
        <v>3236</v>
      </c>
      <c r="E435" s="3354" t="s">
        <v>3400</v>
      </c>
      <c r="F435" s="3354"/>
      <c r="G435" s="3354"/>
      <c r="H435" s="3354"/>
    </row>
    <row r="436" spans="1:8" ht="3" customHeight="1">
      <c r="D436" s="814"/>
      <c r="E436" s="1784"/>
      <c r="F436" s="1784"/>
      <c r="G436" s="1784"/>
      <c r="H436" s="1784"/>
    </row>
    <row r="437" spans="1:8" ht="12.75" customHeight="1">
      <c r="C437" s="779" t="s">
        <v>3137</v>
      </c>
      <c r="D437" s="814" t="s">
        <v>1938</v>
      </c>
      <c r="E437" s="815"/>
      <c r="F437" s="811" t="s">
        <v>3138</v>
      </c>
      <c r="G437" s="811"/>
      <c r="H437" s="811"/>
    </row>
    <row r="438" spans="1:8" ht="12.75" customHeight="1">
      <c r="C438" s="816" t="s">
        <v>1326</v>
      </c>
      <c r="D438" s="814" t="s">
        <v>1940</v>
      </c>
      <c r="E438" s="3288" t="s">
        <v>3237</v>
      </c>
      <c r="F438" s="3288"/>
      <c r="G438" s="3288"/>
      <c r="H438" s="3288"/>
    </row>
    <row r="439" spans="1:8" ht="12.75" customHeight="1">
      <c r="C439" s="1787" t="s">
        <v>4822</v>
      </c>
      <c r="E439" s="3288" t="s">
        <v>3399</v>
      </c>
      <c r="F439" s="3288"/>
      <c r="G439" s="3288"/>
      <c r="H439" s="3288"/>
    </row>
    <row r="440" spans="1:8" ht="12.75" customHeight="1">
      <c r="C440" s="1788"/>
      <c r="D440" s="1786" t="s">
        <v>3236</v>
      </c>
      <c r="E440" s="3354" t="s">
        <v>3400</v>
      </c>
      <c r="F440" s="3354"/>
      <c r="G440" s="3354"/>
      <c r="H440" s="3354"/>
    </row>
    <row r="441" spans="1:8" ht="6" customHeight="1">
      <c r="D441" s="814"/>
      <c r="E441" s="1784"/>
      <c r="F441" s="1784"/>
      <c r="G441" s="1784"/>
      <c r="H441" s="1784"/>
    </row>
    <row r="442" spans="1:8">
      <c r="A442" s="785" t="s">
        <v>3232</v>
      </c>
      <c r="B442" s="812">
        <f>IF('Part VI-Revenues &amp; Expenses'!$L$57=0,"",'Part VI-Revenues &amp; Expenses'!$L$57)</f>
        <v>2</v>
      </c>
      <c r="C442" s="785" t="s">
        <v>3233</v>
      </c>
      <c r="D442" s="813" t="s">
        <v>3401</v>
      </c>
    </row>
    <row r="443" spans="1:8" ht="1.95" customHeight="1"/>
    <row r="444" spans="1:8" ht="12.75" customHeight="1">
      <c r="C444" s="779" t="s">
        <v>3137</v>
      </c>
      <c r="D444" s="814" t="s">
        <v>1938</v>
      </c>
      <c r="E444" s="815"/>
      <c r="F444" s="811" t="s">
        <v>3138</v>
      </c>
      <c r="G444" s="811"/>
      <c r="H444" s="811"/>
    </row>
    <row r="445" spans="1:8" ht="12.75" customHeight="1">
      <c r="C445" s="816" t="s">
        <v>1326</v>
      </c>
      <c r="D445" s="814" t="s">
        <v>1940</v>
      </c>
      <c r="E445" s="3288" t="s">
        <v>3237</v>
      </c>
      <c r="F445" s="3288"/>
      <c r="G445" s="3288"/>
      <c r="H445" s="3288"/>
    </row>
    <row r="446" spans="1:8" ht="12.75" customHeight="1">
      <c r="C446" s="1787" t="s">
        <v>4822</v>
      </c>
      <c r="E446" s="3288" t="s">
        <v>3399</v>
      </c>
      <c r="F446" s="3288"/>
      <c r="G446" s="3288"/>
      <c r="H446" s="3288"/>
    </row>
    <row r="447" spans="1:8" ht="12.75" customHeight="1">
      <c r="C447" s="1788"/>
      <c r="D447" s="1785" t="s">
        <v>3236</v>
      </c>
      <c r="E447" s="3355" t="s">
        <v>3400</v>
      </c>
      <c r="F447" s="3355"/>
      <c r="G447" s="3355"/>
      <c r="H447" s="3355"/>
    </row>
    <row r="448" spans="1:8" ht="3" customHeight="1">
      <c r="D448" s="814"/>
      <c r="E448" s="1784"/>
      <c r="F448" s="1784"/>
      <c r="G448" s="1784"/>
      <c r="H448" s="1784"/>
    </row>
    <row r="449" spans="1:8" ht="12.75" customHeight="1">
      <c r="C449" s="779" t="s">
        <v>3137</v>
      </c>
      <c r="D449" s="814" t="s">
        <v>1938</v>
      </c>
      <c r="E449" s="815"/>
      <c r="F449" s="811" t="s">
        <v>3138</v>
      </c>
      <c r="G449" s="811"/>
      <c r="H449" s="811"/>
    </row>
    <row r="450" spans="1:8" ht="12.75" customHeight="1">
      <c r="C450" s="816" t="s">
        <v>1326</v>
      </c>
      <c r="D450" s="814" t="s">
        <v>1940</v>
      </c>
      <c r="E450" s="3288" t="s">
        <v>3237</v>
      </c>
      <c r="F450" s="3288"/>
      <c r="G450" s="3288"/>
      <c r="H450" s="3288"/>
    </row>
    <row r="451" spans="1:8" ht="12.75" customHeight="1">
      <c r="C451" s="1787" t="s">
        <v>4822</v>
      </c>
      <c r="E451" s="3288" t="s">
        <v>3399</v>
      </c>
      <c r="F451" s="3288"/>
      <c r="G451" s="3288"/>
      <c r="H451" s="3288"/>
    </row>
    <row r="452" spans="1:8" ht="12.75" customHeight="1">
      <c r="C452" s="1788"/>
      <c r="D452" s="1786" t="s">
        <v>3236</v>
      </c>
      <c r="E452" s="3354" t="s">
        <v>3400</v>
      </c>
      <c r="F452" s="3354"/>
      <c r="G452" s="3354"/>
      <c r="H452" s="3354"/>
    </row>
    <row r="453" spans="1:8" ht="3" customHeight="1">
      <c r="D453" s="814"/>
      <c r="E453" s="1784"/>
      <c r="F453" s="1784"/>
      <c r="G453" s="1784"/>
      <c r="H453" s="1784"/>
    </row>
    <row r="454" spans="1:8" ht="12.75" customHeight="1">
      <c r="C454" s="779" t="s">
        <v>3137</v>
      </c>
      <c r="D454" s="814" t="s">
        <v>1938</v>
      </c>
      <c r="E454" s="815"/>
      <c r="F454" s="811" t="s">
        <v>3138</v>
      </c>
      <c r="G454" s="811"/>
      <c r="H454" s="811"/>
    </row>
    <row r="455" spans="1:8" ht="12.75" customHeight="1">
      <c r="C455" s="816" t="s">
        <v>1326</v>
      </c>
      <c r="D455" s="814" t="s">
        <v>1940</v>
      </c>
      <c r="E455" s="3288" t="s">
        <v>3237</v>
      </c>
      <c r="F455" s="3288"/>
      <c r="G455" s="3288"/>
      <c r="H455" s="3288"/>
    </row>
    <row r="456" spans="1:8" ht="12.75" customHeight="1">
      <c r="C456" s="1787" t="s">
        <v>4822</v>
      </c>
      <c r="E456" s="3288" t="s">
        <v>3399</v>
      </c>
      <c r="F456" s="3288"/>
      <c r="G456" s="3288"/>
      <c r="H456" s="3288"/>
    </row>
    <row r="457" spans="1:8" ht="12.75" customHeight="1">
      <c r="C457" s="1788"/>
      <c r="D457" s="1786" t="s">
        <v>3236</v>
      </c>
      <c r="E457" s="3354" t="s">
        <v>3400</v>
      </c>
      <c r="F457" s="3354"/>
      <c r="G457" s="3354"/>
      <c r="H457" s="3354"/>
    </row>
    <row r="458" spans="1:8" ht="6" customHeight="1">
      <c r="D458" s="814"/>
      <c r="E458" s="1784"/>
      <c r="F458" s="1784"/>
      <c r="G458" s="1784"/>
      <c r="H458" s="1784"/>
    </row>
    <row r="459" spans="1:8">
      <c r="A459" s="785" t="s">
        <v>3232</v>
      </c>
      <c r="B459" s="812">
        <f>IF('Part VI-Revenues &amp; Expenses'!$M$57=0,"",'Part VI-Revenues &amp; Expenses'!$M$57)</f>
        <v>4</v>
      </c>
      <c r="C459" s="785" t="s">
        <v>3234</v>
      </c>
      <c r="D459" s="813" t="s">
        <v>3402</v>
      </c>
    </row>
    <row r="460" spans="1:8" ht="1.95" customHeight="1"/>
    <row r="461" spans="1:8" ht="12.75" customHeight="1">
      <c r="C461" s="779" t="s">
        <v>3137</v>
      </c>
      <c r="D461" s="814" t="s">
        <v>1938</v>
      </c>
      <c r="E461" s="815"/>
      <c r="F461" s="811" t="s">
        <v>3138</v>
      </c>
      <c r="G461" s="811"/>
      <c r="H461" s="811"/>
    </row>
    <row r="462" spans="1:8" ht="12.75" customHeight="1">
      <c r="C462" s="816" t="s">
        <v>1326</v>
      </c>
      <c r="D462" s="814" t="s">
        <v>1940</v>
      </c>
      <c r="E462" s="3288" t="s">
        <v>3237</v>
      </c>
      <c r="F462" s="3288"/>
      <c r="G462" s="3288"/>
      <c r="H462" s="3288"/>
    </row>
    <row r="463" spans="1:8" ht="12.75" customHeight="1">
      <c r="C463" s="1787" t="s">
        <v>4822</v>
      </c>
      <c r="E463" s="3288" t="s">
        <v>3399</v>
      </c>
      <c r="F463" s="3288"/>
      <c r="G463" s="3288"/>
      <c r="H463" s="3288"/>
    </row>
    <row r="464" spans="1:8" ht="12.75" customHeight="1">
      <c r="C464" s="1788"/>
      <c r="D464" s="1785" t="s">
        <v>3236</v>
      </c>
      <c r="E464" s="3355" t="s">
        <v>3400</v>
      </c>
      <c r="F464" s="3355"/>
      <c r="G464" s="3355"/>
      <c r="H464" s="3355"/>
    </row>
    <row r="465" spans="1:8" ht="3" customHeight="1">
      <c r="D465" s="814"/>
      <c r="E465" s="1784"/>
      <c r="F465" s="1784"/>
      <c r="G465" s="1784"/>
      <c r="H465" s="1784"/>
    </row>
    <row r="466" spans="1:8" ht="12.75" customHeight="1">
      <c r="C466" s="779" t="s">
        <v>3137</v>
      </c>
      <c r="D466" s="814" t="s">
        <v>1938</v>
      </c>
      <c r="E466" s="815"/>
      <c r="F466" s="811" t="s">
        <v>3138</v>
      </c>
      <c r="G466" s="811"/>
      <c r="H466" s="811"/>
    </row>
    <row r="467" spans="1:8" ht="12.75" customHeight="1">
      <c r="C467" s="816" t="s">
        <v>1326</v>
      </c>
      <c r="D467" s="814" t="s">
        <v>1940</v>
      </c>
      <c r="E467" s="3288" t="s">
        <v>3237</v>
      </c>
      <c r="F467" s="3288"/>
      <c r="G467" s="3288"/>
      <c r="H467" s="3288"/>
    </row>
    <row r="468" spans="1:8" ht="12.75" customHeight="1">
      <c r="C468" s="1787" t="s">
        <v>4822</v>
      </c>
      <c r="E468" s="3288" t="s">
        <v>3399</v>
      </c>
      <c r="F468" s="3288"/>
      <c r="G468" s="3288"/>
      <c r="H468" s="3288"/>
    </row>
    <row r="469" spans="1:8" ht="12.75" customHeight="1">
      <c r="C469" s="1788"/>
      <c r="D469" s="1786" t="s">
        <v>3236</v>
      </c>
      <c r="E469" s="3354" t="s">
        <v>3400</v>
      </c>
      <c r="F469" s="3354"/>
      <c r="G469" s="3354"/>
      <c r="H469" s="3354"/>
    </row>
    <row r="470" spans="1:8" ht="3" customHeight="1">
      <c r="D470" s="814"/>
      <c r="E470" s="1784"/>
      <c r="F470" s="1784"/>
      <c r="G470" s="1784"/>
      <c r="H470" s="1784"/>
    </row>
    <row r="471" spans="1:8" ht="12.75" customHeight="1">
      <c r="C471" s="779" t="s">
        <v>3137</v>
      </c>
      <c r="D471" s="814" t="s">
        <v>1938</v>
      </c>
      <c r="E471" s="815"/>
      <c r="F471" s="811" t="s">
        <v>3138</v>
      </c>
      <c r="G471" s="811"/>
      <c r="H471" s="811"/>
    </row>
    <row r="472" spans="1:8" ht="12.75" customHeight="1">
      <c r="C472" s="816" t="s">
        <v>1326</v>
      </c>
      <c r="D472" s="814" t="s">
        <v>1940</v>
      </c>
      <c r="E472" s="3288" t="s">
        <v>3237</v>
      </c>
      <c r="F472" s="3288"/>
      <c r="G472" s="3288"/>
      <c r="H472" s="3288"/>
    </row>
    <row r="473" spans="1:8" ht="12.75" customHeight="1">
      <c r="C473" s="1787" t="s">
        <v>4822</v>
      </c>
      <c r="E473" s="3288" t="s">
        <v>3399</v>
      </c>
      <c r="F473" s="3288"/>
      <c r="G473" s="3288"/>
      <c r="H473" s="3288"/>
    </row>
    <row r="474" spans="1:8" ht="12.75" customHeight="1">
      <c r="C474" s="1788"/>
      <c r="D474" s="1786" t="s">
        <v>3236</v>
      </c>
      <c r="E474" s="3354" t="s">
        <v>3400</v>
      </c>
      <c r="F474" s="3354"/>
      <c r="G474" s="3354"/>
      <c r="H474" s="3354"/>
    </row>
    <row r="475" spans="1:8" ht="6" customHeight="1">
      <c r="D475" s="814"/>
      <c r="E475" s="1784"/>
      <c r="F475" s="1784"/>
      <c r="G475" s="1784"/>
      <c r="H475" s="1784"/>
    </row>
    <row r="476" spans="1:8">
      <c r="A476" s="785" t="s">
        <v>3232</v>
      </c>
      <c r="B476" s="812">
        <f>IF('Part VI-Revenues &amp; Expenses'!$N$57=0,"",'Part VI-Revenues &amp; Expenses'!$N$57)</f>
        <v>4</v>
      </c>
      <c r="C476" s="785" t="s">
        <v>3235</v>
      </c>
      <c r="D476" s="813" t="s">
        <v>3403</v>
      </c>
    </row>
    <row r="477" spans="1:8" ht="1.95" customHeight="1"/>
    <row r="478" spans="1:8" ht="12.75" customHeight="1">
      <c r="C478" s="779" t="s">
        <v>3137</v>
      </c>
      <c r="D478" s="814" t="s">
        <v>1938</v>
      </c>
      <c r="E478" s="815"/>
      <c r="F478" s="811" t="s">
        <v>3138</v>
      </c>
      <c r="G478" s="811"/>
      <c r="H478" s="811"/>
    </row>
    <row r="479" spans="1:8" ht="12.75" customHeight="1">
      <c r="C479" s="816" t="s">
        <v>1326</v>
      </c>
      <c r="D479" s="814" t="s">
        <v>1940</v>
      </c>
      <c r="E479" s="3288" t="s">
        <v>3237</v>
      </c>
      <c r="F479" s="3288"/>
      <c r="G479" s="3288"/>
      <c r="H479" s="3288"/>
    </row>
    <row r="480" spans="1:8" ht="12.75" customHeight="1">
      <c r="C480" s="1787" t="s">
        <v>4822</v>
      </c>
      <c r="E480" s="3288" t="s">
        <v>3399</v>
      </c>
      <c r="F480" s="3288"/>
      <c r="G480" s="3288"/>
      <c r="H480" s="3288"/>
    </row>
    <row r="481" spans="1:11" ht="12.75" customHeight="1">
      <c r="C481" s="1788"/>
      <c r="D481" s="1785" t="s">
        <v>3236</v>
      </c>
      <c r="E481" s="3355" t="s">
        <v>3400</v>
      </c>
      <c r="F481" s="3355"/>
      <c r="G481" s="3355"/>
      <c r="H481" s="3355"/>
    </row>
    <row r="482" spans="1:11" ht="3" customHeight="1">
      <c r="D482" s="814"/>
      <c r="E482" s="1784"/>
      <c r="F482" s="1784"/>
      <c r="G482" s="1784"/>
      <c r="H482" s="1784"/>
    </row>
    <row r="483" spans="1:11" ht="12.75" customHeight="1">
      <c r="C483" s="779" t="s">
        <v>3137</v>
      </c>
      <c r="D483" s="814" t="s">
        <v>1938</v>
      </c>
      <c r="E483" s="815"/>
      <c r="F483" s="811" t="s">
        <v>3138</v>
      </c>
      <c r="G483" s="811"/>
      <c r="H483" s="811"/>
    </row>
    <row r="484" spans="1:11" ht="12.75" customHeight="1">
      <c r="C484" s="816" t="s">
        <v>1326</v>
      </c>
      <c r="D484" s="814" t="s">
        <v>1940</v>
      </c>
      <c r="E484" s="3288" t="s">
        <v>3237</v>
      </c>
      <c r="F484" s="3288"/>
      <c r="G484" s="3288"/>
      <c r="H484" s="3288"/>
    </row>
    <row r="485" spans="1:11" ht="12.75" customHeight="1">
      <c r="C485" s="1787" t="s">
        <v>4822</v>
      </c>
      <c r="E485" s="3288" t="s">
        <v>3399</v>
      </c>
      <c r="F485" s="3288"/>
      <c r="G485" s="3288"/>
      <c r="H485" s="3288"/>
    </row>
    <row r="486" spans="1:11" ht="12.75" customHeight="1">
      <c r="C486" s="1788"/>
      <c r="D486" s="1786" t="s">
        <v>3236</v>
      </c>
      <c r="E486" s="3354" t="s">
        <v>3400</v>
      </c>
      <c r="F486" s="3354"/>
      <c r="G486" s="3354"/>
      <c r="H486" s="3354"/>
    </row>
    <row r="487" spans="1:11" ht="3" customHeight="1">
      <c r="D487" s="814"/>
      <c r="E487" s="1784"/>
      <c r="F487" s="1784"/>
      <c r="G487" s="1784"/>
      <c r="H487" s="1784"/>
    </row>
    <row r="488" spans="1:11" ht="12.75" customHeight="1">
      <c r="C488" s="779" t="s">
        <v>3137</v>
      </c>
      <c r="D488" s="814" t="s">
        <v>1938</v>
      </c>
      <c r="E488" s="815"/>
      <c r="F488" s="811" t="s">
        <v>3138</v>
      </c>
      <c r="G488" s="811"/>
      <c r="H488" s="811"/>
    </row>
    <row r="489" spans="1:11" ht="12.75" customHeight="1">
      <c r="C489" s="816" t="s">
        <v>1326</v>
      </c>
      <c r="D489" s="814" t="s">
        <v>1940</v>
      </c>
      <c r="E489" s="3288" t="s">
        <v>3237</v>
      </c>
      <c r="F489" s="3288"/>
      <c r="G489" s="3288"/>
      <c r="H489" s="3288"/>
    </row>
    <row r="490" spans="1:11" ht="12.75" customHeight="1">
      <c r="C490" s="1787" t="s">
        <v>4822</v>
      </c>
      <c r="E490" s="3288" t="s">
        <v>3399</v>
      </c>
      <c r="F490" s="3288"/>
      <c r="G490" s="3288"/>
      <c r="H490" s="3288"/>
    </row>
    <row r="491" spans="1:11" ht="12.75" customHeight="1">
      <c r="C491" s="1788"/>
      <c r="D491" s="1786" t="s">
        <v>3236</v>
      </c>
      <c r="E491" s="3354" t="s">
        <v>3400</v>
      </c>
      <c r="F491" s="3354"/>
      <c r="G491" s="3354"/>
      <c r="H491" s="3354"/>
    </row>
    <row r="492" spans="1:11" ht="6" customHeight="1">
      <c r="D492" s="814"/>
      <c r="E492" s="1784"/>
      <c r="F492" s="1784"/>
      <c r="G492" s="1784"/>
      <c r="H492" s="1784"/>
    </row>
    <row r="493" spans="1:11">
      <c r="A493" s="785" t="s">
        <v>3232</v>
      </c>
      <c r="B493" s="812" t="str">
        <f>IF('Part VI-Revenues &amp; Expenses'!$O$57=0,"",'Part VI-Revenues &amp; Expenses'!$O$57)</f>
        <v/>
      </c>
      <c r="C493" s="785" t="s">
        <v>4820</v>
      </c>
      <c r="D493" s="813" t="s">
        <v>4821</v>
      </c>
    </row>
    <row r="494" spans="1:11" ht="1.95" customHeight="1"/>
    <row r="495" spans="1:11" ht="12.75" customHeight="1">
      <c r="C495" s="779" t="s">
        <v>3137</v>
      </c>
      <c r="D495" s="814" t="s">
        <v>1938</v>
      </c>
      <c r="E495" s="815"/>
      <c r="F495" s="3288" t="s">
        <v>3138</v>
      </c>
      <c r="G495" s="3288"/>
      <c r="H495" s="3288"/>
      <c r="K495" s="730" t="s">
        <v>238</v>
      </c>
    </row>
    <row r="496" spans="1:11" ht="12.75" customHeight="1">
      <c r="C496" s="816" t="s">
        <v>1326</v>
      </c>
      <c r="D496" s="814" t="s">
        <v>1940</v>
      </c>
      <c r="E496" s="3288" t="s">
        <v>3238</v>
      </c>
      <c r="F496" s="3288"/>
      <c r="G496" s="3288"/>
      <c r="H496" s="3288"/>
    </row>
    <row r="497" spans="1:8" ht="12.75" customHeight="1">
      <c r="E497" s="3288" t="s">
        <v>3399</v>
      </c>
      <c r="F497" s="3288"/>
      <c r="G497" s="3288"/>
      <c r="H497" s="3288"/>
    </row>
    <row r="498" spans="1:8" ht="12.75" customHeight="1">
      <c r="D498" s="817" t="s">
        <v>3236</v>
      </c>
      <c r="E498" s="3288" t="s">
        <v>3400</v>
      </c>
      <c r="F498" s="3288"/>
      <c r="G498" s="3288"/>
      <c r="H498" s="3288"/>
    </row>
    <row r="499" spans="1:8" ht="9" customHeight="1" thickBot="1"/>
    <row r="500" spans="1:8" ht="16.2" customHeight="1" thickBot="1">
      <c r="A500" s="3352">
        <v>80</v>
      </c>
      <c r="B500" s="3353"/>
      <c r="C500" s="1789" t="s">
        <v>1018</v>
      </c>
    </row>
    <row r="501" spans="1:8" ht="9" customHeight="1">
      <c r="A501" s="752"/>
    </row>
    <row r="502" spans="1:8" ht="28.2" customHeight="1">
      <c r="A502" s="3356" t="s">
        <v>4829</v>
      </c>
      <c r="B502" s="3356"/>
      <c r="C502" s="3356"/>
      <c r="D502" s="3356"/>
      <c r="E502" s="3356"/>
      <c r="F502" s="3356"/>
      <c r="G502" s="3356"/>
      <c r="H502" s="3356"/>
    </row>
    <row r="503" spans="1:8" ht="9" customHeight="1">
      <c r="A503" s="752"/>
    </row>
    <row r="504" spans="1:8">
      <c r="A504" s="785" t="s">
        <v>3232</v>
      </c>
      <c r="B504" s="812" t="str">
        <f>IF('Part VI-Revenues &amp; Expenses'!$K$56=0,"",'Part VI-Revenues &amp; Expenses'!$K$56)</f>
        <v/>
      </c>
      <c r="C504" s="785" t="s">
        <v>4817</v>
      </c>
      <c r="D504" s="813" t="s">
        <v>4818</v>
      </c>
    </row>
    <row r="505" spans="1:8" ht="1.95" customHeight="1"/>
    <row r="506" spans="1:8" ht="12.75" customHeight="1">
      <c r="C506" s="779" t="s">
        <v>3137</v>
      </c>
      <c r="D506" s="814" t="s">
        <v>1938</v>
      </c>
      <c r="E506" s="815"/>
      <c r="F506" s="3288" t="s">
        <v>3138</v>
      </c>
      <c r="G506" s="3288"/>
      <c r="H506" s="3288"/>
    </row>
    <row r="507" spans="1:8" ht="12.75" customHeight="1">
      <c r="C507" s="816" t="s">
        <v>1326</v>
      </c>
      <c r="D507" s="814" t="s">
        <v>1940</v>
      </c>
      <c r="E507" s="3288" t="s">
        <v>3237</v>
      </c>
      <c r="F507" s="3288"/>
      <c r="G507" s="3288"/>
      <c r="H507" s="3288"/>
    </row>
    <row r="508" spans="1:8" ht="12.75" customHeight="1">
      <c r="C508" s="1787" t="s">
        <v>4822</v>
      </c>
      <c r="E508" s="3288" t="s">
        <v>3399</v>
      </c>
      <c r="F508" s="3288"/>
      <c r="G508" s="3288"/>
      <c r="H508" s="3288"/>
    </row>
    <row r="509" spans="1:8" ht="12.75" customHeight="1">
      <c r="C509" s="1788"/>
      <c r="D509" s="1786" t="s">
        <v>3236</v>
      </c>
      <c r="E509" s="3354" t="s">
        <v>3400</v>
      </c>
      <c r="F509" s="3354"/>
      <c r="G509" s="3354"/>
      <c r="H509" s="3354"/>
    </row>
    <row r="510" spans="1:8" ht="3" customHeight="1">
      <c r="D510" s="814"/>
      <c r="E510" s="1784"/>
      <c r="F510" s="1784"/>
      <c r="G510" s="1784"/>
      <c r="H510" s="1784"/>
    </row>
    <row r="511" spans="1:8" ht="12.75" customHeight="1">
      <c r="C511" s="779" t="s">
        <v>3137</v>
      </c>
      <c r="D511" s="814" t="s">
        <v>1938</v>
      </c>
      <c r="E511" s="815"/>
      <c r="F511" s="811" t="s">
        <v>3138</v>
      </c>
      <c r="G511" s="811"/>
      <c r="H511" s="811"/>
    </row>
    <row r="512" spans="1:8" ht="12.75" customHeight="1">
      <c r="C512" s="816" t="s">
        <v>1326</v>
      </c>
      <c r="D512" s="814" t="s">
        <v>1940</v>
      </c>
      <c r="E512" s="3288" t="s">
        <v>3237</v>
      </c>
      <c r="F512" s="3288"/>
      <c r="G512" s="3288"/>
      <c r="H512" s="3288"/>
    </row>
    <row r="513" spans="1:8" ht="12.75" customHeight="1">
      <c r="C513" s="1787" t="s">
        <v>4822</v>
      </c>
      <c r="E513" s="3288" t="s">
        <v>3399</v>
      </c>
      <c r="F513" s="3288"/>
      <c r="G513" s="3288"/>
      <c r="H513" s="3288"/>
    </row>
    <row r="514" spans="1:8" ht="12.75" customHeight="1">
      <c r="C514" s="1788"/>
      <c r="D514" s="1786" t="s">
        <v>3236</v>
      </c>
      <c r="E514" s="3354" t="s">
        <v>3400</v>
      </c>
      <c r="F514" s="3354"/>
      <c r="G514" s="3354"/>
      <c r="H514" s="3354"/>
    </row>
    <row r="515" spans="1:8" ht="3" customHeight="1">
      <c r="D515" s="814"/>
      <c r="E515" s="1784"/>
      <c r="F515" s="1784"/>
      <c r="G515" s="1784"/>
      <c r="H515" s="1784"/>
    </row>
    <row r="516" spans="1:8" ht="12.75" customHeight="1">
      <c r="C516" s="779" t="s">
        <v>3137</v>
      </c>
      <c r="D516" s="814" t="s">
        <v>1938</v>
      </c>
      <c r="E516" s="815"/>
      <c r="F516" s="811" t="s">
        <v>3138</v>
      </c>
      <c r="G516" s="811"/>
      <c r="H516" s="811"/>
    </row>
    <row r="517" spans="1:8" ht="12.75" customHeight="1">
      <c r="C517" s="816" t="s">
        <v>1326</v>
      </c>
      <c r="D517" s="814" t="s">
        <v>1940</v>
      </c>
      <c r="E517" s="3288" t="s">
        <v>3237</v>
      </c>
      <c r="F517" s="3288"/>
      <c r="G517" s="3288"/>
      <c r="H517" s="3288"/>
    </row>
    <row r="518" spans="1:8" ht="12.75" customHeight="1">
      <c r="C518" s="1787" t="s">
        <v>4822</v>
      </c>
      <c r="E518" s="3288" t="s">
        <v>3399</v>
      </c>
      <c r="F518" s="3288"/>
      <c r="G518" s="3288"/>
      <c r="H518" s="3288"/>
    </row>
    <row r="519" spans="1:8" ht="12.75" customHeight="1">
      <c r="C519" s="1788"/>
      <c r="D519" s="1786" t="s">
        <v>3236</v>
      </c>
      <c r="E519" s="3354" t="s">
        <v>3400</v>
      </c>
      <c r="F519" s="3354"/>
      <c r="G519" s="3354"/>
      <c r="H519" s="3354"/>
    </row>
    <row r="520" spans="1:8" ht="6" customHeight="1">
      <c r="D520" s="814"/>
      <c r="E520" s="1784"/>
      <c r="F520" s="1784"/>
      <c r="G520" s="1784"/>
      <c r="H520" s="1784"/>
    </row>
    <row r="521" spans="1:8">
      <c r="A521" s="785" t="s">
        <v>3232</v>
      </c>
      <c r="B521" s="812" t="str">
        <f>IF('Part VI-Revenues &amp; Expenses'!$L$56=0,"",'Part VI-Revenues &amp; Expenses'!$L$56)</f>
        <v/>
      </c>
      <c r="C521" s="785" t="s">
        <v>3233</v>
      </c>
      <c r="D521" s="813" t="s">
        <v>3401</v>
      </c>
    </row>
    <row r="522" spans="1:8" ht="1.95" customHeight="1"/>
    <row r="523" spans="1:8" ht="12.75" customHeight="1">
      <c r="C523" s="779" t="s">
        <v>3137</v>
      </c>
      <c r="D523" s="814" t="s">
        <v>1938</v>
      </c>
      <c r="E523" s="815"/>
      <c r="F523" s="811" t="s">
        <v>3138</v>
      </c>
      <c r="G523" s="811"/>
      <c r="H523" s="811"/>
    </row>
    <row r="524" spans="1:8" ht="12.75" customHeight="1">
      <c r="C524" s="816" t="s">
        <v>1326</v>
      </c>
      <c r="D524" s="814" t="s">
        <v>1940</v>
      </c>
      <c r="E524" s="3288" t="s">
        <v>3237</v>
      </c>
      <c r="F524" s="3288"/>
      <c r="G524" s="3288"/>
      <c r="H524" s="3288"/>
    </row>
    <row r="525" spans="1:8" ht="12.75" customHeight="1">
      <c r="C525" s="1787" t="s">
        <v>4822</v>
      </c>
      <c r="E525" s="3288" t="s">
        <v>3399</v>
      </c>
      <c r="F525" s="3288"/>
      <c r="G525" s="3288"/>
      <c r="H525" s="3288"/>
    </row>
    <row r="526" spans="1:8" ht="12.75" customHeight="1">
      <c r="C526" s="1788"/>
      <c r="D526" s="1785" t="s">
        <v>3236</v>
      </c>
      <c r="E526" s="3355" t="s">
        <v>3400</v>
      </c>
      <c r="F526" s="3355"/>
      <c r="G526" s="3355"/>
      <c r="H526" s="3355"/>
    </row>
    <row r="527" spans="1:8" ht="3" customHeight="1">
      <c r="D527" s="814"/>
      <c r="E527" s="1784"/>
      <c r="F527" s="1784"/>
      <c r="G527" s="1784"/>
      <c r="H527" s="1784"/>
    </row>
    <row r="528" spans="1:8" ht="12.75" customHeight="1">
      <c r="C528" s="779" t="s">
        <v>3137</v>
      </c>
      <c r="D528" s="814" t="s">
        <v>1938</v>
      </c>
      <c r="E528" s="815"/>
      <c r="F528" s="811" t="s">
        <v>3138</v>
      </c>
      <c r="G528" s="811"/>
      <c r="H528" s="811"/>
    </row>
    <row r="529" spans="1:8" ht="12.75" customHeight="1">
      <c r="C529" s="816" t="s">
        <v>1326</v>
      </c>
      <c r="D529" s="814" t="s">
        <v>1940</v>
      </c>
      <c r="E529" s="3288" t="s">
        <v>3237</v>
      </c>
      <c r="F529" s="3288"/>
      <c r="G529" s="3288"/>
      <c r="H529" s="3288"/>
    </row>
    <row r="530" spans="1:8" ht="12.75" customHeight="1">
      <c r="C530" s="1787" t="s">
        <v>4822</v>
      </c>
      <c r="E530" s="3288" t="s">
        <v>3399</v>
      </c>
      <c r="F530" s="3288"/>
      <c r="G530" s="3288"/>
      <c r="H530" s="3288"/>
    </row>
    <row r="531" spans="1:8" ht="12.75" customHeight="1">
      <c r="C531" s="1788"/>
      <c r="D531" s="1786" t="s">
        <v>3236</v>
      </c>
      <c r="E531" s="3354" t="s">
        <v>3400</v>
      </c>
      <c r="F531" s="3354"/>
      <c r="G531" s="3354"/>
      <c r="H531" s="3354"/>
    </row>
    <row r="532" spans="1:8" ht="3" customHeight="1">
      <c r="D532" s="814"/>
      <c r="E532" s="1784"/>
      <c r="F532" s="1784"/>
      <c r="G532" s="1784"/>
      <c r="H532" s="1784"/>
    </row>
    <row r="533" spans="1:8" ht="12.75" customHeight="1">
      <c r="C533" s="779" t="s">
        <v>3137</v>
      </c>
      <c r="D533" s="814" t="s">
        <v>1938</v>
      </c>
      <c r="E533" s="815"/>
      <c r="F533" s="811" t="s">
        <v>3138</v>
      </c>
      <c r="G533" s="811"/>
      <c r="H533" s="811"/>
    </row>
    <row r="534" spans="1:8" ht="12.75" customHeight="1">
      <c r="C534" s="816" t="s">
        <v>1326</v>
      </c>
      <c r="D534" s="814" t="s">
        <v>1940</v>
      </c>
      <c r="E534" s="3288" t="s">
        <v>3237</v>
      </c>
      <c r="F534" s="3288"/>
      <c r="G534" s="3288"/>
      <c r="H534" s="3288"/>
    </row>
    <row r="535" spans="1:8" ht="12.75" customHeight="1">
      <c r="C535" s="1787" t="s">
        <v>4822</v>
      </c>
      <c r="E535" s="3288" t="s">
        <v>3399</v>
      </c>
      <c r="F535" s="3288"/>
      <c r="G535" s="3288"/>
      <c r="H535" s="3288"/>
    </row>
    <row r="536" spans="1:8" ht="12.75" customHeight="1">
      <c r="C536" s="1788"/>
      <c r="D536" s="1786" t="s">
        <v>3236</v>
      </c>
      <c r="E536" s="3354" t="s">
        <v>3400</v>
      </c>
      <c r="F536" s="3354"/>
      <c r="G536" s="3354"/>
      <c r="H536" s="3354"/>
    </row>
    <row r="537" spans="1:8" ht="6" customHeight="1">
      <c r="D537" s="814"/>
      <c r="E537" s="1784"/>
      <c r="F537" s="1784"/>
      <c r="G537" s="1784"/>
      <c r="H537" s="1784"/>
    </row>
    <row r="538" spans="1:8">
      <c r="A538" s="785" t="s">
        <v>3232</v>
      </c>
      <c r="B538" s="812" t="str">
        <f>IF('Part VI-Revenues &amp; Expenses'!$M$56=0,"",'Part VI-Revenues &amp; Expenses'!$M$56)</f>
        <v/>
      </c>
      <c r="C538" s="785" t="s">
        <v>3234</v>
      </c>
      <c r="D538" s="813" t="s">
        <v>3402</v>
      </c>
    </row>
    <row r="539" spans="1:8" ht="1.95" customHeight="1"/>
    <row r="540" spans="1:8" ht="12.75" customHeight="1">
      <c r="C540" s="779" t="s">
        <v>3137</v>
      </c>
      <c r="D540" s="814" t="s">
        <v>1938</v>
      </c>
      <c r="E540" s="815"/>
      <c r="F540" s="811" t="s">
        <v>3138</v>
      </c>
      <c r="G540" s="811"/>
      <c r="H540" s="811"/>
    </row>
    <row r="541" spans="1:8" ht="12.75" customHeight="1">
      <c r="C541" s="816" t="s">
        <v>1326</v>
      </c>
      <c r="D541" s="814" t="s">
        <v>1940</v>
      </c>
      <c r="E541" s="3288" t="s">
        <v>3237</v>
      </c>
      <c r="F541" s="3288"/>
      <c r="G541" s="3288"/>
      <c r="H541" s="3288"/>
    </row>
    <row r="542" spans="1:8" ht="12.75" customHeight="1">
      <c r="C542" s="1787" t="s">
        <v>4822</v>
      </c>
      <c r="E542" s="3288" t="s">
        <v>3399</v>
      </c>
      <c r="F542" s="3288"/>
      <c r="G542" s="3288"/>
      <c r="H542" s="3288"/>
    </row>
    <row r="543" spans="1:8" ht="12.75" customHeight="1">
      <c r="C543" s="1788"/>
      <c r="D543" s="1785" t="s">
        <v>3236</v>
      </c>
      <c r="E543" s="3355" t="s">
        <v>3400</v>
      </c>
      <c r="F543" s="3355"/>
      <c r="G543" s="3355"/>
      <c r="H543" s="3355"/>
    </row>
    <row r="544" spans="1:8" ht="3" customHeight="1">
      <c r="D544" s="814"/>
      <c r="E544" s="1784"/>
      <c r="F544" s="1784"/>
      <c r="G544" s="1784"/>
      <c r="H544" s="1784"/>
    </row>
    <row r="545" spans="1:8" ht="12.75" customHeight="1">
      <c r="C545" s="779" t="s">
        <v>3137</v>
      </c>
      <c r="D545" s="814" t="s">
        <v>1938</v>
      </c>
      <c r="E545" s="815"/>
      <c r="F545" s="811" t="s">
        <v>3138</v>
      </c>
      <c r="G545" s="811"/>
      <c r="H545" s="811"/>
    </row>
    <row r="546" spans="1:8" ht="12.75" customHeight="1">
      <c r="C546" s="816" t="s">
        <v>1326</v>
      </c>
      <c r="D546" s="814" t="s">
        <v>1940</v>
      </c>
      <c r="E546" s="3288" t="s">
        <v>3237</v>
      </c>
      <c r="F546" s="3288"/>
      <c r="G546" s="3288"/>
      <c r="H546" s="3288"/>
    </row>
    <row r="547" spans="1:8" ht="12.75" customHeight="1">
      <c r="C547" s="1787" t="s">
        <v>4822</v>
      </c>
      <c r="E547" s="3288" t="s">
        <v>3399</v>
      </c>
      <c r="F547" s="3288"/>
      <c r="G547" s="3288"/>
      <c r="H547" s="3288"/>
    </row>
    <row r="548" spans="1:8" ht="12.75" customHeight="1">
      <c r="C548" s="1788"/>
      <c r="D548" s="1786" t="s">
        <v>3236</v>
      </c>
      <c r="E548" s="3354" t="s">
        <v>3400</v>
      </c>
      <c r="F548" s="3354"/>
      <c r="G548" s="3354"/>
      <c r="H548" s="3354"/>
    </row>
    <row r="549" spans="1:8" ht="3" customHeight="1">
      <c r="D549" s="814"/>
      <c r="E549" s="1784"/>
      <c r="F549" s="1784"/>
      <c r="G549" s="1784"/>
      <c r="H549" s="1784"/>
    </row>
    <row r="550" spans="1:8" ht="12.75" customHeight="1">
      <c r="C550" s="779" t="s">
        <v>3137</v>
      </c>
      <c r="D550" s="814" t="s">
        <v>1938</v>
      </c>
      <c r="E550" s="815"/>
      <c r="F550" s="811" t="s">
        <v>3138</v>
      </c>
      <c r="G550" s="811"/>
      <c r="H550" s="811"/>
    </row>
    <row r="551" spans="1:8" ht="12.75" customHeight="1">
      <c r="C551" s="816" t="s">
        <v>1326</v>
      </c>
      <c r="D551" s="814" t="s">
        <v>1940</v>
      </c>
      <c r="E551" s="3288" t="s">
        <v>3237</v>
      </c>
      <c r="F551" s="3288"/>
      <c r="G551" s="3288"/>
      <c r="H551" s="3288"/>
    </row>
    <row r="552" spans="1:8" ht="12.75" customHeight="1">
      <c r="C552" s="1787" t="s">
        <v>4822</v>
      </c>
      <c r="E552" s="3288" t="s">
        <v>3399</v>
      </c>
      <c r="F552" s="3288"/>
      <c r="G552" s="3288"/>
      <c r="H552" s="3288"/>
    </row>
    <row r="553" spans="1:8" ht="12.75" customHeight="1">
      <c r="C553" s="1788"/>
      <c r="D553" s="1786" t="s">
        <v>3236</v>
      </c>
      <c r="E553" s="3354" t="s">
        <v>3400</v>
      </c>
      <c r="F553" s="3354"/>
      <c r="G553" s="3354"/>
      <c r="H553" s="3354"/>
    </row>
    <row r="554" spans="1:8" ht="6" customHeight="1">
      <c r="D554" s="814"/>
      <c r="E554" s="1784"/>
      <c r="F554" s="1784"/>
      <c r="G554" s="1784"/>
      <c r="H554" s="1784"/>
    </row>
    <row r="555" spans="1:8">
      <c r="A555" s="785" t="s">
        <v>3232</v>
      </c>
      <c r="B555" s="812" t="str">
        <f>IF('Part VI-Revenues &amp; Expenses'!$N$56=0,"",'Part VI-Revenues &amp; Expenses'!$N$56)</f>
        <v/>
      </c>
      <c r="C555" s="785" t="s">
        <v>3235</v>
      </c>
      <c r="D555" s="813" t="s">
        <v>3403</v>
      </c>
    </row>
    <row r="556" spans="1:8" ht="1.95" customHeight="1"/>
    <row r="557" spans="1:8" ht="12.75" customHeight="1">
      <c r="C557" s="779" t="s">
        <v>3137</v>
      </c>
      <c r="D557" s="814" t="s">
        <v>1938</v>
      </c>
      <c r="E557" s="815"/>
      <c r="F557" s="811" t="s">
        <v>3138</v>
      </c>
      <c r="G557" s="811"/>
      <c r="H557" s="811"/>
    </row>
    <row r="558" spans="1:8" ht="12.75" customHeight="1">
      <c r="C558" s="816" t="s">
        <v>1326</v>
      </c>
      <c r="D558" s="814" t="s">
        <v>1940</v>
      </c>
      <c r="E558" s="3288" t="s">
        <v>3237</v>
      </c>
      <c r="F558" s="3288"/>
      <c r="G558" s="3288"/>
      <c r="H558" s="3288"/>
    </row>
    <row r="559" spans="1:8" ht="12.75" customHeight="1">
      <c r="C559" s="1787" t="s">
        <v>4822</v>
      </c>
      <c r="E559" s="3288" t="s">
        <v>3399</v>
      </c>
      <c r="F559" s="3288"/>
      <c r="G559" s="3288"/>
      <c r="H559" s="3288"/>
    </row>
    <row r="560" spans="1:8" ht="12.75" customHeight="1">
      <c r="C560" s="1788"/>
      <c r="D560" s="1785" t="s">
        <v>3236</v>
      </c>
      <c r="E560" s="3355" t="s">
        <v>3400</v>
      </c>
      <c r="F560" s="3355"/>
      <c r="G560" s="3355"/>
      <c r="H560" s="3355"/>
    </row>
    <row r="561" spans="1:11" ht="3" customHeight="1">
      <c r="D561" s="814"/>
      <c r="E561" s="1784"/>
      <c r="F561" s="1784"/>
      <c r="G561" s="1784"/>
      <c r="H561" s="1784"/>
    </row>
    <row r="562" spans="1:11" ht="12.75" customHeight="1">
      <c r="C562" s="779" t="s">
        <v>3137</v>
      </c>
      <c r="D562" s="814" t="s">
        <v>1938</v>
      </c>
      <c r="E562" s="815"/>
      <c r="F562" s="811" t="s">
        <v>3138</v>
      </c>
      <c r="G562" s="811"/>
      <c r="H562" s="811"/>
    </row>
    <row r="563" spans="1:11" ht="12.75" customHeight="1">
      <c r="C563" s="816" t="s">
        <v>1326</v>
      </c>
      <c r="D563" s="814" t="s">
        <v>1940</v>
      </c>
      <c r="E563" s="3288" t="s">
        <v>3237</v>
      </c>
      <c r="F563" s="3288"/>
      <c r="G563" s="3288"/>
      <c r="H563" s="3288"/>
    </row>
    <row r="564" spans="1:11" ht="12.75" customHeight="1">
      <c r="C564" s="1787" t="s">
        <v>4822</v>
      </c>
      <c r="E564" s="3288" t="s">
        <v>3399</v>
      </c>
      <c r="F564" s="3288"/>
      <c r="G564" s="3288"/>
      <c r="H564" s="3288"/>
    </row>
    <row r="565" spans="1:11" ht="12.75" customHeight="1">
      <c r="C565" s="1788"/>
      <c r="D565" s="1786" t="s">
        <v>3236</v>
      </c>
      <c r="E565" s="3354" t="s">
        <v>3400</v>
      </c>
      <c r="F565" s="3354"/>
      <c r="G565" s="3354"/>
      <c r="H565" s="3354"/>
    </row>
    <row r="566" spans="1:11" ht="3" customHeight="1">
      <c r="D566" s="814"/>
      <c r="E566" s="1784"/>
      <c r="F566" s="1784"/>
      <c r="G566" s="1784"/>
      <c r="H566" s="1784"/>
    </row>
    <row r="567" spans="1:11" ht="12.75" customHeight="1">
      <c r="C567" s="779" t="s">
        <v>3137</v>
      </c>
      <c r="D567" s="814" t="s">
        <v>1938</v>
      </c>
      <c r="E567" s="815"/>
      <c r="F567" s="811" t="s">
        <v>3138</v>
      </c>
      <c r="G567" s="811"/>
      <c r="H567" s="811"/>
    </row>
    <row r="568" spans="1:11" ht="12.75" customHeight="1">
      <c r="C568" s="816" t="s">
        <v>1326</v>
      </c>
      <c r="D568" s="814" t="s">
        <v>1940</v>
      </c>
      <c r="E568" s="3288" t="s">
        <v>3237</v>
      </c>
      <c r="F568" s="3288"/>
      <c r="G568" s="3288"/>
      <c r="H568" s="3288"/>
    </row>
    <row r="569" spans="1:11" ht="12.75" customHeight="1">
      <c r="C569" s="1787" t="s">
        <v>4822</v>
      </c>
      <c r="E569" s="3288" t="s">
        <v>3399</v>
      </c>
      <c r="F569" s="3288"/>
      <c r="G569" s="3288"/>
      <c r="H569" s="3288"/>
    </row>
    <row r="570" spans="1:11" ht="12.75" customHeight="1">
      <c r="C570" s="1788"/>
      <c r="D570" s="1786" t="s">
        <v>3236</v>
      </c>
      <c r="E570" s="3354" t="s">
        <v>3400</v>
      </c>
      <c r="F570" s="3354"/>
      <c r="G570" s="3354"/>
      <c r="H570" s="3354"/>
    </row>
    <row r="571" spans="1:11" ht="6" customHeight="1">
      <c r="D571" s="814"/>
      <c r="E571" s="1784"/>
      <c r="F571" s="1784"/>
      <c r="G571" s="1784"/>
      <c r="H571" s="1784"/>
    </row>
    <row r="572" spans="1:11">
      <c r="A572" s="785" t="s">
        <v>3232</v>
      </c>
      <c r="B572" s="812" t="str">
        <f>IF('Part VI-Revenues &amp; Expenses'!$O$56=0,"",'Part VI-Revenues &amp; Expenses'!$O$56)</f>
        <v/>
      </c>
      <c r="C572" s="785" t="s">
        <v>4820</v>
      </c>
      <c r="D572" s="813" t="s">
        <v>4821</v>
      </c>
    </row>
    <row r="573" spans="1:11" ht="1.95" customHeight="1"/>
    <row r="574" spans="1:11" ht="12.75" customHeight="1">
      <c r="C574" s="779" t="s">
        <v>3137</v>
      </c>
      <c r="D574" s="814" t="s">
        <v>1938</v>
      </c>
      <c r="E574" s="815"/>
      <c r="F574" s="3288" t="s">
        <v>3138</v>
      </c>
      <c r="G574" s="3288"/>
      <c r="H574" s="3288"/>
      <c r="K574" s="730" t="s">
        <v>238</v>
      </c>
    </row>
    <row r="575" spans="1:11" ht="12.75" customHeight="1">
      <c r="C575" s="816" t="s">
        <v>1326</v>
      </c>
      <c r="D575" s="814" t="s">
        <v>1940</v>
      </c>
      <c r="E575" s="3288" t="s">
        <v>3238</v>
      </c>
      <c r="F575" s="3288"/>
      <c r="G575" s="3288"/>
      <c r="H575" s="3288"/>
    </row>
    <row r="576" spans="1:11" ht="12.75" customHeight="1">
      <c r="E576" s="3288" t="s">
        <v>3399</v>
      </c>
      <c r="F576" s="3288"/>
      <c r="G576" s="3288"/>
      <c r="H576" s="3288"/>
    </row>
    <row r="577" spans="4:8" ht="12.75" customHeight="1">
      <c r="D577" s="817" t="s">
        <v>3236</v>
      </c>
      <c r="E577" s="3288" t="s">
        <v>3400</v>
      </c>
      <c r="F577" s="3288"/>
      <c r="G577" s="3288"/>
      <c r="H577" s="3288"/>
    </row>
    <row r="578" spans="4:8" ht="9" customHeight="1"/>
    <row r="579" spans="4:8" ht="7.5" customHeight="1">
      <c r="E579" s="3288"/>
      <c r="F579" s="3288"/>
      <c r="G579" s="3288"/>
      <c r="H579" s="3288"/>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3131</v>
      </c>
      <c r="H1" s="775" t="str">
        <f>'Sensitivity Analysis'!C8</f>
        <v>Spring Creek Crossing</v>
      </c>
    </row>
    <row r="2" spans="1:14">
      <c r="A2" s="667" t="s">
        <v>3132</v>
      </c>
      <c r="H2" s="730" t="str">
        <f>'Sensitivity Analysis'!E8</f>
        <v>2020-079</v>
      </c>
    </row>
    <row r="3" spans="1:14" ht="3" customHeight="1"/>
    <row r="4" spans="1:14" ht="69.599999999999994" customHeight="1">
      <c r="A4" s="3357" t="s">
        <v>3230</v>
      </c>
      <c r="B4" s="3357"/>
      <c r="C4" s="3357"/>
      <c r="D4" s="3357"/>
      <c r="E4" s="3357"/>
      <c r="F4" s="3357"/>
      <c r="G4" s="3357"/>
      <c r="H4" s="3357"/>
      <c r="I4" s="3357"/>
      <c r="J4" s="3357"/>
      <c r="K4" s="3357"/>
      <c r="L4" s="3391">
        <f>SUM('Part VII-Pro Forma'!B14:B16)/12</f>
        <v>25526.826000000001</v>
      </c>
      <c r="M4" s="3391"/>
      <c r="N4" s="2037" t="s">
        <v>4104</v>
      </c>
    </row>
    <row r="5" spans="1:14" ht="1.5" customHeight="1">
      <c r="C5" s="809"/>
      <c r="D5" s="809"/>
      <c r="E5" s="809"/>
      <c r="F5" s="809"/>
      <c r="G5" s="809"/>
      <c r="H5" s="809"/>
    </row>
    <row r="6" spans="1:14" ht="12.75" customHeight="1">
      <c r="B6" s="810" t="s">
        <v>2371</v>
      </c>
      <c r="C6" s="779" t="s">
        <v>3133</v>
      </c>
      <c r="D6" s="779"/>
      <c r="E6" s="779"/>
      <c r="F6" s="779"/>
      <c r="G6" s="779"/>
      <c r="H6" s="779"/>
    </row>
    <row r="7" spans="1:14" ht="12.75" customHeight="1">
      <c r="B7" s="810" t="s">
        <v>2372</v>
      </c>
      <c r="C7" s="3357" t="s">
        <v>3134</v>
      </c>
      <c r="D7" s="3357"/>
      <c r="E7" s="3357"/>
      <c r="F7" s="3357"/>
      <c r="G7" s="3357"/>
      <c r="H7" s="3357"/>
      <c r="I7" s="3357"/>
      <c r="J7" s="3357"/>
      <c r="K7" s="3357"/>
      <c r="L7" s="3357"/>
      <c r="M7" s="3357"/>
    </row>
    <row r="8" spans="1:14" ht="3" customHeight="1"/>
    <row r="9" spans="1:14">
      <c r="A9" s="730" t="s">
        <v>3135</v>
      </c>
    </row>
    <row r="10" spans="1:14" ht="1.5" customHeight="1"/>
    <row r="11" spans="1:14" ht="26.25" customHeight="1">
      <c r="A11" s="811" t="s">
        <v>1935</v>
      </c>
      <c r="B11" s="3357" t="s">
        <v>3227</v>
      </c>
      <c r="C11" s="3357"/>
      <c r="D11" s="3357"/>
      <c r="E11" s="3357"/>
      <c r="F11" s="3357"/>
      <c r="G11" s="3357"/>
      <c r="H11" s="3357"/>
      <c r="I11" s="3357"/>
      <c r="J11" s="3357"/>
      <c r="K11" s="3357"/>
      <c r="L11" s="3358">
        <f>'Part III-Sources of Funds'!I49+'Part III-Sources of Funds'!I50</f>
        <v>10798506</v>
      </c>
      <c r="M11" s="3358"/>
    </row>
    <row r="12" spans="1:14" ht="1.5" customHeight="1">
      <c r="G12" s="779"/>
      <c r="H12" s="779"/>
    </row>
    <row r="13" spans="1:14" ht="25.95" customHeight="1">
      <c r="A13" s="811" t="s">
        <v>1937</v>
      </c>
      <c r="B13" s="3357" t="s">
        <v>3228</v>
      </c>
      <c r="C13" s="3357"/>
      <c r="D13" s="3357"/>
      <c r="E13" s="3357"/>
      <c r="F13" s="3357"/>
      <c r="G13" s="3357"/>
      <c r="H13" s="3357"/>
      <c r="I13" s="3357"/>
      <c r="J13" s="3357"/>
      <c r="K13" s="3357"/>
      <c r="L13" s="3359" t="s">
        <v>3061</v>
      </c>
      <c r="M13" s="3359"/>
    </row>
    <row r="14" spans="1:14">
      <c r="A14" s="811"/>
      <c r="B14" s="3277"/>
      <c r="C14" s="3277"/>
      <c r="D14" s="3277"/>
      <c r="E14" s="3277"/>
      <c r="F14" s="3277"/>
      <c r="G14" s="3277"/>
      <c r="H14" s="3277"/>
    </row>
    <row r="15" spans="1:14" ht="3" customHeight="1"/>
    <row r="16" spans="1:14">
      <c r="A16" s="811" t="s">
        <v>731</v>
      </c>
      <c r="B16" s="730" t="s">
        <v>3231</v>
      </c>
      <c r="F16" s="803"/>
      <c r="L16" s="3274" t="s">
        <v>2887</v>
      </c>
      <c r="M16" s="3274"/>
    </row>
    <row r="17" spans="1:19" ht="1.5" customHeight="1">
      <c r="L17" s="785"/>
    </row>
    <row r="18" spans="1:19" ht="12" customHeight="1">
      <c r="A18" s="811" t="s">
        <v>2064</v>
      </c>
      <c r="B18" s="779" t="s">
        <v>3229</v>
      </c>
      <c r="C18" s="811"/>
      <c r="D18" s="811"/>
      <c r="E18" s="811"/>
      <c r="L18" s="3277" t="s">
        <v>2727</v>
      </c>
      <c r="M18" s="3277"/>
    </row>
    <row r="19" spans="1:19" ht="12" hidden="1" customHeight="1">
      <c r="B19" s="3277"/>
      <c r="C19" s="3277"/>
      <c r="D19" s="3277"/>
      <c r="E19" s="3277"/>
      <c r="F19" s="3277"/>
      <c r="G19" s="3277"/>
      <c r="H19" s="3277"/>
    </row>
    <row r="20" spans="1:19" ht="13.5" customHeight="1"/>
    <row r="21" spans="1:19" ht="12" customHeight="1">
      <c r="A21" s="667" t="s">
        <v>3136</v>
      </c>
    </row>
    <row r="22" spans="1:19" ht="3" customHeight="1"/>
    <row r="23" spans="1:19" ht="42.6" customHeight="1" thickBot="1">
      <c r="A23" s="3360" t="s">
        <v>4819</v>
      </c>
      <c r="B23" s="3360"/>
      <c r="C23" s="3360"/>
      <c r="D23" s="3360"/>
      <c r="E23" s="3360"/>
      <c r="F23" s="3360"/>
      <c r="G23" s="3360"/>
      <c r="H23" s="3360"/>
      <c r="I23" s="3360"/>
      <c r="J23" s="3360"/>
      <c r="K23" s="3360"/>
      <c r="L23" s="3360"/>
      <c r="M23" s="3360"/>
    </row>
    <row r="24" spans="1:19" ht="18" customHeight="1" thickBot="1">
      <c r="A24" s="2036"/>
      <c r="B24" s="3390" t="s">
        <v>6839</v>
      </c>
      <c r="F24" s="3381" t="s">
        <v>6841</v>
      </c>
      <c r="G24" s="3382"/>
      <c r="H24" s="3382"/>
      <c r="I24" s="3382"/>
      <c r="J24" s="3382"/>
      <c r="K24" s="3382"/>
      <c r="L24" s="3382"/>
      <c r="M24" s="3383"/>
      <c r="S24" s="730"/>
    </row>
    <row r="25" spans="1:19" ht="15" customHeight="1">
      <c r="A25" s="2036"/>
      <c r="B25" s="3390"/>
      <c r="D25" s="3390" t="s">
        <v>6837</v>
      </c>
      <c r="E25" s="3390" t="s">
        <v>6840</v>
      </c>
      <c r="F25" s="3366" t="s">
        <v>6844</v>
      </c>
      <c r="G25" s="3367"/>
      <c r="H25" s="3372" t="s">
        <v>1326</v>
      </c>
      <c r="I25" s="3384" t="s">
        <v>6838</v>
      </c>
      <c r="J25" s="3385"/>
      <c r="K25" s="3385"/>
      <c r="L25" s="3385"/>
      <c r="M25" s="3386"/>
      <c r="S25" s="730"/>
    </row>
    <row r="26" spans="1:19" ht="15" customHeight="1">
      <c r="A26" s="3361" t="s">
        <v>1018</v>
      </c>
      <c r="B26" s="3390"/>
      <c r="C26" s="807"/>
      <c r="D26" s="3390"/>
      <c r="E26" s="3390"/>
      <c r="F26" s="3368"/>
      <c r="G26" s="3369"/>
      <c r="H26" s="3373"/>
      <c r="I26" s="3375" t="s">
        <v>6842</v>
      </c>
      <c r="J26" s="3376"/>
      <c r="K26" s="3387" t="s">
        <v>1326</v>
      </c>
      <c r="L26" s="3376" t="s">
        <v>6843</v>
      </c>
      <c r="M26" s="3379"/>
      <c r="S26" s="730"/>
    </row>
    <row r="27" spans="1:19" ht="15" customHeight="1">
      <c r="A27" s="3361"/>
      <c r="B27" s="3390"/>
      <c r="C27" s="3361" t="s">
        <v>6836</v>
      </c>
      <c r="D27" s="3390"/>
      <c r="E27" s="3390"/>
      <c r="F27" s="3368"/>
      <c r="G27" s="3369"/>
      <c r="H27" s="3373"/>
      <c r="I27" s="3375"/>
      <c r="J27" s="3376"/>
      <c r="K27" s="3388"/>
      <c r="L27" s="3376"/>
      <c r="M27" s="3379"/>
      <c r="S27" s="730"/>
    </row>
    <row r="28" spans="1:19" ht="15" customHeight="1" thickBot="1">
      <c r="A28" s="3361"/>
      <c r="B28" s="3361"/>
      <c r="C28" s="3361"/>
      <c r="D28" s="3361"/>
      <c r="E28" s="3361"/>
      <c r="F28" s="3370"/>
      <c r="G28" s="3371"/>
      <c r="H28" s="3374"/>
      <c r="I28" s="3377"/>
      <c r="J28" s="3378"/>
      <c r="K28" s="3389"/>
      <c r="L28" s="3378"/>
      <c r="M28" s="3380"/>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3362"/>
      <c r="G30" s="3363"/>
      <c r="H30" s="538"/>
      <c r="I30" s="737"/>
      <c r="J30" s="538"/>
      <c r="K30" s="538"/>
      <c r="L30" s="538"/>
      <c r="M30" s="538"/>
      <c r="S30" s="730"/>
    </row>
    <row r="31" spans="1:19" ht="13.2" customHeight="1">
      <c r="A31" s="2039"/>
      <c r="B31" s="538"/>
      <c r="C31" s="538" t="s">
        <v>551</v>
      </c>
      <c r="D31" s="2032"/>
      <c r="E31" s="2033"/>
      <c r="F31" s="3364"/>
      <c r="G31" s="3364"/>
      <c r="H31" s="3364"/>
      <c r="I31" s="3364"/>
      <c r="J31" s="3364"/>
      <c r="K31" s="3364"/>
      <c r="L31" s="3364"/>
      <c r="M31" s="3365"/>
      <c r="S31" s="730"/>
    </row>
    <row r="32" spans="1:19" ht="13.2" customHeight="1">
      <c r="A32" s="2039"/>
      <c r="B32" s="538"/>
      <c r="C32" s="538" t="s">
        <v>551</v>
      </c>
      <c r="D32" s="2032"/>
      <c r="E32" s="2033"/>
      <c r="F32" s="3364"/>
      <c r="G32" s="3364"/>
      <c r="H32" s="3364"/>
      <c r="I32" s="3364"/>
      <c r="J32" s="3364"/>
      <c r="K32" s="3364"/>
      <c r="L32" s="3364"/>
      <c r="M32" s="3365"/>
      <c r="S32" s="730"/>
    </row>
    <row r="33" spans="1:19" ht="13.2" customHeight="1">
      <c r="A33" s="2039"/>
      <c r="B33" s="538"/>
      <c r="C33" s="538" t="s">
        <v>551</v>
      </c>
      <c r="D33" s="2032"/>
      <c r="E33" s="2033"/>
      <c r="F33" s="3364"/>
      <c r="G33" s="3364"/>
      <c r="H33" s="3364"/>
      <c r="I33" s="3364"/>
      <c r="J33" s="3364"/>
      <c r="K33" s="3364"/>
      <c r="L33" s="3364"/>
      <c r="M33" s="3365"/>
      <c r="S33" s="730"/>
    </row>
    <row r="34" spans="1:19" ht="13.2" customHeight="1">
      <c r="A34" s="2035">
        <f>A30</f>
        <v>20</v>
      </c>
      <c r="B34" s="812" t="str">
        <f>IF('Part VI-Revenues &amp; Expenses'!$L$62=0,"",'Part VI-Revenues &amp; Expenses'!$L$62)</f>
        <v/>
      </c>
      <c r="C34" s="2031">
        <v>1</v>
      </c>
      <c r="D34" s="538"/>
      <c r="E34" s="538"/>
      <c r="F34" s="3362"/>
      <c r="G34" s="3363"/>
      <c r="H34" s="2031"/>
      <c r="I34" s="2031"/>
      <c r="J34" s="2031"/>
      <c r="K34" s="2031"/>
      <c r="L34" s="2031"/>
      <c r="M34" s="2031"/>
      <c r="S34" s="730"/>
    </row>
    <row r="35" spans="1:19" ht="13.2" customHeight="1">
      <c r="A35" s="2035"/>
      <c r="B35" s="538"/>
      <c r="C35" s="2034">
        <v>1</v>
      </c>
      <c r="D35" s="2032"/>
      <c r="E35" s="2033"/>
      <c r="F35" s="3364"/>
      <c r="G35" s="3364"/>
      <c r="H35" s="3364"/>
      <c r="I35" s="3364"/>
      <c r="J35" s="3364"/>
      <c r="K35" s="3364"/>
      <c r="L35" s="3364"/>
      <c r="M35" s="3365"/>
      <c r="S35" s="730"/>
    </row>
    <row r="36" spans="1:19" ht="13.2" customHeight="1">
      <c r="A36" s="2035"/>
      <c r="B36" s="538"/>
      <c r="C36" s="2034">
        <v>1</v>
      </c>
      <c r="D36" s="2032"/>
      <c r="E36" s="2033"/>
      <c r="F36" s="3364"/>
      <c r="G36" s="3364"/>
      <c r="H36" s="3364"/>
      <c r="I36" s="3364"/>
      <c r="J36" s="3364"/>
      <c r="K36" s="3364"/>
      <c r="L36" s="3364"/>
      <c r="M36" s="3365"/>
      <c r="S36" s="730"/>
    </row>
    <row r="37" spans="1:19" ht="13.2" customHeight="1">
      <c r="A37" s="2035"/>
      <c r="B37" s="538"/>
      <c r="C37" s="2034">
        <v>1</v>
      </c>
      <c r="D37" s="2032"/>
      <c r="E37" s="2033"/>
      <c r="F37" s="3364"/>
      <c r="G37" s="3364"/>
      <c r="H37" s="3364"/>
      <c r="I37" s="3364"/>
      <c r="J37" s="3364"/>
      <c r="K37" s="3364"/>
      <c r="L37" s="3364"/>
      <c r="M37" s="3365"/>
      <c r="S37" s="730"/>
    </row>
    <row r="38" spans="1:19" ht="13.2" customHeight="1">
      <c r="A38" s="2035">
        <f>A30</f>
        <v>20</v>
      </c>
      <c r="B38" s="812" t="str">
        <f>IF('Part VI-Revenues &amp; Expenses'!$M$62=0,"",'Part VI-Revenues &amp; Expenses'!$M$62)</f>
        <v/>
      </c>
      <c r="C38" s="2031">
        <v>2</v>
      </c>
      <c r="D38" s="538"/>
      <c r="E38" s="538"/>
      <c r="F38" s="3362"/>
      <c r="G38" s="3363"/>
      <c r="H38" s="2031"/>
      <c r="I38" s="2031"/>
      <c r="J38" s="2031"/>
      <c r="K38" s="2031"/>
      <c r="L38" s="2031"/>
      <c r="M38" s="2031"/>
      <c r="S38" s="730"/>
    </row>
    <row r="39" spans="1:19" ht="13.2" customHeight="1">
      <c r="A39" s="2035"/>
      <c r="B39" s="538"/>
      <c r="C39" s="2034">
        <v>2</v>
      </c>
      <c r="D39" s="2032"/>
      <c r="E39" s="2033"/>
      <c r="F39" s="3364"/>
      <c r="G39" s="3364"/>
      <c r="H39" s="3364"/>
      <c r="I39" s="3364"/>
      <c r="J39" s="3364"/>
      <c r="K39" s="3364"/>
      <c r="L39" s="3364"/>
      <c r="M39" s="3365"/>
      <c r="S39" s="730"/>
    </row>
    <row r="40" spans="1:19" ht="13.2" customHeight="1">
      <c r="A40" s="2035"/>
      <c r="B40" s="538"/>
      <c r="C40" s="2034">
        <v>2</v>
      </c>
      <c r="D40" s="2032"/>
      <c r="E40" s="2033"/>
      <c r="F40" s="3364"/>
      <c r="G40" s="3364"/>
      <c r="H40" s="3364"/>
      <c r="I40" s="3364"/>
      <c r="J40" s="3364"/>
      <c r="K40" s="3364"/>
      <c r="L40" s="3364"/>
      <c r="M40" s="3365"/>
      <c r="S40" s="730"/>
    </row>
    <row r="41" spans="1:19" ht="13.2" customHeight="1">
      <c r="A41" s="2035"/>
      <c r="B41" s="538"/>
      <c r="C41" s="2034">
        <v>2</v>
      </c>
      <c r="D41" s="2032"/>
      <c r="E41" s="2033"/>
      <c r="F41" s="3364"/>
      <c r="G41" s="3364"/>
      <c r="H41" s="3364"/>
      <c r="I41" s="3364"/>
      <c r="J41" s="3364"/>
      <c r="K41" s="3364"/>
      <c r="L41" s="3364"/>
      <c r="M41" s="3365"/>
      <c r="S41" s="730"/>
    </row>
    <row r="42" spans="1:19" ht="13.2" customHeight="1">
      <c r="A42" s="2035"/>
      <c r="B42" s="538"/>
      <c r="C42" s="2034">
        <v>2</v>
      </c>
      <c r="D42" s="2032"/>
      <c r="E42" s="2033"/>
      <c r="F42" s="3364"/>
      <c r="G42" s="3364"/>
      <c r="H42" s="3364"/>
      <c r="I42" s="3364"/>
      <c r="J42" s="3364"/>
      <c r="K42" s="3364"/>
      <c r="L42" s="3364"/>
      <c r="M42" s="3365"/>
      <c r="S42" s="730"/>
    </row>
    <row r="43" spans="1:19" ht="13.2" customHeight="1">
      <c r="A43" s="2035">
        <f>A30</f>
        <v>20</v>
      </c>
      <c r="B43" s="812" t="str">
        <f>IF('Part VI-Revenues &amp; Expenses'!$N$62=0,"",'Part VI-Revenues &amp; Expenses'!$N$62)</f>
        <v/>
      </c>
      <c r="C43" s="2031">
        <v>3</v>
      </c>
      <c r="D43" s="538"/>
      <c r="E43" s="538"/>
      <c r="F43" s="3362"/>
      <c r="G43" s="3363"/>
      <c r="H43" s="2031"/>
      <c r="I43" s="2031"/>
      <c r="J43" s="2031"/>
      <c r="K43" s="2031"/>
      <c r="L43" s="2031"/>
      <c r="M43" s="2031"/>
      <c r="S43" s="730"/>
    </row>
    <row r="44" spans="1:19" ht="13.2" customHeight="1">
      <c r="A44" s="2035"/>
      <c r="B44" s="538"/>
      <c r="C44" s="2034">
        <v>3</v>
      </c>
      <c r="D44" s="2032"/>
      <c r="E44" s="2033"/>
      <c r="F44" s="3364"/>
      <c r="G44" s="3364"/>
      <c r="H44" s="3364"/>
      <c r="I44" s="3364"/>
      <c r="J44" s="3364"/>
      <c r="K44" s="3364"/>
      <c r="L44" s="3364"/>
      <c r="M44" s="3365"/>
      <c r="S44" s="730"/>
    </row>
    <row r="45" spans="1:19" ht="13.2" customHeight="1">
      <c r="A45" s="2035"/>
      <c r="B45" s="538"/>
      <c r="C45" s="2034">
        <v>3</v>
      </c>
      <c r="D45" s="2032"/>
      <c r="E45" s="2033"/>
      <c r="F45" s="3364"/>
      <c r="G45" s="3364"/>
      <c r="H45" s="3364"/>
      <c r="I45" s="3364"/>
      <c r="J45" s="3364"/>
      <c r="K45" s="3364"/>
      <c r="L45" s="3364"/>
      <c r="M45" s="3365"/>
      <c r="S45" s="730"/>
    </row>
    <row r="46" spans="1:19" ht="13.2" customHeight="1">
      <c r="A46" s="2035"/>
      <c r="B46" s="538"/>
      <c r="C46" s="2034">
        <v>3</v>
      </c>
      <c r="D46" s="2032"/>
      <c r="E46" s="2033"/>
      <c r="F46" s="3364"/>
      <c r="G46" s="3364"/>
      <c r="H46" s="3364"/>
      <c r="I46" s="3364"/>
      <c r="J46" s="3364"/>
      <c r="K46" s="3364"/>
      <c r="L46" s="3364"/>
      <c r="M46" s="3365"/>
      <c r="S46" s="730"/>
    </row>
    <row r="47" spans="1:19" ht="13.2" customHeight="1">
      <c r="A47" s="2035"/>
      <c r="B47" s="538"/>
      <c r="C47" s="2034">
        <v>3</v>
      </c>
      <c r="D47" s="2032"/>
      <c r="E47" s="2033"/>
      <c r="F47" s="3364"/>
      <c r="G47" s="3364"/>
      <c r="H47" s="3364"/>
      <c r="I47" s="3364"/>
      <c r="J47" s="3364"/>
      <c r="K47" s="3364"/>
      <c r="L47" s="3364"/>
      <c r="M47" s="3365"/>
      <c r="S47" s="730"/>
    </row>
    <row r="48" spans="1:19" ht="13.2" customHeight="1">
      <c r="A48" s="2035">
        <f>A30</f>
        <v>20</v>
      </c>
      <c r="B48" s="812" t="str">
        <f>IF('Part VI-Revenues &amp; Expenses'!$O$62=0,"",'Part VI-Revenues &amp; Expenses'!$O$62)</f>
        <v/>
      </c>
      <c r="C48" s="2031">
        <v>4</v>
      </c>
      <c r="D48" s="538"/>
      <c r="E48" s="538"/>
      <c r="F48" s="3362"/>
      <c r="G48" s="3363"/>
      <c r="H48" s="2031"/>
      <c r="I48" s="2031"/>
      <c r="J48" s="2031"/>
      <c r="K48" s="2031"/>
      <c r="L48" s="2031"/>
      <c r="M48" s="2031"/>
      <c r="S48" s="730"/>
    </row>
    <row r="49" spans="1:19" ht="13.2" customHeight="1">
      <c r="A49" s="2039"/>
      <c r="B49" s="538"/>
      <c r="C49" s="2034">
        <v>4</v>
      </c>
      <c r="D49" s="2032"/>
      <c r="E49" s="2033"/>
      <c r="F49" s="3364"/>
      <c r="G49" s="3364"/>
      <c r="H49" s="3364"/>
      <c r="I49" s="3364"/>
      <c r="J49" s="3364"/>
      <c r="K49" s="3364"/>
      <c r="L49" s="3364"/>
      <c r="M49" s="3365"/>
      <c r="S49" s="730"/>
    </row>
    <row r="50" spans="1:19" ht="13.2" customHeight="1">
      <c r="A50" s="2036"/>
      <c r="C50" s="2034">
        <v>4</v>
      </c>
      <c r="D50" s="2032"/>
      <c r="E50" s="2033"/>
      <c r="F50" s="3364"/>
      <c r="G50" s="3364"/>
      <c r="H50" s="3364"/>
      <c r="I50" s="3364"/>
      <c r="J50" s="3364"/>
      <c r="K50" s="3364"/>
      <c r="L50" s="3364"/>
      <c r="M50" s="3365"/>
      <c r="S50" s="730"/>
    </row>
    <row r="51" spans="1:19" ht="13.2" customHeight="1">
      <c r="A51" s="2036"/>
      <c r="C51" s="2034">
        <v>4</v>
      </c>
      <c r="D51" s="2032"/>
      <c r="E51" s="2033"/>
      <c r="F51" s="3364"/>
      <c r="G51" s="3364"/>
      <c r="H51" s="3364"/>
      <c r="I51" s="3364"/>
      <c r="J51" s="3364"/>
      <c r="K51" s="3364"/>
      <c r="L51" s="3364"/>
      <c r="M51" s="3365"/>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3362"/>
      <c r="G54" s="3363"/>
      <c r="H54" s="538"/>
      <c r="I54" s="737"/>
      <c r="J54" s="538"/>
      <c r="K54" s="538"/>
      <c r="L54" s="538"/>
      <c r="M54" s="538"/>
      <c r="S54" s="730"/>
    </row>
    <row r="55" spans="1:19" ht="13.2" customHeight="1">
      <c r="A55" s="2039"/>
      <c r="B55" s="538"/>
      <c r="C55" s="538" t="s">
        <v>551</v>
      </c>
      <c r="D55" s="2032"/>
      <c r="E55" s="2033"/>
      <c r="F55" s="3364"/>
      <c r="G55" s="3364"/>
      <c r="H55" s="3364"/>
      <c r="I55" s="3364"/>
      <c r="J55" s="3364"/>
      <c r="K55" s="3364"/>
      <c r="L55" s="3364"/>
      <c r="M55" s="3365"/>
      <c r="S55" s="730"/>
    </row>
    <row r="56" spans="1:19" ht="13.2" customHeight="1">
      <c r="A56" s="2039"/>
      <c r="B56" s="538"/>
      <c r="C56" s="538" t="s">
        <v>551</v>
      </c>
      <c r="D56" s="2032"/>
      <c r="E56" s="2033"/>
      <c r="F56" s="3364"/>
      <c r="G56" s="3364"/>
      <c r="H56" s="3364"/>
      <c r="I56" s="3364"/>
      <c r="J56" s="3364"/>
      <c r="K56" s="3364"/>
      <c r="L56" s="3364"/>
      <c r="M56" s="3365"/>
      <c r="S56" s="730"/>
    </row>
    <row r="57" spans="1:19" ht="13.2" customHeight="1">
      <c r="A57" s="2039"/>
      <c r="B57" s="538"/>
      <c r="C57" s="538" t="s">
        <v>551</v>
      </c>
      <c r="D57" s="2032"/>
      <c r="E57" s="2033"/>
      <c r="F57" s="3364"/>
      <c r="G57" s="3364"/>
      <c r="H57" s="3364"/>
      <c r="I57" s="3364"/>
      <c r="J57" s="3364"/>
      <c r="K57" s="3364"/>
      <c r="L57" s="3364"/>
      <c r="M57" s="3365"/>
      <c r="S57" s="730"/>
    </row>
    <row r="58" spans="1:19" ht="13.2" customHeight="1">
      <c r="A58" s="2035">
        <f>A54</f>
        <v>30</v>
      </c>
      <c r="B58" s="812" t="str">
        <f>IF('Part VI-Revenues &amp; Expenses'!$L$61=0,"",'Part VI-Revenues &amp; Expenses'!$L$61)</f>
        <v/>
      </c>
      <c r="C58" s="2031">
        <v>1</v>
      </c>
      <c r="D58" s="538"/>
      <c r="E58" s="538"/>
      <c r="F58" s="3362"/>
      <c r="G58" s="3363"/>
      <c r="H58" s="2031"/>
      <c r="I58" s="2031"/>
      <c r="J58" s="2031"/>
      <c r="K58" s="2031"/>
      <c r="L58" s="2031"/>
      <c r="M58" s="2031"/>
      <c r="S58" s="730"/>
    </row>
    <row r="59" spans="1:19" ht="13.2" customHeight="1">
      <c r="A59" s="2035"/>
      <c r="B59" s="538"/>
      <c r="C59" s="2034">
        <v>1</v>
      </c>
      <c r="D59" s="2032"/>
      <c r="E59" s="2033"/>
      <c r="F59" s="3364"/>
      <c r="G59" s="3364"/>
      <c r="H59" s="3364"/>
      <c r="I59" s="3364"/>
      <c r="J59" s="3364"/>
      <c r="K59" s="3364"/>
      <c r="L59" s="3364"/>
      <c r="M59" s="3365"/>
      <c r="S59" s="730"/>
    </row>
    <row r="60" spans="1:19" ht="13.2" customHeight="1">
      <c r="A60" s="2035"/>
      <c r="B60" s="538"/>
      <c r="C60" s="2034">
        <v>1</v>
      </c>
      <c r="D60" s="2032"/>
      <c r="E60" s="2033"/>
      <c r="F60" s="3364"/>
      <c r="G60" s="3364"/>
      <c r="H60" s="3364"/>
      <c r="I60" s="3364"/>
      <c r="J60" s="3364"/>
      <c r="K60" s="3364"/>
      <c r="L60" s="3364"/>
      <c r="M60" s="3365"/>
      <c r="S60" s="730"/>
    </row>
    <row r="61" spans="1:19" ht="13.2" customHeight="1">
      <c r="A61" s="2035"/>
      <c r="B61" s="538"/>
      <c r="C61" s="2034">
        <v>1</v>
      </c>
      <c r="D61" s="2032"/>
      <c r="E61" s="2033"/>
      <c r="F61" s="3364"/>
      <c r="G61" s="3364"/>
      <c r="H61" s="3364"/>
      <c r="I61" s="3364"/>
      <c r="J61" s="3364"/>
      <c r="K61" s="3364"/>
      <c r="L61" s="3364"/>
      <c r="M61" s="3365"/>
      <c r="S61" s="730"/>
    </row>
    <row r="62" spans="1:19" ht="13.2" customHeight="1">
      <c r="A62" s="2035">
        <f>A54</f>
        <v>30</v>
      </c>
      <c r="B62" s="812" t="str">
        <f>IF('Part VI-Revenues &amp; Expenses'!$M$61=0,"",'Part VI-Revenues &amp; Expenses'!$M$61)</f>
        <v/>
      </c>
      <c r="C62" s="2031">
        <v>2</v>
      </c>
      <c r="D62" s="538"/>
      <c r="E62" s="538"/>
      <c r="F62" s="3362"/>
      <c r="G62" s="3363"/>
      <c r="H62" s="2031"/>
      <c r="I62" s="2031"/>
      <c r="J62" s="2031"/>
      <c r="K62" s="2031"/>
      <c r="L62" s="2031"/>
      <c r="M62" s="2031"/>
      <c r="S62" s="730"/>
    </row>
    <row r="63" spans="1:19" ht="13.2" customHeight="1">
      <c r="A63" s="2035"/>
      <c r="B63" s="538"/>
      <c r="C63" s="2034">
        <v>2</v>
      </c>
      <c r="D63" s="2032"/>
      <c r="E63" s="2033"/>
      <c r="F63" s="3364"/>
      <c r="G63" s="3364"/>
      <c r="H63" s="3364"/>
      <c r="I63" s="3364"/>
      <c r="J63" s="3364"/>
      <c r="K63" s="3364"/>
      <c r="L63" s="3364"/>
      <c r="M63" s="3365"/>
      <c r="S63" s="730"/>
    </row>
    <row r="64" spans="1:19" ht="13.2" customHeight="1">
      <c r="A64" s="2035"/>
      <c r="B64" s="538"/>
      <c r="C64" s="2034">
        <v>2</v>
      </c>
      <c r="D64" s="2032"/>
      <c r="E64" s="2033"/>
      <c r="F64" s="3364"/>
      <c r="G64" s="3364"/>
      <c r="H64" s="3364"/>
      <c r="I64" s="3364"/>
      <c r="J64" s="3364"/>
      <c r="K64" s="3364"/>
      <c r="L64" s="3364"/>
      <c r="M64" s="3365"/>
      <c r="S64" s="730"/>
    </row>
    <row r="65" spans="1:19" ht="13.2" customHeight="1">
      <c r="A65" s="2035"/>
      <c r="B65" s="538"/>
      <c r="C65" s="2034">
        <v>2</v>
      </c>
      <c r="D65" s="2032"/>
      <c r="E65" s="2033"/>
      <c r="F65" s="3364"/>
      <c r="G65" s="3364"/>
      <c r="H65" s="3364"/>
      <c r="I65" s="3364"/>
      <c r="J65" s="3364"/>
      <c r="K65" s="3364"/>
      <c r="L65" s="3364"/>
      <c r="M65" s="3365"/>
      <c r="S65" s="730"/>
    </row>
    <row r="66" spans="1:19" ht="13.2" customHeight="1">
      <c r="A66" s="2035"/>
      <c r="B66" s="538"/>
      <c r="C66" s="2034">
        <v>2</v>
      </c>
      <c r="D66" s="2032"/>
      <c r="E66" s="2033"/>
      <c r="F66" s="3364"/>
      <c r="G66" s="3364"/>
      <c r="H66" s="3364"/>
      <c r="I66" s="3364"/>
      <c r="J66" s="3364"/>
      <c r="K66" s="3364"/>
      <c r="L66" s="3364"/>
      <c r="M66" s="3365"/>
      <c r="S66" s="730"/>
    </row>
    <row r="67" spans="1:19" ht="13.2" customHeight="1">
      <c r="A67" s="2035">
        <f>A54</f>
        <v>30</v>
      </c>
      <c r="B67" s="812" t="str">
        <f>IF('Part VI-Revenues &amp; Expenses'!$N$61=0,"",'Part VI-Revenues &amp; Expenses'!$N$61)</f>
        <v/>
      </c>
      <c r="C67" s="2031">
        <v>3</v>
      </c>
      <c r="D67" s="538"/>
      <c r="E67" s="538"/>
      <c r="F67" s="3362"/>
      <c r="G67" s="3363"/>
      <c r="H67" s="2031"/>
      <c r="I67" s="2031"/>
      <c r="J67" s="2031"/>
      <c r="K67" s="2031"/>
      <c r="L67" s="2031"/>
      <c r="M67" s="2031"/>
      <c r="S67" s="730"/>
    </row>
    <row r="68" spans="1:19" ht="13.2" customHeight="1">
      <c r="A68" s="2035"/>
      <c r="B68" s="538"/>
      <c r="C68" s="2034">
        <v>3</v>
      </c>
      <c r="D68" s="2032"/>
      <c r="E68" s="2033"/>
      <c r="F68" s="3364"/>
      <c r="G68" s="3364"/>
      <c r="H68" s="3364"/>
      <c r="I68" s="3364"/>
      <c r="J68" s="3364"/>
      <c r="K68" s="3364"/>
      <c r="L68" s="3364"/>
      <c r="M68" s="3365"/>
      <c r="S68" s="730"/>
    </row>
    <row r="69" spans="1:19" ht="13.2" customHeight="1">
      <c r="A69" s="2035"/>
      <c r="B69" s="538"/>
      <c r="C69" s="2034">
        <v>3</v>
      </c>
      <c r="D69" s="2032"/>
      <c r="E69" s="2033"/>
      <c r="F69" s="3364"/>
      <c r="G69" s="3364"/>
      <c r="H69" s="3364"/>
      <c r="I69" s="3364"/>
      <c r="J69" s="3364"/>
      <c r="K69" s="3364"/>
      <c r="L69" s="3364"/>
      <c r="M69" s="3365"/>
      <c r="S69" s="730"/>
    </row>
    <row r="70" spans="1:19" ht="13.2" customHeight="1">
      <c r="A70" s="2035"/>
      <c r="B70" s="538"/>
      <c r="C70" s="2034">
        <v>3</v>
      </c>
      <c r="D70" s="2032"/>
      <c r="E70" s="2033"/>
      <c r="F70" s="3364"/>
      <c r="G70" s="3364"/>
      <c r="H70" s="3364"/>
      <c r="I70" s="3364"/>
      <c r="J70" s="3364"/>
      <c r="K70" s="3364"/>
      <c r="L70" s="3364"/>
      <c r="M70" s="3365"/>
      <c r="S70" s="730"/>
    </row>
    <row r="71" spans="1:19" ht="13.2" customHeight="1">
      <c r="A71" s="2035"/>
      <c r="B71" s="538"/>
      <c r="C71" s="2034">
        <v>3</v>
      </c>
      <c r="D71" s="2032"/>
      <c r="E71" s="2033"/>
      <c r="F71" s="3364"/>
      <c r="G71" s="3364"/>
      <c r="H71" s="3364"/>
      <c r="I71" s="3364"/>
      <c r="J71" s="3364"/>
      <c r="K71" s="3364"/>
      <c r="L71" s="3364"/>
      <c r="M71" s="3365"/>
      <c r="S71" s="730"/>
    </row>
    <row r="72" spans="1:19" ht="13.2" customHeight="1">
      <c r="A72" s="2035">
        <f>A54</f>
        <v>30</v>
      </c>
      <c r="B72" s="812" t="str">
        <f>IF('Part VI-Revenues &amp; Expenses'!$O$61=0,"",'Part VI-Revenues &amp; Expenses'!$O$61)</f>
        <v/>
      </c>
      <c r="C72" s="2031">
        <v>4</v>
      </c>
      <c r="D72" s="538"/>
      <c r="E72" s="538"/>
      <c r="F72" s="3362"/>
      <c r="G72" s="3363"/>
      <c r="H72" s="2031"/>
      <c r="I72" s="2031"/>
      <c r="J72" s="2031"/>
      <c r="K72" s="2031"/>
      <c r="L72" s="2031"/>
      <c r="M72" s="2031"/>
      <c r="S72" s="730"/>
    </row>
    <row r="73" spans="1:19" ht="13.2" customHeight="1">
      <c r="A73" s="2039"/>
      <c r="B73" s="538"/>
      <c r="C73" s="2034">
        <v>4</v>
      </c>
      <c r="D73" s="2032"/>
      <c r="E73" s="2033"/>
      <c r="F73" s="3364"/>
      <c r="G73" s="3364"/>
      <c r="H73" s="3364"/>
      <c r="I73" s="3364"/>
      <c r="J73" s="3364"/>
      <c r="K73" s="3364"/>
      <c r="L73" s="3364"/>
      <c r="M73" s="3365"/>
      <c r="S73" s="730"/>
    </row>
    <row r="74" spans="1:19" ht="13.2" customHeight="1">
      <c r="A74" s="2036"/>
      <c r="C74" s="2034">
        <v>4</v>
      </c>
      <c r="D74" s="2032"/>
      <c r="E74" s="2033"/>
      <c r="F74" s="3364"/>
      <c r="G74" s="3364"/>
      <c r="H74" s="3364"/>
      <c r="I74" s="3364"/>
      <c r="J74" s="3364"/>
      <c r="K74" s="3364"/>
      <c r="L74" s="3364"/>
      <c r="M74" s="3365"/>
      <c r="S74" s="730"/>
    </row>
    <row r="75" spans="1:19" ht="13.2" customHeight="1">
      <c r="A75" s="2036"/>
      <c r="C75" s="2034">
        <v>4</v>
      </c>
      <c r="D75" s="2032"/>
      <c r="E75" s="2033"/>
      <c r="F75" s="3364"/>
      <c r="G75" s="3364"/>
      <c r="H75" s="3364"/>
      <c r="I75" s="3364"/>
      <c r="J75" s="3364"/>
      <c r="K75" s="3364"/>
      <c r="L75" s="3364"/>
      <c r="M75" s="3365"/>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3362"/>
      <c r="G78" s="3363"/>
      <c r="H78" s="538"/>
      <c r="I78" s="737"/>
      <c r="J78" s="538"/>
      <c r="K78" s="538"/>
      <c r="L78" s="538"/>
      <c r="M78" s="538"/>
      <c r="S78" s="730"/>
    </row>
    <row r="79" spans="1:19" ht="13.2" customHeight="1">
      <c r="A79" s="2039"/>
      <c r="B79" s="538"/>
      <c r="C79" s="538" t="s">
        <v>551</v>
      </c>
      <c r="D79" s="2032"/>
      <c r="E79" s="2033"/>
      <c r="F79" s="3364"/>
      <c r="G79" s="3364"/>
      <c r="H79" s="3364"/>
      <c r="I79" s="3364"/>
      <c r="J79" s="3364"/>
      <c r="K79" s="3364"/>
      <c r="L79" s="3364"/>
      <c r="M79" s="3365"/>
      <c r="S79" s="730"/>
    </row>
    <row r="80" spans="1:19" ht="13.2" customHeight="1">
      <c r="A80" s="2039"/>
      <c r="B80" s="538"/>
      <c r="C80" s="538" t="s">
        <v>551</v>
      </c>
      <c r="D80" s="2032"/>
      <c r="E80" s="2033"/>
      <c r="F80" s="3364"/>
      <c r="G80" s="3364"/>
      <c r="H80" s="3364"/>
      <c r="I80" s="3364"/>
      <c r="J80" s="3364"/>
      <c r="K80" s="3364"/>
      <c r="L80" s="3364"/>
      <c r="M80" s="3365"/>
      <c r="S80" s="730"/>
    </row>
    <row r="81" spans="1:19" ht="13.2" customHeight="1">
      <c r="A81" s="2039"/>
      <c r="B81" s="538"/>
      <c r="C81" s="538" t="s">
        <v>551</v>
      </c>
      <c r="D81" s="2032"/>
      <c r="E81" s="2033"/>
      <c r="F81" s="3364"/>
      <c r="G81" s="3364"/>
      <c r="H81" s="3364"/>
      <c r="I81" s="3364"/>
      <c r="J81" s="3364"/>
      <c r="K81" s="3364"/>
      <c r="L81" s="3364"/>
      <c r="M81" s="3365"/>
      <c r="S81" s="730"/>
    </row>
    <row r="82" spans="1:19" ht="13.2" customHeight="1">
      <c r="A82" s="2035">
        <f>A78</f>
        <v>40</v>
      </c>
      <c r="B82" s="812" t="str">
        <f>IF('Part VI-Revenues &amp; Expenses'!$L$60=0,"",'Part VI-Revenues &amp; Expenses'!$L$60)</f>
        <v/>
      </c>
      <c r="C82" s="2031">
        <v>1</v>
      </c>
      <c r="D82" s="538"/>
      <c r="E82" s="538"/>
      <c r="F82" s="3362"/>
      <c r="G82" s="3363"/>
      <c r="H82" s="2031"/>
      <c r="I82" s="2031"/>
      <c r="J82" s="2031"/>
      <c r="K82" s="2031"/>
      <c r="L82" s="2031"/>
      <c r="M82" s="2031"/>
      <c r="S82" s="730"/>
    </row>
    <row r="83" spans="1:19" ht="13.2" customHeight="1">
      <c r="A83" s="2035"/>
      <c r="B83" s="538"/>
      <c r="C83" s="2034">
        <v>1</v>
      </c>
      <c r="D83" s="2032"/>
      <c r="E83" s="2033"/>
      <c r="F83" s="3364"/>
      <c r="G83" s="3364"/>
      <c r="H83" s="3364"/>
      <c r="I83" s="3364"/>
      <c r="J83" s="3364"/>
      <c r="K83" s="3364"/>
      <c r="L83" s="3364"/>
      <c r="M83" s="3365"/>
      <c r="S83" s="730"/>
    </row>
    <row r="84" spans="1:19" ht="13.2" customHeight="1">
      <c r="A84" s="2035"/>
      <c r="B84" s="538"/>
      <c r="C84" s="2034">
        <v>1</v>
      </c>
      <c r="D84" s="2032"/>
      <c r="E84" s="2033"/>
      <c r="F84" s="3364"/>
      <c r="G84" s="3364"/>
      <c r="H84" s="3364"/>
      <c r="I84" s="3364"/>
      <c r="J84" s="3364"/>
      <c r="K84" s="3364"/>
      <c r="L84" s="3364"/>
      <c r="M84" s="3365"/>
      <c r="S84" s="730"/>
    </row>
    <row r="85" spans="1:19" ht="13.2" customHeight="1">
      <c r="A85" s="2035"/>
      <c r="B85" s="538"/>
      <c r="C85" s="2034">
        <v>1</v>
      </c>
      <c r="D85" s="2032"/>
      <c r="E85" s="2033"/>
      <c r="F85" s="3364"/>
      <c r="G85" s="3364"/>
      <c r="H85" s="3364"/>
      <c r="I85" s="3364"/>
      <c r="J85" s="3364"/>
      <c r="K85" s="3364"/>
      <c r="L85" s="3364"/>
      <c r="M85" s="3365"/>
      <c r="S85" s="730"/>
    </row>
    <row r="86" spans="1:19" ht="13.2" customHeight="1">
      <c r="A86" s="2035">
        <f>A78</f>
        <v>40</v>
      </c>
      <c r="B86" s="812" t="str">
        <f>IF('Part VI-Revenues &amp; Expenses'!$M$60=0,"",'Part VI-Revenues &amp; Expenses'!$M$60)</f>
        <v/>
      </c>
      <c r="C86" s="2031">
        <v>2</v>
      </c>
      <c r="D86" s="538"/>
      <c r="E86" s="538"/>
      <c r="F86" s="3362"/>
      <c r="G86" s="3363"/>
      <c r="H86" s="2031"/>
      <c r="I86" s="2031"/>
      <c r="J86" s="2031"/>
      <c r="K86" s="2031"/>
      <c r="L86" s="2031"/>
      <c r="M86" s="2031"/>
      <c r="S86" s="730"/>
    </row>
    <row r="87" spans="1:19" ht="13.2" customHeight="1">
      <c r="A87" s="2035"/>
      <c r="B87" s="538"/>
      <c r="C87" s="2034">
        <v>2</v>
      </c>
      <c r="D87" s="2032"/>
      <c r="E87" s="2033"/>
      <c r="F87" s="3364"/>
      <c r="G87" s="3364"/>
      <c r="H87" s="3364"/>
      <c r="I87" s="3364"/>
      <c r="J87" s="3364"/>
      <c r="K87" s="3364"/>
      <c r="L87" s="3364"/>
      <c r="M87" s="3365"/>
      <c r="S87" s="730"/>
    </row>
    <row r="88" spans="1:19" ht="13.2" customHeight="1">
      <c r="A88" s="2035"/>
      <c r="B88" s="538"/>
      <c r="C88" s="2034">
        <v>2</v>
      </c>
      <c r="D88" s="2032"/>
      <c r="E88" s="2033"/>
      <c r="F88" s="3364"/>
      <c r="G88" s="3364"/>
      <c r="H88" s="3364"/>
      <c r="I88" s="3364"/>
      <c r="J88" s="3364"/>
      <c r="K88" s="3364"/>
      <c r="L88" s="3364"/>
      <c r="M88" s="3365"/>
      <c r="S88" s="730"/>
    </row>
    <row r="89" spans="1:19" ht="13.2" customHeight="1">
      <c r="A89" s="2035"/>
      <c r="B89" s="538"/>
      <c r="C89" s="2034">
        <v>2</v>
      </c>
      <c r="D89" s="2032"/>
      <c r="E89" s="2033"/>
      <c r="F89" s="3364"/>
      <c r="G89" s="3364"/>
      <c r="H89" s="3364"/>
      <c r="I89" s="3364"/>
      <c r="J89" s="3364"/>
      <c r="K89" s="3364"/>
      <c r="L89" s="3364"/>
      <c r="M89" s="3365"/>
      <c r="S89" s="730"/>
    </row>
    <row r="90" spans="1:19" ht="13.2" customHeight="1">
      <c r="A90" s="2035"/>
      <c r="B90" s="538"/>
      <c r="C90" s="2034">
        <v>2</v>
      </c>
      <c r="D90" s="2032"/>
      <c r="E90" s="2033"/>
      <c r="F90" s="3364"/>
      <c r="G90" s="3364"/>
      <c r="H90" s="3364"/>
      <c r="I90" s="3364"/>
      <c r="J90" s="3364"/>
      <c r="K90" s="3364"/>
      <c r="L90" s="3364"/>
      <c r="M90" s="3365"/>
      <c r="S90" s="730"/>
    </row>
    <row r="91" spans="1:19" ht="13.2" customHeight="1">
      <c r="A91" s="2035">
        <f>A78</f>
        <v>40</v>
      </c>
      <c r="B91" s="812" t="str">
        <f>IF('Part VI-Revenues &amp; Expenses'!$N$60=0,"",'Part VI-Revenues &amp; Expenses'!$N$60)</f>
        <v/>
      </c>
      <c r="C91" s="2031">
        <v>3</v>
      </c>
      <c r="D91" s="538"/>
      <c r="E91" s="538"/>
      <c r="F91" s="3362"/>
      <c r="G91" s="3363"/>
      <c r="H91" s="2031"/>
      <c r="I91" s="2031"/>
      <c r="J91" s="2031"/>
      <c r="K91" s="2031"/>
      <c r="L91" s="2031"/>
      <c r="M91" s="2031"/>
      <c r="S91" s="730"/>
    </row>
    <row r="92" spans="1:19" ht="13.2" customHeight="1">
      <c r="A92" s="2035"/>
      <c r="B92" s="538"/>
      <c r="C92" s="2034">
        <v>3</v>
      </c>
      <c r="D92" s="2032"/>
      <c r="E92" s="2033"/>
      <c r="F92" s="3364"/>
      <c r="G92" s="3364"/>
      <c r="H92" s="3364"/>
      <c r="I92" s="3364"/>
      <c r="J92" s="3364"/>
      <c r="K92" s="3364"/>
      <c r="L92" s="3364"/>
      <c r="M92" s="3365"/>
      <c r="S92" s="730"/>
    </row>
    <row r="93" spans="1:19" ht="13.2" customHeight="1">
      <c r="A93" s="2035"/>
      <c r="B93" s="538"/>
      <c r="C93" s="2034">
        <v>3</v>
      </c>
      <c r="D93" s="2032"/>
      <c r="E93" s="2033"/>
      <c r="F93" s="3364"/>
      <c r="G93" s="3364"/>
      <c r="H93" s="3364"/>
      <c r="I93" s="3364"/>
      <c r="J93" s="3364"/>
      <c r="K93" s="3364"/>
      <c r="L93" s="3364"/>
      <c r="M93" s="3365"/>
      <c r="S93" s="730"/>
    </row>
    <row r="94" spans="1:19" ht="13.2" customHeight="1">
      <c r="A94" s="2035"/>
      <c r="B94" s="538"/>
      <c r="C94" s="2034">
        <v>3</v>
      </c>
      <c r="D94" s="2032"/>
      <c r="E94" s="2033"/>
      <c r="F94" s="3364"/>
      <c r="G94" s="3364"/>
      <c r="H94" s="3364"/>
      <c r="I94" s="3364"/>
      <c r="J94" s="3364"/>
      <c r="K94" s="3364"/>
      <c r="L94" s="3364"/>
      <c r="M94" s="3365"/>
      <c r="S94" s="730"/>
    </row>
    <row r="95" spans="1:19" ht="13.2" customHeight="1">
      <c r="A95" s="2035"/>
      <c r="B95" s="538"/>
      <c r="C95" s="2034">
        <v>3</v>
      </c>
      <c r="D95" s="2032"/>
      <c r="E95" s="2033"/>
      <c r="F95" s="3364"/>
      <c r="G95" s="3364"/>
      <c r="H95" s="3364"/>
      <c r="I95" s="3364"/>
      <c r="J95" s="3364"/>
      <c r="K95" s="3364"/>
      <c r="L95" s="3364"/>
      <c r="M95" s="3365"/>
      <c r="S95" s="730"/>
    </row>
    <row r="96" spans="1:19" ht="13.2" customHeight="1">
      <c r="A96" s="2035">
        <f>A78</f>
        <v>40</v>
      </c>
      <c r="B96" s="812" t="str">
        <f>IF('Part VI-Revenues &amp; Expenses'!$O$60=0,"",'Part VI-Revenues &amp; Expenses'!$O$60)</f>
        <v/>
      </c>
      <c r="C96" s="2031">
        <v>4</v>
      </c>
      <c r="D96" s="538"/>
      <c r="E96" s="538"/>
      <c r="F96" s="3362"/>
      <c r="G96" s="3363"/>
      <c r="H96" s="2031"/>
      <c r="I96" s="2031"/>
      <c r="J96" s="2031"/>
      <c r="K96" s="2031"/>
      <c r="L96" s="2031"/>
      <c r="M96" s="2031"/>
      <c r="S96" s="730"/>
    </row>
    <row r="97" spans="1:19" ht="13.2" customHeight="1">
      <c r="A97" s="2039"/>
      <c r="B97" s="538"/>
      <c r="C97" s="2034">
        <v>4</v>
      </c>
      <c r="D97" s="2032"/>
      <c r="E97" s="2033"/>
      <c r="F97" s="3364"/>
      <c r="G97" s="3364"/>
      <c r="H97" s="3364"/>
      <c r="I97" s="3364"/>
      <c r="J97" s="3364"/>
      <c r="K97" s="3364"/>
      <c r="L97" s="3364"/>
      <c r="M97" s="3365"/>
      <c r="S97" s="730"/>
    </row>
    <row r="98" spans="1:19" ht="13.2" customHeight="1">
      <c r="A98" s="2036"/>
      <c r="C98" s="2034">
        <v>4</v>
      </c>
      <c r="D98" s="2032"/>
      <c r="E98" s="2033"/>
      <c r="F98" s="3364"/>
      <c r="G98" s="3364"/>
      <c r="H98" s="3364"/>
      <c r="I98" s="3364"/>
      <c r="J98" s="3364"/>
      <c r="K98" s="3364"/>
      <c r="L98" s="3364"/>
      <c r="M98" s="3365"/>
      <c r="S98" s="730"/>
    </row>
    <row r="99" spans="1:19" ht="13.2" customHeight="1">
      <c r="A99" s="2036"/>
      <c r="C99" s="2034">
        <v>4</v>
      </c>
      <c r="D99" s="2032"/>
      <c r="E99" s="2033"/>
      <c r="F99" s="3364"/>
      <c r="G99" s="3364"/>
      <c r="H99" s="3364"/>
      <c r="I99" s="3364"/>
      <c r="J99" s="3364"/>
      <c r="K99" s="3364"/>
      <c r="L99" s="3364"/>
      <c r="M99" s="3365"/>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3362"/>
      <c r="G102" s="3363"/>
      <c r="H102" s="538"/>
      <c r="I102" s="737"/>
      <c r="J102" s="538"/>
      <c r="K102" s="538"/>
      <c r="L102" s="538"/>
      <c r="M102" s="538"/>
      <c r="S102" s="730"/>
    </row>
    <row r="103" spans="1:19" ht="13.2" customHeight="1">
      <c r="A103" s="2039"/>
      <c r="B103" s="538"/>
      <c r="C103" s="538" t="s">
        <v>551</v>
      </c>
      <c r="D103" s="2032"/>
      <c r="E103" s="2033"/>
      <c r="F103" s="3364"/>
      <c r="G103" s="3364"/>
      <c r="H103" s="3364"/>
      <c r="I103" s="3364"/>
      <c r="J103" s="3364"/>
      <c r="K103" s="3364"/>
      <c r="L103" s="3364"/>
      <c r="M103" s="3365"/>
      <c r="S103" s="730"/>
    </row>
    <row r="104" spans="1:19" ht="13.2" customHeight="1">
      <c r="A104" s="2039"/>
      <c r="B104" s="538"/>
      <c r="C104" s="538" t="s">
        <v>551</v>
      </c>
      <c r="D104" s="2032"/>
      <c r="E104" s="2033"/>
      <c r="F104" s="3364"/>
      <c r="G104" s="3364"/>
      <c r="H104" s="3364"/>
      <c r="I104" s="3364"/>
      <c r="J104" s="3364"/>
      <c r="K104" s="3364"/>
      <c r="L104" s="3364"/>
      <c r="M104" s="3365"/>
      <c r="S104" s="730"/>
    </row>
    <row r="105" spans="1:19" ht="13.2" customHeight="1">
      <c r="A105" s="2039"/>
      <c r="B105" s="538"/>
      <c r="C105" s="538" t="s">
        <v>551</v>
      </c>
      <c r="D105" s="2032"/>
      <c r="E105" s="2033"/>
      <c r="F105" s="3364"/>
      <c r="G105" s="3364"/>
      <c r="H105" s="3364"/>
      <c r="I105" s="3364"/>
      <c r="J105" s="3364"/>
      <c r="K105" s="3364"/>
      <c r="L105" s="3364"/>
      <c r="M105" s="3365"/>
      <c r="S105" s="730"/>
    </row>
    <row r="106" spans="1:19" ht="13.2" customHeight="1">
      <c r="A106" s="2035">
        <f>A102</f>
        <v>50</v>
      </c>
      <c r="B106" s="812">
        <f>IF('Part VI-Revenues &amp; Expenses'!$L$59=0,"",'Part VI-Revenues &amp; Expenses'!$L$59)</f>
        <v>4</v>
      </c>
      <c r="C106" s="2031">
        <v>1</v>
      </c>
      <c r="D106" s="538"/>
      <c r="E106" s="538"/>
      <c r="F106" s="3362"/>
      <c r="G106" s="3363"/>
      <c r="H106" s="2031"/>
      <c r="I106" s="2031"/>
      <c r="J106" s="2031"/>
      <c r="K106" s="2031"/>
      <c r="L106" s="2031"/>
      <c r="M106" s="2031"/>
      <c r="S106" s="730"/>
    </row>
    <row r="107" spans="1:19" ht="13.2" customHeight="1">
      <c r="A107" s="2035"/>
      <c r="B107" s="538"/>
      <c r="C107" s="2034">
        <v>1</v>
      </c>
      <c r="D107" s="2032"/>
      <c r="E107" s="2033"/>
      <c r="F107" s="3364"/>
      <c r="G107" s="3364"/>
      <c r="H107" s="3364"/>
      <c r="I107" s="3364"/>
      <c r="J107" s="3364"/>
      <c r="K107" s="3364"/>
      <c r="L107" s="3364"/>
      <c r="M107" s="3365"/>
      <c r="S107" s="730"/>
    </row>
    <row r="108" spans="1:19" ht="13.2" customHeight="1">
      <c r="A108" s="2035"/>
      <c r="B108" s="538"/>
      <c r="C108" s="2034">
        <v>1</v>
      </c>
      <c r="D108" s="2032"/>
      <c r="E108" s="2033"/>
      <c r="F108" s="3364"/>
      <c r="G108" s="3364"/>
      <c r="H108" s="3364"/>
      <c r="I108" s="3364"/>
      <c r="J108" s="3364"/>
      <c r="K108" s="3364"/>
      <c r="L108" s="3364"/>
      <c r="M108" s="3365"/>
      <c r="S108" s="730"/>
    </row>
    <row r="109" spans="1:19" ht="13.2" customHeight="1">
      <c r="A109" s="2035"/>
      <c r="B109" s="538"/>
      <c r="C109" s="2034">
        <v>1</v>
      </c>
      <c r="D109" s="2032"/>
      <c r="E109" s="2033"/>
      <c r="F109" s="3364"/>
      <c r="G109" s="3364"/>
      <c r="H109" s="3364"/>
      <c r="I109" s="3364"/>
      <c r="J109" s="3364"/>
      <c r="K109" s="3364"/>
      <c r="L109" s="3364"/>
      <c r="M109" s="3365"/>
      <c r="S109" s="730"/>
    </row>
    <row r="110" spans="1:19" ht="13.2" customHeight="1">
      <c r="A110" s="2035">
        <f>A102</f>
        <v>50</v>
      </c>
      <c r="B110" s="812">
        <f>IF('Part VI-Revenues &amp; Expenses'!$M$59=0,"",'Part VI-Revenues &amp; Expenses'!$M$59)</f>
        <v>8</v>
      </c>
      <c r="C110" s="2031">
        <v>2</v>
      </c>
      <c r="D110" s="538"/>
      <c r="E110" s="538"/>
      <c r="F110" s="3362"/>
      <c r="G110" s="3363"/>
      <c r="H110" s="2031"/>
      <c r="I110" s="2031"/>
      <c r="J110" s="2031"/>
      <c r="K110" s="2031"/>
      <c r="L110" s="2031"/>
      <c r="M110" s="2031"/>
      <c r="S110" s="730"/>
    </row>
    <row r="111" spans="1:19" ht="13.2" customHeight="1">
      <c r="A111" s="2035"/>
      <c r="B111" s="538"/>
      <c r="C111" s="2034">
        <v>2</v>
      </c>
      <c r="D111" s="2032"/>
      <c r="E111" s="2033"/>
      <c r="F111" s="3364"/>
      <c r="G111" s="3364"/>
      <c r="H111" s="3364"/>
      <c r="I111" s="3364"/>
      <c r="J111" s="3364"/>
      <c r="K111" s="3364"/>
      <c r="L111" s="3364"/>
      <c r="M111" s="3365"/>
      <c r="S111" s="730"/>
    </row>
    <row r="112" spans="1:19" ht="13.2" customHeight="1">
      <c r="A112" s="2035"/>
      <c r="B112" s="538"/>
      <c r="C112" s="2034">
        <v>2</v>
      </c>
      <c r="D112" s="2032"/>
      <c r="E112" s="2033"/>
      <c r="F112" s="3364"/>
      <c r="G112" s="3364"/>
      <c r="H112" s="3364"/>
      <c r="I112" s="3364"/>
      <c r="J112" s="3364"/>
      <c r="K112" s="3364"/>
      <c r="L112" s="3364"/>
      <c r="M112" s="3365"/>
      <c r="S112" s="730"/>
    </row>
    <row r="113" spans="1:19" ht="13.2" customHeight="1">
      <c r="A113" s="2035"/>
      <c r="B113" s="538"/>
      <c r="C113" s="2034">
        <v>2</v>
      </c>
      <c r="D113" s="2032"/>
      <c r="E113" s="2033"/>
      <c r="F113" s="3364"/>
      <c r="G113" s="3364"/>
      <c r="H113" s="3364"/>
      <c r="I113" s="3364"/>
      <c r="J113" s="3364"/>
      <c r="K113" s="3364"/>
      <c r="L113" s="3364"/>
      <c r="M113" s="3365"/>
      <c r="S113" s="730"/>
    </row>
    <row r="114" spans="1:19" ht="13.2" customHeight="1">
      <c r="A114" s="2035"/>
      <c r="B114" s="538"/>
      <c r="C114" s="2034">
        <v>2</v>
      </c>
      <c r="D114" s="2032"/>
      <c r="E114" s="2033"/>
      <c r="F114" s="3364"/>
      <c r="G114" s="3364"/>
      <c r="H114" s="3364"/>
      <c r="I114" s="3364"/>
      <c r="J114" s="3364"/>
      <c r="K114" s="3364"/>
      <c r="L114" s="3364"/>
      <c r="M114" s="3365"/>
      <c r="S114" s="730"/>
    </row>
    <row r="115" spans="1:19" ht="13.2" customHeight="1">
      <c r="A115" s="2035">
        <f>A102</f>
        <v>50</v>
      </c>
      <c r="B115" s="812">
        <f>IF('Part VI-Revenues &amp; Expenses'!$N$59=0,"",'Part VI-Revenues &amp; Expenses'!$N$59)</f>
        <v>8</v>
      </c>
      <c r="C115" s="2031">
        <v>3</v>
      </c>
      <c r="D115" s="538"/>
      <c r="E115" s="538"/>
      <c r="F115" s="3362"/>
      <c r="G115" s="3363"/>
      <c r="H115" s="2031"/>
      <c r="I115" s="2031"/>
      <c r="J115" s="2031"/>
      <c r="K115" s="2031"/>
      <c r="L115" s="2031"/>
      <c r="M115" s="2031"/>
      <c r="S115" s="730"/>
    </row>
    <row r="116" spans="1:19" ht="13.2" customHeight="1">
      <c r="A116" s="2035"/>
      <c r="B116" s="538"/>
      <c r="C116" s="2034">
        <v>3</v>
      </c>
      <c r="D116" s="2032"/>
      <c r="E116" s="2033"/>
      <c r="F116" s="3364"/>
      <c r="G116" s="3364"/>
      <c r="H116" s="3364"/>
      <c r="I116" s="3364"/>
      <c r="J116" s="3364"/>
      <c r="K116" s="3364"/>
      <c r="L116" s="3364"/>
      <c r="M116" s="3365"/>
      <c r="S116" s="730"/>
    </row>
    <row r="117" spans="1:19" ht="13.2" customHeight="1">
      <c r="A117" s="2035"/>
      <c r="B117" s="538"/>
      <c r="C117" s="2034">
        <v>3</v>
      </c>
      <c r="D117" s="2032"/>
      <c r="E117" s="2033"/>
      <c r="F117" s="3364"/>
      <c r="G117" s="3364"/>
      <c r="H117" s="3364"/>
      <c r="I117" s="3364"/>
      <c r="J117" s="3364"/>
      <c r="K117" s="3364"/>
      <c r="L117" s="3364"/>
      <c r="M117" s="3365"/>
      <c r="S117" s="730"/>
    </row>
    <row r="118" spans="1:19" ht="13.2" customHeight="1">
      <c r="A118" s="2035"/>
      <c r="B118" s="538"/>
      <c r="C118" s="2034">
        <v>3</v>
      </c>
      <c r="D118" s="2032"/>
      <c r="E118" s="2033"/>
      <c r="F118" s="3364"/>
      <c r="G118" s="3364"/>
      <c r="H118" s="3364"/>
      <c r="I118" s="3364"/>
      <c r="J118" s="3364"/>
      <c r="K118" s="3364"/>
      <c r="L118" s="3364"/>
      <c r="M118" s="3365"/>
      <c r="S118" s="730"/>
    </row>
    <row r="119" spans="1:19" ht="13.2" customHeight="1">
      <c r="A119" s="2035"/>
      <c r="B119" s="538"/>
      <c r="C119" s="2034">
        <v>3</v>
      </c>
      <c r="D119" s="2032"/>
      <c r="E119" s="2033"/>
      <c r="F119" s="3364"/>
      <c r="G119" s="3364"/>
      <c r="H119" s="3364"/>
      <c r="I119" s="3364"/>
      <c r="J119" s="3364"/>
      <c r="K119" s="3364"/>
      <c r="L119" s="3364"/>
      <c r="M119" s="3365"/>
      <c r="S119" s="730"/>
    </row>
    <row r="120" spans="1:19" ht="13.2" customHeight="1">
      <c r="A120" s="2035">
        <f>A102</f>
        <v>50</v>
      </c>
      <c r="B120" s="812" t="str">
        <f>IF('Part VI-Revenues &amp; Expenses'!$O$59=0,"",'Part VI-Revenues &amp; Expenses'!$O$59)</f>
        <v/>
      </c>
      <c r="C120" s="2031">
        <v>4</v>
      </c>
      <c r="D120" s="538"/>
      <c r="E120" s="538"/>
      <c r="F120" s="3362"/>
      <c r="G120" s="3363"/>
      <c r="H120" s="2031"/>
      <c r="I120" s="2031"/>
      <c r="J120" s="2031"/>
      <c r="K120" s="2031"/>
      <c r="L120" s="2031"/>
      <c r="M120" s="2031"/>
      <c r="S120" s="730"/>
    </row>
    <row r="121" spans="1:19" ht="13.2" customHeight="1">
      <c r="A121" s="2039"/>
      <c r="B121" s="538"/>
      <c r="C121" s="2034">
        <v>4</v>
      </c>
      <c r="D121" s="2032"/>
      <c r="E121" s="2033"/>
      <c r="F121" s="3364"/>
      <c r="G121" s="3364"/>
      <c r="H121" s="3364"/>
      <c r="I121" s="3364"/>
      <c r="J121" s="3364"/>
      <c r="K121" s="3364"/>
      <c r="L121" s="3364"/>
      <c r="M121" s="3365"/>
      <c r="S121" s="730"/>
    </row>
    <row r="122" spans="1:19" ht="13.2" customHeight="1">
      <c r="A122" s="2036"/>
      <c r="C122" s="2034">
        <v>4</v>
      </c>
      <c r="D122" s="2032"/>
      <c r="E122" s="2033"/>
      <c r="F122" s="3364"/>
      <c r="G122" s="3364"/>
      <c r="H122" s="3364"/>
      <c r="I122" s="3364"/>
      <c r="J122" s="3364"/>
      <c r="K122" s="3364"/>
      <c r="L122" s="3364"/>
      <c r="M122" s="3365"/>
      <c r="S122" s="730"/>
    </row>
    <row r="123" spans="1:19" ht="13.2" customHeight="1">
      <c r="A123" s="2036"/>
      <c r="C123" s="2034">
        <v>4</v>
      </c>
      <c r="D123" s="2032"/>
      <c r="E123" s="2033"/>
      <c r="F123" s="3364"/>
      <c r="G123" s="3364"/>
      <c r="H123" s="3364"/>
      <c r="I123" s="3364"/>
      <c r="J123" s="3364"/>
      <c r="K123" s="3364"/>
      <c r="L123" s="3364"/>
      <c r="M123" s="3365"/>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3362"/>
      <c r="G126" s="3363"/>
      <c r="H126" s="538"/>
      <c r="I126" s="737"/>
      <c r="J126" s="538"/>
      <c r="K126" s="538"/>
      <c r="L126" s="538"/>
      <c r="M126" s="538"/>
      <c r="S126" s="730"/>
    </row>
    <row r="127" spans="1:19" ht="13.2" customHeight="1">
      <c r="A127" s="2039"/>
      <c r="B127" s="538"/>
      <c r="C127" s="538" t="s">
        <v>551</v>
      </c>
      <c r="D127" s="2032"/>
      <c r="E127" s="2033"/>
      <c r="F127" s="3364"/>
      <c r="G127" s="3364"/>
      <c r="H127" s="3364"/>
      <c r="I127" s="3364"/>
      <c r="J127" s="3364"/>
      <c r="K127" s="3364"/>
      <c r="L127" s="3364"/>
      <c r="M127" s="3365"/>
      <c r="S127" s="730"/>
    </row>
    <row r="128" spans="1:19" ht="13.2" customHeight="1">
      <c r="A128" s="2039"/>
      <c r="B128" s="538"/>
      <c r="C128" s="538" t="s">
        <v>551</v>
      </c>
      <c r="D128" s="2032"/>
      <c r="E128" s="2033"/>
      <c r="F128" s="3364"/>
      <c r="G128" s="3364"/>
      <c r="H128" s="3364"/>
      <c r="I128" s="3364"/>
      <c r="J128" s="3364"/>
      <c r="K128" s="3364"/>
      <c r="L128" s="3364"/>
      <c r="M128" s="3365"/>
      <c r="S128" s="730"/>
    </row>
    <row r="129" spans="1:19" ht="13.2" customHeight="1">
      <c r="A129" s="2039"/>
      <c r="B129" s="538"/>
      <c r="C129" s="538" t="s">
        <v>551</v>
      </c>
      <c r="D129" s="2032"/>
      <c r="E129" s="2033"/>
      <c r="F129" s="3364"/>
      <c r="G129" s="3364"/>
      <c r="H129" s="3364"/>
      <c r="I129" s="3364"/>
      <c r="J129" s="3364"/>
      <c r="K129" s="3364"/>
      <c r="L129" s="3364"/>
      <c r="M129" s="3365"/>
      <c r="S129" s="730"/>
    </row>
    <row r="130" spans="1:19" ht="13.2" customHeight="1">
      <c r="A130" s="2035">
        <f>A126</f>
        <v>60</v>
      </c>
      <c r="B130" s="812">
        <f>IF('Part VI-Revenues &amp; Expenses'!$L$58=0,"",'Part VI-Revenues &amp; Expenses'!$L$58)</f>
        <v>4</v>
      </c>
      <c r="C130" s="2031">
        <v>1</v>
      </c>
      <c r="D130" s="538"/>
      <c r="E130" s="538"/>
      <c r="F130" s="3362"/>
      <c r="G130" s="3363"/>
      <c r="H130" s="2031"/>
      <c r="I130" s="2031"/>
      <c r="J130" s="2031"/>
      <c r="K130" s="2031"/>
      <c r="L130" s="2031"/>
      <c r="M130" s="2031"/>
      <c r="S130" s="730"/>
    </row>
    <row r="131" spans="1:19" ht="13.2" customHeight="1">
      <c r="A131" s="2035"/>
      <c r="B131" s="538"/>
      <c r="C131" s="2034">
        <v>1</v>
      </c>
      <c r="D131" s="2032"/>
      <c r="E131" s="2033"/>
      <c r="F131" s="3364"/>
      <c r="G131" s="3364"/>
      <c r="H131" s="3364"/>
      <c r="I131" s="3364"/>
      <c r="J131" s="3364"/>
      <c r="K131" s="3364"/>
      <c r="L131" s="3364"/>
      <c r="M131" s="3365"/>
      <c r="S131" s="730"/>
    </row>
    <row r="132" spans="1:19" ht="13.2" customHeight="1">
      <c r="A132" s="2035"/>
      <c r="B132" s="538"/>
      <c r="C132" s="2034">
        <v>1</v>
      </c>
      <c r="D132" s="2032"/>
      <c r="E132" s="2033"/>
      <c r="F132" s="3364"/>
      <c r="G132" s="3364"/>
      <c r="H132" s="3364"/>
      <c r="I132" s="3364"/>
      <c r="J132" s="3364"/>
      <c r="K132" s="3364"/>
      <c r="L132" s="3364"/>
      <c r="M132" s="3365"/>
      <c r="S132" s="730"/>
    </row>
    <row r="133" spans="1:19" ht="13.2" customHeight="1">
      <c r="A133" s="2035"/>
      <c r="B133" s="538"/>
      <c r="C133" s="2034">
        <v>1</v>
      </c>
      <c r="D133" s="2032"/>
      <c r="E133" s="2033"/>
      <c r="F133" s="3364"/>
      <c r="G133" s="3364"/>
      <c r="H133" s="3364"/>
      <c r="I133" s="3364"/>
      <c r="J133" s="3364"/>
      <c r="K133" s="3364"/>
      <c r="L133" s="3364"/>
      <c r="M133" s="3365"/>
      <c r="S133" s="730"/>
    </row>
    <row r="134" spans="1:19" ht="13.2" customHeight="1">
      <c r="A134" s="2035">
        <f>A126</f>
        <v>60</v>
      </c>
      <c r="B134" s="812">
        <f>IF('Part VI-Revenues &amp; Expenses'!$M$58=0,"",'Part VI-Revenues &amp; Expenses'!$M$58)</f>
        <v>8</v>
      </c>
      <c r="C134" s="2031">
        <v>2</v>
      </c>
      <c r="D134" s="538"/>
      <c r="E134" s="538"/>
      <c r="F134" s="3362"/>
      <c r="G134" s="3363"/>
      <c r="H134" s="2031"/>
      <c r="I134" s="2031"/>
      <c r="J134" s="2031"/>
      <c r="K134" s="2031"/>
      <c r="L134" s="2031"/>
      <c r="M134" s="2031"/>
      <c r="S134" s="730"/>
    </row>
    <row r="135" spans="1:19" ht="13.2" customHeight="1">
      <c r="A135" s="2035"/>
      <c r="B135" s="538"/>
      <c r="C135" s="2034">
        <v>2</v>
      </c>
      <c r="D135" s="2032"/>
      <c r="E135" s="2033"/>
      <c r="F135" s="3364"/>
      <c r="G135" s="3364"/>
      <c r="H135" s="3364"/>
      <c r="I135" s="3364"/>
      <c r="J135" s="3364"/>
      <c r="K135" s="3364"/>
      <c r="L135" s="3364"/>
      <c r="M135" s="3365"/>
      <c r="S135" s="730"/>
    </row>
    <row r="136" spans="1:19" ht="13.2" customHeight="1">
      <c r="A136" s="2035"/>
      <c r="B136" s="538"/>
      <c r="C136" s="2034">
        <v>2</v>
      </c>
      <c r="D136" s="2032"/>
      <c r="E136" s="2033"/>
      <c r="F136" s="3364"/>
      <c r="G136" s="3364"/>
      <c r="H136" s="3364"/>
      <c r="I136" s="3364"/>
      <c r="J136" s="3364"/>
      <c r="K136" s="3364"/>
      <c r="L136" s="3364"/>
      <c r="M136" s="3365"/>
      <c r="S136" s="730"/>
    </row>
    <row r="137" spans="1:19" ht="13.2" customHeight="1">
      <c r="A137" s="2035"/>
      <c r="B137" s="538"/>
      <c r="C137" s="2034">
        <v>2</v>
      </c>
      <c r="D137" s="2032"/>
      <c r="E137" s="2033"/>
      <c r="F137" s="3364"/>
      <c r="G137" s="3364"/>
      <c r="H137" s="3364"/>
      <c r="I137" s="3364"/>
      <c r="J137" s="3364"/>
      <c r="K137" s="3364"/>
      <c r="L137" s="3364"/>
      <c r="M137" s="3365"/>
      <c r="S137" s="730"/>
    </row>
    <row r="138" spans="1:19" ht="13.2" customHeight="1">
      <c r="A138" s="2035"/>
      <c r="B138" s="538"/>
      <c r="C138" s="2034">
        <v>2</v>
      </c>
      <c r="D138" s="2032"/>
      <c r="E138" s="2033"/>
      <c r="F138" s="3364"/>
      <c r="G138" s="3364"/>
      <c r="H138" s="3364"/>
      <c r="I138" s="3364"/>
      <c r="J138" s="3364"/>
      <c r="K138" s="3364"/>
      <c r="L138" s="3364"/>
      <c r="M138" s="3365"/>
      <c r="S138" s="730"/>
    </row>
    <row r="139" spans="1:19" ht="13.2" customHeight="1">
      <c r="A139" s="2035">
        <f>A126</f>
        <v>60</v>
      </c>
      <c r="B139" s="812">
        <f>IF('Part VI-Revenues &amp; Expenses'!$N$58=0,"",'Part VI-Revenues &amp; Expenses'!$N$58)</f>
        <v>8</v>
      </c>
      <c r="C139" s="2031">
        <v>3</v>
      </c>
      <c r="D139" s="538"/>
      <c r="E139" s="538"/>
      <c r="F139" s="3362"/>
      <c r="G139" s="3363"/>
      <c r="H139" s="2031"/>
      <c r="I139" s="2031"/>
      <c r="J139" s="2031"/>
      <c r="K139" s="2031"/>
      <c r="L139" s="2031"/>
      <c r="M139" s="2031"/>
      <c r="S139" s="730"/>
    </row>
    <row r="140" spans="1:19" ht="13.2" customHeight="1">
      <c r="A140" s="2035"/>
      <c r="B140" s="538"/>
      <c r="C140" s="2034">
        <v>3</v>
      </c>
      <c r="D140" s="2032"/>
      <c r="E140" s="2033"/>
      <c r="F140" s="3364"/>
      <c r="G140" s="3364"/>
      <c r="H140" s="3364"/>
      <c r="I140" s="3364"/>
      <c r="J140" s="3364"/>
      <c r="K140" s="3364"/>
      <c r="L140" s="3364"/>
      <c r="M140" s="3365"/>
      <c r="S140" s="730"/>
    </row>
    <row r="141" spans="1:19" ht="13.2" customHeight="1">
      <c r="A141" s="2035"/>
      <c r="B141" s="538"/>
      <c r="C141" s="2034">
        <v>3</v>
      </c>
      <c r="D141" s="2032"/>
      <c r="E141" s="2033"/>
      <c r="F141" s="3364"/>
      <c r="G141" s="3364"/>
      <c r="H141" s="3364"/>
      <c r="I141" s="3364"/>
      <c r="J141" s="3364"/>
      <c r="K141" s="3364"/>
      <c r="L141" s="3364"/>
      <c r="M141" s="3365"/>
      <c r="S141" s="730"/>
    </row>
    <row r="142" spans="1:19" ht="13.2" customHeight="1">
      <c r="A142" s="2035"/>
      <c r="B142" s="538"/>
      <c r="C142" s="2034">
        <v>3</v>
      </c>
      <c r="D142" s="2032"/>
      <c r="E142" s="2033"/>
      <c r="F142" s="3364"/>
      <c r="G142" s="3364"/>
      <c r="H142" s="3364"/>
      <c r="I142" s="3364"/>
      <c r="J142" s="3364"/>
      <c r="K142" s="3364"/>
      <c r="L142" s="3364"/>
      <c r="M142" s="3365"/>
      <c r="S142" s="730"/>
    </row>
    <row r="143" spans="1:19" ht="13.2" customHeight="1">
      <c r="A143" s="2035"/>
      <c r="B143" s="538"/>
      <c r="C143" s="2034">
        <v>3</v>
      </c>
      <c r="D143" s="2032"/>
      <c r="E143" s="2033"/>
      <c r="F143" s="3364"/>
      <c r="G143" s="3364"/>
      <c r="H143" s="3364"/>
      <c r="I143" s="3364"/>
      <c r="J143" s="3364"/>
      <c r="K143" s="3364"/>
      <c r="L143" s="3364"/>
      <c r="M143" s="3365"/>
      <c r="S143" s="730"/>
    </row>
    <row r="144" spans="1:19" ht="13.2" customHeight="1">
      <c r="A144" s="2035">
        <f>A126</f>
        <v>60</v>
      </c>
      <c r="B144" s="812" t="str">
        <f>IF('Part VI-Revenues &amp; Expenses'!$O$58=0,"",'Part VI-Revenues &amp; Expenses'!$O$58)</f>
        <v/>
      </c>
      <c r="C144" s="2031">
        <v>4</v>
      </c>
      <c r="D144" s="538"/>
      <c r="E144" s="538"/>
      <c r="F144" s="3362"/>
      <c r="G144" s="3363"/>
      <c r="H144" s="2031"/>
      <c r="I144" s="2031"/>
      <c r="J144" s="2031"/>
      <c r="K144" s="2031"/>
      <c r="L144" s="2031"/>
      <c r="M144" s="2031"/>
      <c r="S144" s="730"/>
    </row>
    <row r="145" spans="1:19" ht="13.2" customHeight="1">
      <c r="A145" s="2039"/>
      <c r="B145" s="538"/>
      <c r="C145" s="2034">
        <v>4</v>
      </c>
      <c r="D145" s="2032"/>
      <c r="E145" s="2033"/>
      <c r="F145" s="3364"/>
      <c r="G145" s="3364"/>
      <c r="H145" s="3364"/>
      <c r="I145" s="3364"/>
      <c r="J145" s="3364"/>
      <c r="K145" s="3364"/>
      <c r="L145" s="3364"/>
      <c r="M145" s="3365"/>
      <c r="S145" s="730"/>
    </row>
    <row r="146" spans="1:19" ht="13.2" customHeight="1">
      <c r="A146" s="2036"/>
      <c r="C146" s="2034">
        <v>4</v>
      </c>
      <c r="D146" s="2032"/>
      <c r="E146" s="2033"/>
      <c r="F146" s="3364"/>
      <c r="G146" s="3364"/>
      <c r="H146" s="3364"/>
      <c r="I146" s="3364"/>
      <c r="J146" s="3364"/>
      <c r="K146" s="3364"/>
      <c r="L146" s="3364"/>
      <c r="M146" s="3365"/>
      <c r="S146" s="730"/>
    </row>
    <row r="147" spans="1:19" ht="13.2" customHeight="1">
      <c r="A147" s="2036"/>
      <c r="C147" s="2034">
        <v>4</v>
      </c>
      <c r="D147" s="2032"/>
      <c r="E147" s="2033"/>
      <c r="F147" s="3364"/>
      <c r="G147" s="3364"/>
      <c r="H147" s="3364"/>
      <c r="I147" s="3364"/>
      <c r="J147" s="3364"/>
      <c r="K147" s="3364"/>
      <c r="L147" s="3364"/>
      <c r="M147" s="3365"/>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3362"/>
      <c r="G150" s="3363"/>
      <c r="H150" s="538"/>
      <c r="I150" s="737"/>
      <c r="J150" s="538"/>
      <c r="K150" s="538"/>
      <c r="L150" s="538"/>
      <c r="M150" s="538"/>
      <c r="S150" s="730"/>
    </row>
    <row r="151" spans="1:19" ht="13.2" customHeight="1">
      <c r="A151" s="2039"/>
      <c r="B151" s="538"/>
      <c r="C151" s="538" t="s">
        <v>551</v>
      </c>
      <c r="D151" s="2032"/>
      <c r="E151" s="2033"/>
      <c r="F151" s="3364"/>
      <c r="G151" s="3364"/>
      <c r="H151" s="3364"/>
      <c r="I151" s="3364"/>
      <c r="J151" s="3364"/>
      <c r="K151" s="3364"/>
      <c r="L151" s="3364"/>
      <c r="M151" s="3365"/>
      <c r="S151" s="730"/>
    </row>
    <row r="152" spans="1:19" ht="13.2" customHeight="1">
      <c r="A152" s="2039"/>
      <c r="B152" s="538"/>
      <c r="C152" s="538" t="s">
        <v>551</v>
      </c>
      <c r="D152" s="2032"/>
      <c r="E152" s="2033"/>
      <c r="F152" s="3364"/>
      <c r="G152" s="3364"/>
      <c r="H152" s="3364"/>
      <c r="I152" s="3364"/>
      <c r="J152" s="3364"/>
      <c r="K152" s="3364"/>
      <c r="L152" s="3364"/>
      <c r="M152" s="3365"/>
      <c r="S152" s="730"/>
    </row>
    <row r="153" spans="1:19" ht="13.2" customHeight="1">
      <c r="A153" s="2039"/>
      <c r="B153" s="538"/>
      <c r="C153" s="538" t="s">
        <v>551</v>
      </c>
      <c r="D153" s="2032"/>
      <c r="E153" s="2033"/>
      <c r="F153" s="3364"/>
      <c r="G153" s="3364"/>
      <c r="H153" s="3364"/>
      <c r="I153" s="3364"/>
      <c r="J153" s="3364"/>
      <c r="K153" s="3364"/>
      <c r="L153" s="3364"/>
      <c r="M153" s="3365"/>
      <c r="S153" s="730"/>
    </row>
    <row r="154" spans="1:19" ht="13.2" customHeight="1">
      <c r="A154" s="2035">
        <f>A150</f>
        <v>70</v>
      </c>
      <c r="B154" s="812">
        <f>IF('Part VI-Revenues &amp; Expenses'!$L$57=0,"",'Part VI-Revenues &amp; Expenses'!$L$57)</f>
        <v>2</v>
      </c>
      <c r="C154" s="2031">
        <v>1</v>
      </c>
      <c r="D154" s="538"/>
      <c r="E154" s="538"/>
      <c r="F154" s="3362"/>
      <c r="G154" s="3363"/>
      <c r="H154" s="2031"/>
      <c r="I154" s="2031"/>
      <c r="J154" s="2031"/>
      <c r="K154" s="2031"/>
      <c r="L154" s="2031"/>
      <c r="M154" s="2031"/>
      <c r="S154" s="730"/>
    </row>
    <row r="155" spans="1:19" ht="13.2" customHeight="1">
      <c r="A155" s="2035"/>
      <c r="B155" s="538"/>
      <c r="C155" s="2034">
        <v>1</v>
      </c>
      <c r="D155" s="2032"/>
      <c r="E155" s="2033"/>
      <c r="F155" s="3364"/>
      <c r="G155" s="3364"/>
      <c r="H155" s="3364"/>
      <c r="I155" s="3364"/>
      <c r="J155" s="3364"/>
      <c r="K155" s="3364"/>
      <c r="L155" s="3364"/>
      <c r="M155" s="3365"/>
      <c r="S155" s="730"/>
    </row>
    <row r="156" spans="1:19" ht="13.2" customHeight="1">
      <c r="A156" s="2035"/>
      <c r="B156" s="538"/>
      <c r="C156" s="2034">
        <v>1</v>
      </c>
      <c r="D156" s="2032"/>
      <c r="E156" s="2033"/>
      <c r="F156" s="3364"/>
      <c r="G156" s="3364"/>
      <c r="H156" s="3364"/>
      <c r="I156" s="3364"/>
      <c r="J156" s="3364"/>
      <c r="K156" s="3364"/>
      <c r="L156" s="3364"/>
      <c r="M156" s="3365"/>
      <c r="S156" s="730"/>
    </row>
    <row r="157" spans="1:19" ht="13.2" customHeight="1">
      <c r="A157" s="2035"/>
      <c r="B157" s="538"/>
      <c r="C157" s="2034">
        <v>1</v>
      </c>
      <c r="D157" s="2032"/>
      <c r="E157" s="2033"/>
      <c r="F157" s="3364"/>
      <c r="G157" s="3364"/>
      <c r="H157" s="3364"/>
      <c r="I157" s="3364"/>
      <c r="J157" s="3364"/>
      <c r="K157" s="3364"/>
      <c r="L157" s="3364"/>
      <c r="M157" s="3365"/>
      <c r="S157" s="730"/>
    </row>
    <row r="158" spans="1:19" ht="13.2" customHeight="1">
      <c r="A158" s="2035">
        <f>A150</f>
        <v>70</v>
      </c>
      <c r="B158" s="812">
        <f>IF('Part VI-Revenues &amp; Expenses'!$M$57=0,"",'Part VI-Revenues &amp; Expenses'!$M$57)</f>
        <v>4</v>
      </c>
      <c r="C158" s="2031">
        <v>2</v>
      </c>
      <c r="D158" s="538"/>
      <c r="E158" s="538"/>
      <c r="F158" s="3362"/>
      <c r="G158" s="3363"/>
      <c r="H158" s="2031"/>
      <c r="I158" s="2031"/>
      <c r="J158" s="2031"/>
      <c r="K158" s="2031"/>
      <c r="L158" s="2031"/>
      <c r="M158" s="2031"/>
      <c r="S158" s="730"/>
    </row>
    <row r="159" spans="1:19" ht="13.2" customHeight="1">
      <c r="A159" s="2035"/>
      <c r="B159" s="538"/>
      <c r="C159" s="2034">
        <v>2</v>
      </c>
      <c r="D159" s="2032"/>
      <c r="E159" s="2033"/>
      <c r="F159" s="3364"/>
      <c r="G159" s="3364"/>
      <c r="H159" s="3364"/>
      <c r="I159" s="3364"/>
      <c r="J159" s="3364"/>
      <c r="K159" s="3364"/>
      <c r="L159" s="3364"/>
      <c r="M159" s="3365"/>
      <c r="S159" s="730"/>
    </row>
    <row r="160" spans="1:19" ht="13.2" customHeight="1">
      <c r="A160" s="2035"/>
      <c r="B160" s="538"/>
      <c r="C160" s="2034">
        <v>2</v>
      </c>
      <c r="D160" s="2032"/>
      <c r="E160" s="2033"/>
      <c r="F160" s="3364"/>
      <c r="G160" s="3364"/>
      <c r="H160" s="3364"/>
      <c r="I160" s="3364"/>
      <c r="J160" s="3364"/>
      <c r="K160" s="3364"/>
      <c r="L160" s="3364"/>
      <c r="M160" s="3365"/>
      <c r="S160" s="730"/>
    </row>
    <row r="161" spans="1:19" ht="13.2" customHeight="1">
      <c r="A161" s="2035"/>
      <c r="B161" s="538"/>
      <c r="C161" s="2034">
        <v>2</v>
      </c>
      <c r="D161" s="2032"/>
      <c r="E161" s="2033"/>
      <c r="F161" s="3364"/>
      <c r="G161" s="3364"/>
      <c r="H161" s="3364"/>
      <c r="I161" s="3364"/>
      <c r="J161" s="3364"/>
      <c r="K161" s="3364"/>
      <c r="L161" s="3364"/>
      <c r="M161" s="3365"/>
      <c r="S161" s="730"/>
    </row>
    <row r="162" spans="1:19" ht="13.2" customHeight="1">
      <c r="A162" s="2035"/>
      <c r="B162" s="538"/>
      <c r="C162" s="2034">
        <v>2</v>
      </c>
      <c r="D162" s="2032"/>
      <c r="E162" s="2033"/>
      <c r="F162" s="3364"/>
      <c r="G162" s="3364"/>
      <c r="H162" s="3364"/>
      <c r="I162" s="3364"/>
      <c r="J162" s="3364"/>
      <c r="K162" s="3364"/>
      <c r="L162" s="3364"/>
      <c r="M162" s="3365"/>
      <c r="S162" s="730"/>
    </row>
    <row r="163" spans="1:19" ht="13.2" customHeight="1">
      <c r="A163" s="2035">
        <f>A150</f>
        <v>70</v>
      </c>
      <c r="B163" s="812">
        <f>IF('Part VI-Revenues &amp; Expenses'!$N$57=0,"",'Part VI-Revenues &amp; Expenses'!$N$57)</f>
        <v>4</v>
      </c>
      <c r="C163" s="2031">
        <v>3</v>
      </c>
      <c r="D163" s="538"/>
      <c r="E163" s="538"/>
      <c r="F163" s="3362"/>
      <c r="G163" s="3363"/>
      <c r="H163" s="2031"/>
      <c r="I163" s="2031"/>
      <c r="J163" s="2031"/>
      <c r="K163" s="2031"/>
      <c r="L163" s="2031"/>
      <c r="M163" s="2031"/>
      <c r="S163" s="730"/>
    </row>
    <row r="164" spans="1:19" ht="13.2" customHeight="1">
      <c r="A164" s="2035"/>
      <c r="B164" s="538"/>
      <c r="C164" s="2034">
        <v>3</v>
      </c>
      <c r="D164" s="2032"/>
      <c r="E164" s="2033"/>
      <c r="F164" s="3364"/>
      <c r="G164" s="3364"/>
      <c r="H164" s="3364"/>
      <c r="I164" s="3364"/>
      <c r="J164" s="3364"/>
      <c r="K164" s="3364"/>
      <c r="L164" s="3364"/>
      <c r="M164" s="3365"/>
      <c r="S164" s="730"/>
    </row>
    <row r="165" spans="1:19" ht="13.2" customHeight="1">
      <c r="A165" s="2035"/>
      <c r="B165" s="538"/>
      <c r="C165" s="2034">
        <v>3</v>
      </c>
      <c r="D165" s="2032"/>
      <c r="E165" s="2033"/>
      <c r="F165" s="3364"/>
      <c r="G165" s="3364"/>
      <c r="H165" s="3364"/>
      <c r="I165" s="3364"/>
      <c r="J165" s="3364"/>
      <c r="K165" s="3364"/>
      <c r="L165" s="3364"/>
      <c r="M165" s="3365"/>
      <c r="S165" s="730"/>
    </row>
    <row r="166" spans="1:19" ht="13.2" customHeight="1">
      <c r="A166" s="2035"/>
      <c r="B166" s="538"/>
      <c r="C166" s="2034">
        <v>3</v>
      </c>
      <c r="D166" s="2032"/>
      <c r="E166" s="2033"/>
      <c r="F166" s="3364"/>
      <c r="G166" s="3364"/>
      <c r="H166" s="3364"/>
      <c r="I166" s="3364"/>
      <c r="J166" s="3364"/>
      <c r="K166" s="3364"/>
      <c r="L166" s="3364"/>
      <c r="M166" s="3365"/>
      <c r="S166" s="730"/>
    </row>
    <row r="167" spans="1:19" ht="13.2" customHeight="1">
      <c r="A167" s="2035"/>
      <c r="B167" s="538"/>
      <c r="C167" s="2034">
        <v>3</v>
      </c>
      <c r="D167" s="2032"/>
      <c r="E167" s="2033"/>
      <c r="F167" s="3364"/>
      <c r="G167" s="3364"/>
      <c r="H167" s="3364"/>
      <c r="I167" s="3364"/>
      <c r="J167" s="3364"/>
      <c r="K167" s="3364"/>
      <c r="L167" s="3364"/>
      <c r="M167" s="3365"/>
      <c r="S167" s="730"/>
    </row>
    <row r="168" spans="1:19" ht="13.2" customHeight="1">
      <c r="A168" s="2035">
        <f>A150</f>
        <v>70</v>
      </c>
      <c r="B168" s="812" t="str">
        <f>IF('Part VI-Revenues &amp; Expenses'!$O$57=0,"",'Part VI-Revenues &amp; Expenses'!$O$57)</f>
        <v/>
      </c>
      <c r="C168" s="2031">
        <v>4</v>
      </c>
      <c r="D168" s="538"/>
      <c r="E168" s="538"/>
      <c r="F168" s="3362"/>
      <c r="G168" s="3363"/>
      <c r="H168" s="2031"/>
      <c r="I168" s="2031"/>
      <c r="J168" s="2031"/>
      <c r="K168" s="2031"/>
      <c r="L168" s="2031"/>
      <c r="M168" s="2031"/>
      <c r="S168" s="730"/>
    </row>
    <row r="169" spans="1:19" ht="13.2" customHeight="1">
      <c r="A169" s="2039"/>
      <c r="B169" s="538"/>
      <c r="C169" s="2034">
        <v>4</v>
      </c>
      <c r="D169" s="2032"/>
      <c r="E169" s="2033"/>
      <c r="F169" s="3364"/>
      <c r="G169" s="3364"/>
      <c r="H169" s="3364"/>
      <c r="I169" s="3364"/>
      <c r="J169" s="3364"/>
      <c r="K169" s="3364"/>
      <c r="L169" s="3364"/>
      <c r="M169" s="3365"/>
      <c r="S169" s="730"/>
    </row>
    <row r="170" spans="1:19" ht="13.2" customHeight="1">
      <c r="A170" s="2036"/>
      <c r="C170" s="2034">
        <v>4</v>
      </c>
      <c r="D170" s="2032"/>
      <c r="E170" s="2033"/>
      <c r="F170" s="3364"/>
      <c r="G170" s="3364"/>
      <c r="H170" s="3364"/>
      <c r="I170" s="3364"/>
      <c r="J170" s="3364"/>
      <c r="K170" s="3364"/>
      <c r="L170" s="3364"/>
      <c r="M170" s="3365"/>
      <c r="S170" s="730"/>
    </row>
    <row r="171" spans="1:19" ht="13.2" customHeight="1">
      <c r="A171" s="2036"/>
      <c r="C171" s="2034">
        <v>4</v>
      </c>
      <c r="D171" s="2032"/>
      <c r="E171" s="2033"/>
      <c r="F171" s="3364"/>
      <c r="G171" s="3364"/>
      <c r="H171" s="3364"/>
      <c r="I171" s="3364"/>
      <c r="J171" s="3364"/>
      <c r="K171" s="3364"/>
      <c r="L171" s="3364"/>
      <c r="M171" s="3365"/>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3362"/>
      <c r="G174" s="3363"/>
      <c r="H174" s="538"/>
      <c r="I174" s="737"/>
      <c r="J174" s="538"/>
      <c r="K174" s="538"/>
      <c r="L174" s="538"/>
      <c r="M174" s="538"/>
      <c r="S174" s="730"/>
    </row>
    <row r="175" spans="1:19" ht="13.2" customHeight="1">
      <c r="A175" s="2039"/>
      <c r="B175" s="538"/>
      <c r="C175" s="538" t="s">
        <v>551</v>
      </c>
      <c r="D175" s="2032"/>
      <c r="E175" s="2033"/>
      <c r="F175" s="3364"/>
      <c r="G175" s="3364"/>
      <c r="H175" s="3364"/>
      <c r="I175" s="3364"/>
      <c r="J175" s="3364"/>
      <c r="K175" s="3364"/>
      <c r="L175" s="3364"/>
      <c r="M175" s="3365"/>
      <c r="S175" s="730"/>
    </row>
    <row r="176" spans="1:19" ht="13.2" customHeight="1">
      <c r="A176" s="2039"/>
      <c r="B176" s="538"/>
      <c r="C176" s="538" t="s">
        <v>551</v>
      </c>
      <c r="D176" s="2032"/>
      <c r="E176" s="2033"/>
      <c r="F176" s="3364"/>
      <c r="G176" s="3364"/>
      <c r="H176" s="3364"/>
      <c r="I176" s="3364"/>
      <c r="J176" s="3364"/>
      <c r="K176" s="3364"/>
      <c r="L176" s="3364"/>
      <c r="M176" s="3365"/>
      <c r="S176" s="730"/>
    </row>
    <row r="177" spans="1:19" ht="13.2" customHeight="1">
      <c r="A177" s="2039"/>
      <c r="B177" s="538"/>
      <c r="C177" s="538" t="s">
        <v>551</v>
      </c>
      <c r="D177" s="2032"/>
      <c r="E177" s="2033"/>
      <c r="F177" s="3364"/>
      <c r="G177" s="3364"/>
      <c r="H177" s="3364"/>
      <c r="I177" s="3364"/>
      <c r="J177" s="3364"/>
      <c r="K177" s="3364"/>
      <c r="L177" s="3364"/>
      <c r="M177" s="3365"/>
      <c r="S177" s="730"/>
    </row>
    <row r="178" spans="1:19" ht="13.2" customHeight="1">
      <c r="A178" s="2035">
        <f>A174</f>
        <v>80</v>
      </c>
      <c r="B178" s="812" t="str">
        <f>IF('Part VI-Revenues &amp; Expenses'!$L$56=0,"",'Part VI-Revenues &amp; Expenses'!$L$56)</f>
        <v/>
      </c>
      <c r="C178" s="2031">
        <v>1</v>
      </c>
      <c r="D178" s="538"/>
      <c r="E178" s="538"/>
      <c r="F178" s="3362"/>
      <c r="G178" s="3363"/>
      <c r="H178" s="2031"/>
      <c r="I178" s="2031"/>
      <c r="J178" s="2031"/>
      <c r="K178" s="2031"/>
      <c r="L178" s="2031"/>
      <c r="M178" s="2031"/>
      <c r="S178" s="730"/>
    </row>
    <row r="179" spans="1:19" ht="13.2" customHeight="1">
      <c r="A179" s="2035"/>
      <c r="B179" s="538"/>
      <c r="C179" s="2034">
        <v>1</v>
      </c>
      <c r="D179" s="2032"/>
      <c r="E179" s="2033"/>
      <c r="F179" s="3364"/>
      <c r="G179" s="3364"/>
      <c r="H179" s="3364"/>
      <c r="I179" s="3364"/>
      <c r="J179" s="3364"/>
      <c r="K179" s="3364"/>
      <c r="L179" s="3364"/>
      <c r="M179" s="3365"/>
      <c r="S179" s="730"/>
    </row>
    <row r="180" spans="1:19" ht="13.2" customHeight="1">
      <c r="A180" s="2035"/>
      <c r="B180" s="538"/>
      <c r="C180" s="2034">
        <v>1</v>
      </c>
      <c r="D180" s="2032"/>
      <c r="E180" s="2033"/>
      <c r="F180" s="3364"/>
      <c r="G180" s="3364"/>
      <c r="H180" s="3364"/>
      <c r="I180" s="3364"/>
      <c r="J180" s="3364"/>
      <c r="K180" s="3364"/>
      <c r="L180" s="3364"/>
      <c r="M180" s="3365"/>
      <c r="S180" s="730"/>
    </row>
    <row r="181" spans="1:19" ht="13.2" customHeight="1">
      <c r="A181" s="2035"/>
      <c r="B181" s="538"/>
      <c r="C181" s="2034">
        <v>1</v>
      </c>
      <c r="D181" s="2032"/>
      <c r="E181" s="2033"/>
      <c r="F181" s="3364"/>
      <c r="G181" s="3364"/>
      <c r="H181" s="3364"/>
      <c r="I181" s="3364"/>
      <c r="J181" s="3364"/>
      <c r="K181" s="3364"/>
      <c r="L181" s="3364"/>
      <c r="M181" s="3365"/>
      <c r="S181" s="730"/>
    </row>
    <row r="182" spans="1:19" ht="13.2" customHeight="1">
      <c r="A182" s="2035">
        <f>A174</f>
        <v>80</v>
      </c>
      <c r="B182" s="812" t="str">
        <f>IF('Part VI-Revenues &amp; Expenses'!$M$56=0,"",'Part VI-Revenues &amp; Expenses'!$M$56)</f>
        <v/>
      </c>
      <c r="C182" s="2031">
        <v>2</v>
      </c>
      <c r="D182" s="538"/>
      <c r="E182" s="538"/>
      <c r="F182" s="3362"/>
      <c r="G182" s="3363"/>
      <c r="H182" s="2031"/>
      <c r="I182" s="2031"/>
      <c r="J182" s="2031"/>
      <c r="K182" s="2031"/>
      <c r="L182" s="2031"/>
      <c r="M182" s="2031"/>
      <c r="S182" s="730"/>
    </row>
    <row r="183" spans="1:19" ht="13.2" customHeight="1">
      <c r="A183" s="2035"/>
      <c r="B183" s="538"/>
      <c r="C183" s="2034">
        <v>2</v>
      </c>
      <c r="D183" s="2032"/>
      <c r="E183" s="2033"/>
      <c r="F183" s="3364"/>
      <c r="G183" s="3364"/>
      <c r="H183" s="3364"/>
      <c r="I183" s="3364"/>
      <c r="J183" s="3364"/>
      <c r="K183" s="3364"/>
      <c r="L183" s="3364"/>
      <c r="M183" s="3365"/>
      <c r="S183" s="730"/>
    </row>
    <row r="184" spans="1:19" ht="13.2" customHeight="1">
      <c r="A184" s="2035"/>
      <c r="B184" s="538"/>
      <c r="C184" s="2034">
        <v>2</v>
      </c>
      <c r="D184" s="2032"/>
      <c r="E184" s="2033"/>
      <c r="F184" s="3364"/>
      <c r="G184" s="3364"/>
      <c r="H184" s="3364"/>
      <c r="I184" s="3364"/>
      <c r="J184" s="3364"/>
      <c r="K184" s="3364"/>
      <c r="L184" s="3364"/>
      <c r="M184" s="3365"/>
      <c r="S184" s="730"/>
    </row>
    <row r="185" spans="1:19" ht="13.2" customHeight="1">
      <c r="A185" s="2035"/>
      <c r="B185" s="538"/>
      <c r="C185" s="2034">
        <v>2</v>
      </c>
      <c r="D185" s="2032"/>
      <c r="E185" s="2033"/>
      <c r="F185" s="3364"/>
      <c r="G185" s="3364"/>
      <c r="H185" s="3364"/>
      <c r="I185" s="3364"/>
      <c r="J185" s="3364"/>
      <c r="K185" s="3364"/>
      <c r="L185" s="3364"/>
      <c r="M185" s="3365"/>
      <c r="S185" s="730"/>
    </row>
    <row r="186" spans="1:19" ht="13.2" customHeight="1">
      <c r="A186" s="2035"/>
      <c r="B186" s="538"/>
      <c r="C186" s="2034">
        <v>2</v>
      </c>
      <c r="D186" s="2032"/>
      <c r="E186" s="2033"/>
      <c r="F186" s="3364"/>
      <c r="G186" s="3364"/>
      <c r="H186" s="3364"/>
      <c r="I186" s="3364"/>
      <c r="J186" s="3364"/>
      <c r="K186" s="3364"/>
      <c r="L186" s="3364"/>
      <c r="M186" s="3365"/>
      <c r="S186" s="730"/>
    </row>
    <row r="187" spans="1:19" ht="13.2" customHeight="1">
      <c r="A187" s="2035">
        <f>A174</f>
        <v>80</v>
      </c>
      <c r="B187" s="812" t="str">
        <f>IF('Part VI-Revenues &amp; Expenses'!$N$56=0,"",'Part VI-Revenues &amp; Expenses'!$N$56)</f>
        <v/>
      </c>
      <c r="C187" s="2031">
        <v>3</v>
      </c>
      <c r="D187" s="538"/>
      <c r="E187" s="538"/>
      <c r="F187" s="3362"/>
      <c r="G187" s="3363"/>
      <c r="H187" s="2031"/>
      <c r="I187" s="2031"/>
      <c r="J187" s="2031"/>
      <c r="K187" s="2031"/>
      <c r="L187" s="2031"/>
      <c r="M187" s="2031"/>
      <c r="S187" s="730"/>
    </row>
    <row r="188" spans="1:19" ht="13.2" customHeight="1">
      <c r="A188" s="2035"/>
      <c r="B188" s="538"/>
      <c r="C188" s="2034">
        <v>3</v>
      </c>
      <c r="D188" s="2032"/>
      <c r="E188" s="2033"/>
      <c r="F188" s="3364"/>
      <c r="G188" s="3364"/>
      <c r="H188" s="3364"/>
      <c r="I188" s="3364"/>
      <c r="J188" s="3364"/>
      <c r="K188" s="3364"/>
      <c r="L188" s="3364"/>
      <c r="M188" s="3365"/>
      <c r="S188" s="730"/>
    </row>
    <row r="189" spans="1:19" ht="13.2" customHeight="1">
      <c r="A189" s="2035"/>
      <c r="B189" s="538"/>
      <c r="C189" s="2034">
        <v>3</v>
      </c>
      <c r="D189" s="2032"/>
      <c r="E189" s="2033"/>
      <c r="F189" s="3364"/>
      <c r="G189" s="3364"/>
      <c r="H189" s="3364"/>
      <c r="I189" s="3364"/>
      <c r="J189" s="3364"/>
      <c r="K189" s="3364"/>
      <c r="L189" s="3364"/>
      <c r="M189" s="3365"/>
      <c r="S189" s="730"/>
    </row>
    <row r="190" spans="1:19" ht="13.2" customHeight="1">
      <c r="A190" s="2035"/>
      <c r="B190" s="538"/>
      <c r="C190" s="2034">
        <v>3</v>
      </c>
      <c r="D190" s="2032"/>
      <c r="E190" s="2033"/>
      <c r="F190" s="3364"/>
      <c r="G190" s="3364"/>
      <c r="H190" s="3364"/>
      <c r="I190" s="3364"/>
      <c r="J190" s="3364"/>
      <c r="K190" s="3364"/>
      <c r="L190" s="3364"/>
      <c r="M190" s="3365"/>
      <c r="S190" s="730"/>
    </row>
    <row r="191" spans="1:19" ht="13.2" customHeight="1">
      <c r="A191" s="2035"/>
      <c r="B191" s="538"/>
      <c r="C191" s="2034">
        <v>3</v>
      </c>
      <c r="D191" s="2032"/>
      <c r="E191" s="2033"/>
      <c r="F191" s="3364"/>
      <c r="G191" s="3364"/>
      <c r="H191" s="3364"/>
      <c r="I191" s="3364"/>
      <c r="J191" s="3364"/>
      <c r="K191" s="3364"/>
      <c r="L191" s="3364"/>
      <c r="M191" s="3365"/>
      <c r="S191" s="730"/>
    </row>
    <row r="192" spans="1:19" ht="13.2" customHeight="1">
      <c r="A192" s="2035">
        <f>A174</f>
        <v>80</v>
      </c>
      <c r="B192" s="812" t="str">
        <f>IF('Part VI-Revenues &amp; Expenses'!$O$56=0,"",'Part VI-Revenues &amp; Expenses'!$O$56)</f>
        <v/>
      </c>
      <c r="C192" s="2031">
        <v>4</v>
      </c>
      <c r="D192" s="538"/>
      <c r="E192" s="538"/>
      <c r="F192" s="3362"/>
      <c r="G192" s="3363"/>
      <c r="H192" s="2031"/>
      <c r="I192" s="2031"/>
      <c r="J192" s="2031"/>
      <c r="K192" s="2031"/>
      <c r="L192" s="2031"/>
      <c r="M192" s="2031"/>
      <c r="S192" s="730"/>
    </row>
    <row r="193" spans="1:19" ht="13.2" customHeight="1">
      <c r="A193" s="2039"/>
      <c r="B193" s="538"/>
      <c r="C193" s="2034">
        <v>4</v>
      </c>
      <c r="D193" s="2032"/>
      <c r="E193" s="2033"/>
      <c r="F193" s="3364"/>
      <c r="G193" s="3364"/>
      <c r="H193" s="3364"/>
      <c r="I193" s="3364"/>
      <c r="J193" s="3364"/>
      <c r="K193" s="3364"/>
      <c r="L193" s="3364"/>
      <c r="M193" s="3365"/>
      <c r="S193" s="730"/>
    </row>
    <row r="194" spans="1:19" ht="13.2" customHeight="1">
      <c r="A194" s="2036"/>
      <c r="C194" s="2034">
        <v>4</v>
      </c>
      <c r="D194" s="2032"/>
      <c r="E194" s="2033"/>
      <c r="F194" s="3364"/>
      <c r="G194" s="3364"/>
      <c r="H194" s="3364"/>
      <c r="I194" s="3364"/>
      <c r="J194" s="3364"/>
      <c r="K194" s="3364"/>
      <c r="L194" s="3364"/>
      <c r="M194" s="3365"/>
      <c r="S194" s="730"/>
    </row>
    <row r="195" spans="1:19" ht="13.2" customHeight="1">
      <c r="A195" s="2036"/>
      <c r="C195" s="2034">
        <v>4</v>
      </c>
      <c r="D195" s="2032"/>
      <c r="E195" s="2033"/>
      <c r="F195" s="3364"/>
      <c r="G195" s="3364"/>
      <c r="H195" s="3364"/>
      <c r="I195" s="3364"/>
      <c r="J195" s="3364"/>
      <c r="K195" s="3364"/>
      <c r="L195" s="3364"/>
      <c r="M195" s="3365"/>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3" t="s">
        <v>3914</v>
      </c>
      <c r="C1" s="3403"/>
      <c r="D1" s="3403"/>
      <c r="E1" s="3403"/>
      <c r="F1" s="3403"/>
      <c r="G1" s="3403"/>
      <c r="H1" s="3403"/>
      <c r="I1" s="3403"/>
    </row>
    <row r="2" spans="2:13" ht="13.8">
      <c r="B2" s="1260" t="s">
        <v>3902</v>
      </c>
      <c r="C2" s="778"/>
      <c r="D2" s="778"/>
      <c r="E2" s="778"/>
      <c r="F2" s="778"/>
      <c r="G2" s="778"/>
      <c r="H2" s="778"/>
      <c r="I2" s="778"/>
    </row>
    <row r="3" spans="2:13" ht="13.8">
      <c r="B3" s="1261" t="s">
        <v>3909</v>
      </c>
      <c r="C3" s="778"/>
      <c r="D3" s="778"/>
      <c r="E3" s="778"/>
      <c r="F3" s="778"/>
      <c r="G3" s="778"/>
      <c r="H3" s="778"/>
      <c r="I3" s="778"/>
    </row>
    <row r="4" spans="2:13">
      <c r="B4" s="3404" t="s">
        <v>3139</v>
      </c>
      <c r="C4" s="3404"/>
      <c r="D4" s="3404"/>
      <c r="E4" s="3409" t="s">
        <v>3140</v>
      </c>
      <c r="F4" s="3411"/>
      <c r="G4" s="3409" t="s">
        <v>599</v>
      </c>
      <c r="H4" s="3410"/>
      <c r="I4" s="3411"/>
      <c r="J4" s="1254" t="s">
        <v>2985</v>
      </c>
      <c r="K4" s="1254"/>
      <c r="L4" s="1262"/>
      <c r="M4" s="1262"/>
    </row>
    <row r="5" spans="2:13">
      <c r="B5" s="3405" t="str">
        <f>'Closing term sheet'!C8</f>
        <v>Spring Creek Crossing Montezuma, LP</v>
      </c>
      <c r="C5" s="3406"/>
      <c r="D5" s="3406"/>
      <c r="E5" s="3415"/>
      <c r="F5" s="3416"/>
      <c r="G5" s="3412" t="str">
        <f>'Closing term sheet'!C28</f>
        <v>Spring Creek Crossing</v>
      </c>
      <c r="H5" s="3413"/>
      <c r="I5" s="3414"/>
      <c r="K5" s="730"/>
    </row>
    <row r="6" spans="2:13" ht="4.5" customHeight="1">
      <c r="D6" s="1263"/>
      <c r="E6" s="1263"/>
      <c r="F6" s="1263"/>
      <c r="G6" s="1263"/>
      <c r="H6" s="1263"/>
      <c r="I6" s="1263"/>
      <c r="K6" s="730"/>
    </row>
    <row r="7" spans="2:13">
      <c r="B7" s="3398" t="s">
        <v>3141</v>
      </c>
      <c r="C7" s="3398"/>
      <c r="D7" s="1264"/>
      <c r="E7" s="1264"/>
      <c r="F7" s="1264"/>
      <c r="G7" s="1264"/>
      <c r="H7" s="3407">
        <f>'Preview term'!E9</f>
        <v>0</v>
      </c>
      <c r="I7" s="3408"/>
    </row>
    <row r="8" spans="2:13" ht="4.5" customHeight="1">
      <c r="B8" s="1264"/>
      <c r="C8" s="1264"/>
      <c r="D8" s="1264"/>
      <c r="E8" s="1264"/>
      <c r="F8" s="1264"/>
      <c r="G8" s="1264"/>
      <c r="H8" s="1264"/>
      <c r="I8" s="1264"/>
      <c r="J8" s="1264"/>
    </row>
    <row r="9" spans="2:13">
      <c r="B9" s="1265" t="s">
        <v>3142</v>
      </c>
      <c r="C9" s="1265"/>
      <c r="D9" s="1264"/>
      <c r="E9" s="787" t="s">
        <v>3904</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3901</v>
      </c>
      <c r="C11" s="1264"/>
      <c r="D11" s="1268"/>
      <c r="E11" s="1264"/>
      <c r="F11" s="1264"/>
      <c r="G11" s="1264"/>
      <c r="H11" s="1264"/>
      <c r="I11" s="1264"/>
    </row>
    <row r="12" spans="2:13">
      <c r="B12" s="1269" t="s">
        <v>3143</v>
      </c>
      <c r="C12" s="1270"/>
      <c r="D12" s="1270"/>
      <c r="E12" s="1270"/>
      <c r="F12" s="1270"/>
      <c r="G12" s="1270"/>
      <c r="H12" s="1270"/>
      <c r="I12" s="1271" t="s">
        <v>1727</v>
      </c>
    </row>
    <row r="13" spans="2:13">
      <c r="B13" s="1272"/>
      <c r="C13" s="1273"/>
      <c r="D13" s="1264"/>
      <c r="E13" s="787" t="s">
        <v>3144</v>
      </c>
      <c r="F13" s="1264"/>
      <c r="G13" s="1264"/>
      <c r="H13" s="1264"/>
      <c r="I13" s="1274"/>
    </row>
    <row r="14" spans="2:13" ht="7.5" customHeight="1">
      <c r="B14" s="1275"/>
      <c r="C14" s="1264"/>
      <c r="D14" s="1264"/>
      <c r="E14" s="1264"/>
      <c r="F14" s="1268"/>
      <c r="G14" s="1264"/>
      <c r="H14" s="1264"/>
      <c r="I14" s="1274"/>
    </row>
    <row r="15" spans="2:13">
      <c r="B15" s="1275" t="s">
        <v>3239</v>
      </c>
      <c r="C15" s="1264"/>
      <c r="D15" s="1264"/>
      <c r="E15" s="1264"/>
      <c r="F15" s="807"/>
      <c r="G15" s="1264"/>
      <c r="H15" s="1264"/>
      <c r="I15" s="1276"/>
    </row>
    <row r="16" spans="2:13">
      <c r="B16" s="1277" t="s">
        <v>3905</v>
      </c>
      <c r="C16" s="1264"/>
      <c r="D16" s="1264"/>
      <c r="E16" s="1278" t="s">
        <v>3326</v>
      </c>
      <c r="F16" s="1264"/>
      <c r="G16" s="1264"/>
      <c r="H16" s="1264"/>
      <c r="I16" s="1276"/>
    </row>
    <row r="17" spans="2:9" ht="7.5" customHeight="1">
      <c r="B17" s="1272"/>
      <c r="C17" s="1264"/>
      <c r="D17" s="1264"/>
      <c r="E17" s="1264"/>
      <c r="F17" s="1264"/>
      <c r="G17" s="1264"/>
      <c r="H17" s="1264"/>
      <c r="I17" s="1274"/>
    </row>
    <row r="18" spans="2:9">
      <c r="B18" s="1275" t="s">
        <v>3145</v>
      </c>
      <c r="C18" s="1264"/>
      <c r="D18" s="1264"/>
      <c r="E18" s="1264"/>
      <c r="F18" s="1264"/>
      <c r="G18" s="1264"/>
      <c r="H18" s="1264"/>
      <c r="I18" s="1279" t="s">
        <v>1727</v>
      </c>
    </row>
    <row r="19" spans="2:9">
      <c r="B19" s="1280" t="s">
        <v>3906</v>
      </c>
      <c r="C19" s="1264"/>
      <c r="D19" s="1264"/>
      <c r="E19" s="1264"/>
      <c r="F19" s="1264"/>
      <c r="G19" s="1264"/>
      <c r="H19" s="1264"/>
      <c r="I19" s="1281"/>
    </row>
    <row r="20" spans="2:9" ht="7.5" customHeight="1">
      <c r="B20" s="1275"/>
      <c r="C20" s="1264"/>
      <c r="D20" s="1264"/>
      <c r="E20" s="1264"/>
      <c r="F20" s="1264"/>
      <c r="G20" s="1264"/>
      <c r="H20" s="1264"/>
      <c r="I20" s="1281"/>
    </row>
    <row r="21" spans="2:9">
      <c r="B21" s="1275" t="s">
        <v>3903</v>
      </c>
      <c r="C21" s="1264"/>
      <c r="D21" s="1264"/>
      <c r="E21" s="1264"/>
      <c r="F21" s="1264"/>
      <c r="G21" s="1264"/>
      <c r="H21" s="1264"/>
      <c r="I21" s="1276"/>
    </row>
    <row r="22" spans="2:9">
      <c r="B22" s="1280" t="s">
        <v>3907</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3908</v>
      </c>
      <c r="C25" s="1264"/>
      <c r="D25" s="1264"/>
      <c r="E25" s="1264"/>
      <c r="F25" s="1264"/>
      <c r="G25" s="1264"/>
      <c r="H25" s="1264"/>
      <c r="I25" s="1264"/>
    </row>
    <row r="26" spans="2:9" ht="3" customHeight="1">
      <c r="B26" s="1285"/>
      <c r="C26" s="1270"/>
      <c r="D26" s="1270"/>
      <c r="E26" s="1270"/>
      <c r="F26" s="1270"/>
      <c r="G26" s="1270"/>
      <c r="H26" s="1270"/>
      <c r="I26" s="1286"/>
    </row>
    <row r="27" spans="2:9">
      <c r="B27" s="1275" t="s">
        <v>3146</v>
      </c>
      <c r="C27" s="1264"/>
      <c r="D27" s="1287">
        <v>2</v>
      </c>
      <c r="F27" s="1264"/>
      <c r="G27" s="807" t="s">
        <v>3147</v>
      </c>
      <c r="H27" s="1264"/>
      <c r="I27" s="1288">
        <v>2</v>
      </c>
    </row>
    <row r="28" spans="2:9">
      <c r="B28" s="1272"/>
      <c r="C28" s="1278" t="s">
        <v>3148</v>
      </c>
      <c r="D28" s="1289"/>
      <c r="E28" s="1289"/>
      <c r="F28" s="1289"/>
      <c r="H28" s="1289" t="s">
        <v>3149</v>
      </c>
      <c r="I28" s="1274"/>
    </row>
    <row r="29" spans="2:9">
      <c r="B29" s="1272"/>
      <c r="C29" s="1278" t="s">
        <v>3150</v>
      </c>
      <c r="D29" s="1289"/>
      <c r="E29" s="1289"/>
      <c r="F29" s="1289"/>
      <c r="H29" s="1289" t="s">
        <v>3151</v>
      </c>
      <c r="I29" s="1274"/>
    </row>
    <row r="30" spans="2:9">
      <c r="B30" s="1272"/>
      <c r="C30" s="1278" t="s">
        <v>3152</v>
      </c>
      <c r="D30" s="1289"/>
      <c r="E30" s="1289"/>
      <c r="F30" s="1289"/>
      <c r="H30" s="1289" t="s">
        <v>3153</v>
      </c>
      <c r="I30" s="1274"/>
    </row>
    <row r="31" spans="2:9" ht="3" customHeight="1">
      <c r="B31" s="1282"/>
      <c r="C31" s="1283"/>
      <c r="D31" s="1283"/>
      <c r="E31" s="1283"/>
      <c r="F31" s="1283"/>
      <c r="G31" s="1283"/>
      <c r="H31" s="1283"/>
      <c r="I31" s="1284"/>
    </row>
    <row r="32" spans="2:9" ht="7.5" customHeight="1"/>
    <row r="33" spans="2:9" ht="15" customHeight="1">
      <c r="B33" s="726" t="s">
        <v>3910</v>
      </c>
    </row>
    <row r="34" spans="2:9" ht="3" customHeight="1">
      <c r="B34" s="1285"/>
      <c r="C34" s="1270"/>
      <c r="D34" s="1270"/>
      <c r="E34" s="1270"/>
      <c r="F34" s="1270"/>
      <c r="G34" s="1270"/>
      <c r="H34" s="1270"/>
      <c r="I34" s="1286"/>
    </row>
    <row r="35" spans="2:9">
      <c r="B35" s="1275" t="s">
        <v>3913</v>
      </c>
      <c r="C35" s="1264"/>
      <c r="D35" s="1264"/>
      <c r="F35" s="1290"/>
      <c r="H35" s="3417" t="s">
        <v>3922</v>
      </c>
      <c r="I35" s="3418"/>
    </row>
    <row r="36" spans="2:9">
      <c r="B36" s="1291" t="s">
        <v>3921</v>
      </c>
      <c r="C36" s="1289"/>
      <c r="D36" s="1289"/>
      <c r="E36" s="1264"/>
      <c r="F36" s="1533"/>
      <c r="G36" s="1292"/>
      <c r="H36" s="3417"/>
      <c r="I36" s="3418"/>
    </row>
    <row r="37" spans="2:9">
      <c r="B37" s="1291" t="s">
        <v>3919</v>
      </c>
      <c r="D37" s="1289"/>
      <c r="E37" s="1264"/>
      <c r="F37" s="1534"/>
      <c r="G37" s="1292"/>
      <c r="H37" s="3417"/>
      <c r="I37" s="3418"/>
    </row>
    <row r="38" spans="2:9">
      <c r="B38" s="1291" t="s">
        <v>3920</v>
      </c>
      <c r="D38" s="1264"/>
      <c r="E38" s="1264"/>
      <c r="F38" s="1534"/>
      <c r="G38" s="1292"/>
      <c r="H38" s="1292"/>
      <c r="I38" s="1293"/>
    </row>
    <row r="39" spans="2:9" ht="12.75" customHeight="1">
      <c r="B39" s="1291" t="s">
        <v>3918</v>
      </c>
      <c r="C39" s="1264"/>
      <c r="D39" s="1264"/>
      <c r="E39" s="1264"/>
      <c r="F39" s="1534"/>
      <c r="G39" s="1292"/>
      <c r="H39" s="1292"/>
      <c r="I39" s="1293"/>
    </row>
    <row r="40" spans="2:9">
      <c r="B40" s="1294" t="s">
        <v>3917</v>
      </c>
      <c r="C40" s="1295"/>
      <c r="D40" s="1296"/>
      <c r="E40" s="1297"/>
      <c r="F40" s="1534"/>
      <c r="G40" s="1297"/>
      <c r="H40" s="1532"/>
      <c r="I40" s="1274"/>
    </row>
    <row r="41" spans="2:9">
      <c r="B41" s="1294" t="s">
        <v>3916</v>
      </c>
      <c r="C41" s="1295"/>
      <c r="D41" s="1296"/>
      <c r="E41" s="1264"/>
      <c r="F41" s="1534"/>
      <c r="G41" s="1264"/>
      <c r="H41" s="1264"/>
      <c r="I41" s="1274"/>
    </row>
    <row r="42" spans="2:9">
      <c r="B42" s="1298" t="s">
        <v>3915</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3912</v>
      </c>
    </row>
    <row r="46" spans="2:9" ht="3" customHeight="1">
      <c r="B46" s="1285"/>
      <c r="C46" s="1270"/>
      <c r="D46" s="1270"/>
      <c r="E46" s="1270"/>
      <c r="F46" s="1270"/>
      <c r="G46" s="1270"/>
      <c r="H46" s="1270"/>
      <c r="I46" s="1286"/>
    </row>
    <row r="47" spans="2:9" ht="19.2">
      <c r="B47" s="1275" t="s">
        <v>3911</v>
      </c>
      <c r="C47" s="1264"/>
      <c r="D47" s="1300"/>
      <c r="E47" s="1301" t="str">
        <f>'Sensitivity Analysis'!H7</f>
        <v>New Construction</v>
      </c>
      <c r="F47" s="754" t="s">
        <v>3923</v>
      </c>
      <c r="H47" s="1264"/>
      <c r="I47" s="1274"/>
    </row>
    <row r="48" spans="2:9">
      <c r="B48" s="1280" t="s">
        <v>3154</v>
      </c>
      <c r="C48" s="1289"/>
      <c r="D48" s="1289" t="s">
        <v>3155</v>
      </c>
      <c r="E48" s="1264"/>
      <c r="F48" s="3426" t="str">
        <f>'Closing term sheet'!$C$30</f>
        <v>Spaulding Road</v>
      </c>
      <c r="G48" s="3427"/>
      <c r="H48" s="3427"/>
      <c r="I48" s="3428"/>
    </row>
    <row r="49" spans="2:9">
      <c r="B49" s="1280" t="s">
        <v>3156</v>
      </c>
      <c r="D49" s="1289" t="s">
        <v>3157</v>
      </c>
      <c r="E49" s="1264"/>
      <c r="F49" s="3429"/>
      <c r="G49" s="3430"/>
      <c r="H49" s="3430"/>
      <c r="I49" s="3431"/>
    </row>
    <row r="50" spans="2:9">
      <c r="B50" s="1280" t="s">
        <v>3158</v>
      </c>
      <c r="D50" s="1264"/>
      <c r="E50" s="1264"/>
      <c r="F50" s="1302"/>
      <c r="G50" s="1303"/>
      <c r="H50" s="1303"/>
      <c r="I50" s="1304"/>
    </row>
    <row r="51" spans="2:9" ht="7.5" customHeight="1">
      <c r="B51" s="1272"/>
      <c r="C51" s="1264"/>
      <c r="D51" s="1264"/>
      <c r="E51" s="1264"/>
      <c r="F51" s="1264"/>
      <c r="G51" s="1264"/>
      <c r="H51" s="1264"/>
      <c r="I51" s="1274"/>
    </row>
    <row r="52" spans="2:9">
      <c r="B52" s="1305" t="s">
        <v>3924</v>
      </c>
      <c r="C52" s="3394" t="str">
        <f>'Part I-Project Information'!F38</f>
        <v>Montezuma</v>
      </c>
      <c r="D52" s="3395"/>
      <c r="E52" s="1306" t="s">
        <v>3925</v>
      </c>
      <c r="F52" s="1266" t="s">
        <v>828</v>
      </c>
      <c r="G52" s="1306" t="s">
        <v>3926</v>
      </c>
      <c r="H52" s="1307">
        <f>'Part I-Project Information'!J38</f>
        <v>310631806</v>
      </c>
      <c r="I52" s="1274"/>
    </row>
    <row r="53" spans="2:9">
      <c r="B53" s="1305" t="s">
        <v>4088</v>
      </c>
      <c r="D53" s="1308" t="e">
        <f>VLOOKUP("='Part I-Project Information'!$J$39",'DCA Underwriting Assumptions'!$G$173:$O$332,9)</f>
        <v>#N/A</v>
      </c>
      <c r="I53" s="1274"/>
    </row>
    <row r="54" spans="2:9">
      <c r="B54" s="1305" t="s">
        <v>4089</v>
      </c>
      <c r="D54" s="1264"/>
      <c r="E54" s="1264"/>
      <c r="F54" s="1264"/>
      <c r="G54" s="1264"/>
      <c r="I54" s="1274"/>
    </row>
    <row r="55" spans="2:9">
      <c r="B55" s="1298" t="s">
        <v>4090</v>
      </c>
      <c r="D55" s="1309">
        <f>'Closing term sheet'!$D$33</f>
        <v>50</v>
      </c>
      <c r="E55" s="1310"/>
      <c r="F55" s="787" t="s">
        <v>3159</v>
      </c>
      <c r="G55" s="1264"/>
      <c r="H55" s="1264"/>
      <c r="I55" s="1274"/>
    </row>
    <row r="56" spans="2:9">
      <c r="B56" s="1298" t="s">
        <v>4092</v>
      </c>
      <c r="D56" s="1311">
        <f>'Closing term sheet'!$D$62</f>
        <v>7430272</v>
      </c>
      <c r="E56" s="1312"/>
      <c r="F56" s="787" t="s">
        <v>3160</v>
      </c>
      <c r="G56" s="1264"/>
      <c r="H56" s="1264"/>
      <c r="I56" s="1274"/>
    </row>
    <row r="57" spans="2:9">
      <c r="B57" s="1291" t="s">
        <v>4091</v>
      </c>
      <c r="D57" s="1313"/>
      <c r="F57" s="787" t="s">
        <v>3161</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00" t="s">
        <v>3162</v>
      </c>
      <c r="C61" s="3401"/>
      <c r="D61" s="3401"/>
      <c r="E61" s="3401"/>
      <c r="F61" s="3401"/>
      <c r="G61" s="3401"/>
      <c r="H61" s="3401"/>
      <c r="I61" s="3402"/>
    </row>
    <row r="62" spans="2:9" ht="7.5" customHeight="1">
      <c r="B62" s="3396"/>
      <c r="C62" s="3397"/>
      <c r="D62" s="3397"/>
      <c r="E62" s="1264"/>
      <c r="F62" s="1264"/>
      <c r="G62" s="1314"/>
      <c r="H62" s="1264"/>
      <c r="I62" s="1274"/>
    </row>
    <row r="63" spans="2:9">
      <c r="B63" s="1315" t="s">
        <v>3164</v>
      </c>
      <c r="C63" s="1264"/>
      <c r="D63" s="1309">
        <v>4</v>
      </c>
      <c r="F63" s="1264"/>
      <c r="G63" s="3398" t="s">
        <v>3163</v>
      </c>
      <c r="H63" s="3398"/>
      <c r="I63" s="3399"/>
    </row>
    <row r="64" spans="2:9">
      <c r="B64" s="1272"/>
      <c r="C64" s="1289" t="s">
        <v>3167</v>
      </c>
      <c r="D64" s="1289" t="s">
        <v>3168</v>
      </c>
      <c r="F64" s="1264"/>
      <c r="G64" s="799" t="s">
        <v>3165</v>
      </c>
      <c r="H64" s="1264"/>
      <c r="I64" s="1316">
        <f>'Closing term sheet'!$D$35</f>
        <v>50</v>
      </c>
    </row>
    <row r="65" spans="2:9">
      <c r="B65" s="1272"/>
      <c r="C65" s="1289" t="s">
        <v>3169</v>
      </c>
      <c r="D65" s="1289" t="s">
        <v>3170</v>
      </c>
      <c r="F65" s="1264"/>
      <c r="G65" s="1317" t="s">
        <v>3166</v>
      </c>
      <c r="H65" s="1264"/>
      <c r="I65" s="1316">
        <f>C42</f>
        <v>0</v>
      </c>
    </row>
    <row r="66" spans="2:9">
      <c r="B66" s="1280"/>
      <c r="C66" s="1289" t="s">
        <v>3171</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3172</v>
      </c>
      <c r="C70" s="1264"/>
      <c r="D70" s="1264"/>
      <c r="E70" s="1264"/>
      <c r="F70" s="1264"/>
      <c r="G70" s="1264"/>
      <c r="H70" s="1264"/>
      <c r="I70" s="1274"/>
    </row>
    <row r="71" spans="2:9" ht="7.5" customHeight="1">
      <c r="B71" s="1272"/>
      <c r="C71" s="1264"/>
      <c r="D71" s="1264"/>
      <c r="E71" s="1264"/>
      <c r="F71" s="1264"/>
      <c r="G71" s="1264"/>
      <c r="H71" s="1264"/>
      <c r="I71" s="1274"/>
    </row>
    <row r="72" spans="2:9">
      <c r="B72" s="1275" t="s">
        <v>3173</v>
      </c>
      <c r="D72" s="1264"/>
      <c r="E72" s="1264"/>
      <c r="F72" s="1264"/>
      <c r="G72" s="1264"/>
      <c r="H72" s="1264"/>
      <c r="I72" s="1300"/>
    </row>
    <row r="73" spans="2:9" ht="7.5" customHeight="1">
      <c r="B73" s="1272"/>
      <c r="C73" s="1264"/>
      <c r="D73" s="1264"/>
      <c r="E73" s="1264"/>
      <c r="F73" s="1264"/>
      <c r="G73" s="1264"/>
      <c r="H73" s="1264"/>
      <c r="I73" s="1274"/>
    </row>
    <row r="74" spans="2:9">
      <c r="B74" s="1272" t="s">
        <v>3174</v>
      </c>
      <c r="D74" s="1264"/>
      <c r="E74" s="1264"/>
      <c r="F74" s="1264" t="s">
        <v>3240</v>
      </c>
      <c r="G74" s="1264"/>
      <c r="H74" s="1264"/>
      <c r="I74" s="1319"/>
    </row>
    <row r="75" spans="2:9">
      <c r="B75" s="1272"/>
      <c r="E75" s="1264"/>
      <c r="F75" s="1264" t="s">
        <v>3241</v>
      </c>
      <c r="G75" s="1264"/>
      <c r="H75" s="1264"/>
      <c r="I75" s="1319"/>
    </row>
    <row r="76" spans="2:9">
      <c r="B76" s="1272"/>
      <c r="E76" s="1264"/>
      <c r="F76" s="1264" t="s">
        <v>3242</v>
      </c>
      <c r="G76" s="1264"/>
      <c r="H76" s="1264"/>
      <c r="I76" s="1319"/>
    </row>
    <row r="77" spans="2:9">
      <c r="B77" s="1272"/>
      <c r="E77" s="1264"/>
      <c r="F77" s="807" t="s">
        <v>3243</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00" t="s">
        <v>3175</v>
      </c>
      <c r="C81" s="3401"/>
      <c r="D81" s="3401"/>
      <c r="E81" s="3401"/>
      <c r="F81" s="3401"/>
      <c r="G81" s="3401"/>
      <c r="H81" s="3401"/>
      <c r="I81" s="3402"/>
    </row>
    <row r="82" spans="2:9">
      <c r="B82" s="1272"/>
      <c r="C82" s="1264"/>
      <c r="D82" s="1264"/>
      <c r="E82" s="1264"/>
      <c r="F82" s="1264"/>
      <c r="G82" s="1264"/>
      <c r="H82" s="1264"/>
      <c r="I82" s="1274"/>
    </row>
    <row r="83" spans="2:9">
      <c r="B83" s="1275" t="s">
        <v>3176</v>
      </c>
      <c r="C83" s="1264"/>
      <c r="D83" s="1264"/>
      <c r="E83" s="1264"/>
      <c r="F83" s="1264"/>
      <c r="G83" s="1264"/>
      <c r="H83" s="1264"/>
      <c r="I83" s="1274"/>
    </row>
    <row r="84" spans="2:9">
      <c r="B84" s="1272"/>
      <c r="C84" s="807" t="s">
        <v>3177</v>
      </c>
      <c r="D84" s="1264"/>
      <c r="E84" s="1264"/>
      <c r="F84" s="3422">
        <f>'Closing term sheet'!D62</f>
        <v>7430272</v>
      </c>
      <c r="G84" s="3422"/>
      <c r="H84" s="1264"/>
      <c r="I84" s="1274"/>
    </row>
    <row r="85" spans="2:9">
      <c r="B85" s="1272"/>
      <c r="C85" s="807" t="s">
        <v>3178</v>
      </c>
      <c r="D85" s="1264"/>
      <c r="E85" s="1264"/>
      <c r="F85" s="3393">
        <f>'Part III-Sources of Funds'!I45+'Part III-Sources of Funds'!L45</f>
        <v>57457.083561362124</v>
      </c>
      <c r="G85" s="3393"/>
      <c r="H85" s="1264"/>
      <c r="I85" s="1274"/>
    </row>
    <row r="86" spans="2:9">
      <c r="B86" s="1272"/>
      <c r="C86" s="807" t="s">
        <v>3179</v>
      </c>
      <c r="D86" s="1264"/>
      <c r="E86" s="1264"/>
      <c r="F86" s="3392"/>
      <c r="G86" s="3392"/>
      <c r="H86" s="1264"/>
      <c r="I86" s="1274"/>
    </row>
    <row r="87" spans="2:9">
      <c r="B87" s="1272"/>
      <c r="C87" s="1289" t="s">
        <v>3180</v>
      </c>
      <c r="D87" s="1264"/>
      <c r="E87" s="1264"/>
      <c r="F87" s="3393">
        <v>11000</v>
      </c>
      <c r="G87" s="3393"/>
      <c r="H87" s="1264"/>
      <c r="I87" s="1274"/>
    </row>
    <row r="88" spans="2:9">
      <c r="B88" s="1272"/>
      <c r="C88" s="807" t="s">
        <v>3181</v>
      </c>
      <c r="D88" s="1264"/>
      <c r="E88" s="1264"/>
      <c r="F88" s="3425"/>
      <c r="G88" s="3425"/>
      <c r="H88" s="1264"/>
      <c r="I88" s="1274"/>
    </row>
    <row r="89" spans="2:9">
      <c r="B89" s="1272"/>
      <c r="C89" s="787" t="s">
        <v>3182</v>
      </c>
      <c r="D89" s="1264"/>
      <c r="E89" s="1264"/>
      <c r="F89" s="3420">
        <f>SUM(F84:G88)</f>
        <v>7498729.0835613618</v>
      </c>
      <c r="G89" s="3420"/>
      <c r="H89" s="1264"/>
      <c r="I89" s="1274"/>
    </row>
    <row r="90" spans="2:9">
      <c r="B90" s="1272"/>
      <c r="C90" s="1264"/>
      <c r="D90" s="1264"/>
      <c r="E90" s="1264"/>
      <c r="F90" s="3421"/>
      <c r="G90" s="3421"/>
      <c r="H90" s="1264"/>
      <c r="I90" s="1274"/>
    </row>
    <row r="91" spans="2:9">
      <c r="B91" s="1275" t="s">
        <v>3183</v>
      </c>
      <c r="C91" s="1264"/>
      <c r="D91" s="1264"/>
      <c r="E91" s="1264"/>
      <c r="F91" s="1264"/>
      <c r="G91" s="1264"/>
      <c r="H91" s="1264"/>
      <c r="I91" s="1274"/>
    </row>
    <row r="92" spans="2:9">
      <c r="B92" s="1272"/>
      <c r="C92" s="807" t="s">
        <v>3184</v>
      </c>
      <c r="D92" s="1264"/>
      <c r="E92" s="1264"/>
      <c r="F92" s="3422"/>
      <c r="G92" s="3422"/>
      <c r="H92" s="1264"/>
      <c r="I92" s="1274"/>
    </row>
    <row r="93" spans="2:9">
      <c r="B93" s="1272"/>
      <c r="C93" s="807" t="s">
        <v>3185</v>
      </c>
      <c r="D93" s="1264"/>
      <c r="E93" s="1264"/>
      <c r="F93" s="3423"/>
      <c r="G93" s="3423"/>
      <c r="H93" s="1264"/>
      <c r="I93" s="1274"/>
    </row>
    <row r="94" spans="2:9">
      <c r="B94" s="1272"/>
      <c r="C94" s="807" t="s">
        <v>3186</v>
      </c>
      <c r="D94" s="1264"/>
      <c r="E94" s="1264"/>
      <c r="F94" s="3424" t="s">
        <v>3061</v>
      </c>
      <c r="G94" s="3419"/>
      <c r="H94" s="1264"/>
      <c r="I94" s="1274"/>
    </row>
    <row r="95" spans="2:9">
      <c r="B95" s="1272"/>
      <c r="C95" s="787" t="s">
        <v>3187</v>
      </c>
      <c r="D95" s="1264"/>
      <c r="E95" s="1264"/>
      <c r="F95" s="3420">
        <f>+SUM(F92:G94)</f>
        <v>0</v>
      </c>
      <c r="G95" s="3420"/>
      <c r="H95" s="1264"/>
      <c r="I95" s="1274"/>
    </row>
    <row r="96" spans="2:9">
      <c r="B96" s="1272"/>
      <c r="C96" s="1264"/>
      <c r="D96" s="1264"/>
      <c r="E96" s="1264"/>
      <c r="F96" s="1264"/>
      <c r="G96" s="1264"/>
      <c r="H96" s="1264"/>
      <c r="I96" s="1274"/>
    </row>
    <row r="97" spans="2:9">
      <c r="B97" s="1275" t="s">
        <v>3188</v>
      </c>
      <c r="C97" s="1264"/>
      <c r="D97" s="1264"/>
      <c r="E97" s="1264"/>
      <c r="F97" s="1264"/>
      <c r="G97" s="1264"/>
      <c r="H97" s="1264"/>
      <c r="I97" s="1274"/>
    </row>
    <row r="98" spans="2:9">
      <c r="B98" s="1272"/>
      <c r="C98" s="807" t="s">
        <v>3189</v>
      </c>
      <c r="D98" s="1264"/>
      <c r="E98" s="1264"/>
      <c r="F98" s="3422"/>
      <c r="G98" s="3422"/>
      <c r="H98" s="1264"/>
      <c r="I98" s="1274"/>
    </row>
    <row r="99" spans="2:9">
      <c r="B99" s="1272"/>
      <c r="C99" s="807" t="s">
        <v>3190</v>
      </c>
      <c r="D99" s="1264"/>
      <c r="E99" s="1264"/>
      <c r="F99" s="3423"/>
      <c r="G99" s="3423"/>
      <c r="H99" s="1264"/>
      <c r="I99" s="1274"/>
    </row>
    <row r="100" spans="2:9">
      <c r="B100" s="1272"/>
      <c r="C100" s="807" t="s">
        <v>3191</v>
      </c>
      <c r="D100" s="1264"/>
      <c r="E100" s="1264"/>
      <c r="F100" s="3425"/>
      <c r="G100" s="3425"/>
      <c r="H100" s="1264"/>
      <c r="I100" s="1274"/>
    </row>
    <row r="101" spans="2:9">
      <c r="B101" s="1272"/>
      <c r="C101" s="787" t="s">
        <v>3192</v>
      </c>
      <c r="D101" s="1264"/>
      <c r="E101" s="1264"/>
      <c r="F101" s="3420">
        <f>+SUM(F98:G100)</f>
        <v>0</v>
      </c>
      <c r="G101" s="3420"/>
      <c r="H101" s="1264"/>
      <c r="I101" s="1274"/>
    </row>
    <row r="102" spans="2:9">
      <c r="B102" s="1272"/>
      <c r="C102" s="1264"/>
      <c r="D102" s="1264"/>
      <c r="E102" s="1264"/>
      <c r="F102" s="1264"/>
      <c r="G102" s="1264"/>
      <c r="H102" s="1264"/>
      <c r="I102" s="1274"/>
    </row>
    <row r="103" spans="2:9">
      <c r="B103" s="1315" t="s">
        <v>3193</v>
      </c>
      <c r="C103" s="807"/>
      <c r="D103" s="1264"/>
      <c r="E103" s="1264"/>
      <c r="F103" s="3419">
        <f>'Part III-Sources of Funds'!I46+'Part III-Sources of Funds'!I47</f>
        <v>0</v>
      </c>
      <c r="G103" s="3419"/>
      <c r="H103" s="1264"/>
      <c r="I103" s="1274"/>
    </row>
    <row r="104" spans="2:9">
      <c r="B104" s="1272"/>
      <c r="C104" s="1264"/>
      <c r="D104" s="1264"/>
      <c r="E104" s="1264"/>
      <c r="F104" s="1264"/>
      <c r="G104" s="1264"/>
      <c r="H104" s="1264"/>
      <c r="I104" s="1320" t="s">
        <v>3194</v>
      </c>
    </row>
    <row r="105" spans="2:9">
      <c r="B105" s="1275" t="s">
        <v>3195</v>
      </c>
      <c r="C105" s="1264"/>
      <c r="D105" s="1264"/>
      <c r="E105" s="1264"/>
      <c r="F105" s="3419">
        <f>+F103+F101+F95+F89</f>
        <v>7498729.0835613618</v>
      </c>
      <c r="G105" s="3419"/>
      <c r="H105" s="1264"/>
      <c r="I105" s="1274"/>
    </row>
    <row r="106" spans="2:9">
      <c r="B106" s="1282"/>
      <c r="C106" s="1283"/>
      <c r="D106" s="1283"/>
      <c r="E106" s="1283"/>
      <c r="F106" s="1283"/>
      <c r="G106" s="1283"/>
      <c r="H106" s="1283"/>
      <c r="I106" s="1284"/>
    </row>
    <row r="108" spans="2:9">
      <c r="C108" s="1321" t="s">
        <v>2884</v>
      </c>
    </row>
    <row r="109" spans="2:9">
      <c r="C109" s="1321"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topLeftCell="A25" workbookViewId="0">
      <selection activeCell="A25" sqref="A1:XFD1048576"/>
    </sheetView>
  </sheetViews>
  <sheetFormatPr defaultColWidth="8.88671875" defaultRowHeight="15.6"/>
  <cols>
    <col min="1" max="1" width="2.109375" style="4225" customWidth="1"/>
    <col min="2" max="13" width="7.88671875" style="4225" customWidth="1"/>
    <col min="14" max="15" width="5.88671875" style="4225" customWidth="1"/>
    <col min="16" max="16384" width="8.88671875" style="4225"/>
  </cols>
  <sheetData>
    <row r="1" spans="1:26" ht="18">
      <c r="N1" s="4226" t="s">
        <v>1467</v>
      </c>
      <c r="O1" s="4226"/>
      <c r="P1" s="4226"/>
      <c r="Q1" s="4226"/>
      <c r="R1" s="4226"/>
      <c r="S1" s="4226"/>
      <c r="T1" s="4226"/>
      <c r="U1" s="4226"/>
      <c r="V1" s="4226"/>
      <c r="W1" s="4226"/>
      <c r="X1" s="4226"/>
      <c r="Y1" s="4226"/>
      <c r="Z1" s="4226"/>
    </row>
    <row r="2" spans="1:26">
      <c r="N2" s="4227" t="s">
        <v>1468</v>
      </c>
      <c r="O2" s="4227"/>
      <c r="P2" s="4227"/>
      <c r="Q2" s="4227"/>
      <c r="R2" s="4227"/>
      <c r="S2" s="4227"/>
      <c r="T2" s="4227"/>
      <c r="U2" s="4227"/>
      <c r="V2" s="4227"/>
      <c r="W2" s="4227"/>
      <c r="X2" s="4227"/>
      <c r="Y2" s="4227"/>
      <c r="Z2" s="4227"/>
    </row>
    <row r="3" spans="1:26">
      <c r="N3" s="4228" t="s">
        <v>1469</v>
      </c>
      <c r="O3" s="4228"/>
      <c r="P3" s="4228"/>
      <c r="Q3" s="4228"/>
      <c r="R3" s="4228"/>
      <c r="S3" s="4228"/>
      <c r="T3" s="4228"/>
      <c r="U3" s="4228"/>
      <c r="V3" s="4228"/>
      <c r="W3" s="4228"/>
      <c r="X3" s="4228"/>
      <c r="Y3" s="4228"/>
      <c r="Z3" s="4228"/>
    </row>
    <row r="4" spans="1:26">
      <c r="B4" s="4229"/>
      <c r="C4" s="4229"/>
      <c r="D4" s="4229"/>
      <c r="E4" s="4229"/>
      <c r="F4" s="4229"/>
      <c r="G4" s="4229"/>
      <c r="H4" s="4229"/>
      <c r="I4" s="4229"/>
      <c r="J4" s="4229"/>
      <c r="K4" s="4229"/>
      <c r="L4" s="4229"/>
      <c r="M4" s="4229"/>
      <c r="N4" s="4230" t="s">
        <v>684</v>
      </c>
    </row>
    <row r="5" spans="1:26" ht="59.25" customHeight="1">
      <c r="A5" s="4231" t="s">
        <v>2661</v>
      </c>
      <c r="B5" s="4231"/>
      <c r="C5" s="4231"/>
      <c r="D5" s="4231"/>
      <c r="E5" s="4231"/>
      <c r="F5" s="4231"/>
      <c r="G5" s="4231"/>
      <c r="H5" s="4231"/>
      <c r="I5" s="4231"/>
      <c r="J5" s="4231"/>
      <c r="K5" s="4231"/>
      <c r="L5" s="4231"/>
      <c r="M5" s="4231"/>
    </row>
    <row r="6" spans="1:26" ht="11.4" customHeight="1">
      <c r="A6" s="4229"/>
      <c r="B6" s="4229"/>
      <c r="C6" s="4229"/>
      <c r="D6" s="4229"/>
      <c r="E6" s="4229"/>
      <c r="F6" s="4229"/>
      <c r="G6" s="4229"/>
      <c r="H6" s="4229"/>
      <c r="I6" s="4229"/>
      <c r="J6" s="4229"/>
      <c r="K6" s="4229"/>
      <c r="L6" s="4229"/>
      <c r="M6" s="4229"/>
    </row>
    <row r="7" spans="1:26">
      <c r="A7" s="4229" t="s">
        <v>689</v>
      </c>
      <c r="B7" s="4229"/>
      <c r="C7" s="4229"/>
      <c r="D7" s="4229"/>
      <c r="E7" s="4229"/>
      <c r="F7" s="4229"/>
      <c r="G7" s="4229"/>
      <c r="H7" s="4229"/>
      <c r="I7" s="4229"/>
      <c r="J7" s="4229"/>
      <c r="K7" s="4229"/>
      <c r="L7" s="4229"/>
      <c r="M7" s="4229"/>
    </row>
    <row r="8" spans="1:26" ht="11.4" customHeight="1">
      <c r="A8" s="4229"/>
      <c r="B8" s="4229"/>
      <c r="C8" s="4229"/>
      <c r="D8" s="4229"/>
      <c r="E8" s="4229"/>
      <c r="F8" s="4229"/>
      <c r="G8" s="4229"/>
      <c r="H8" s="4229"/>
      <c r="I8" s="4229"/>
      <c r="J8" s="4229"/>
      <c r="K8" s="4229"/>
      <c r="L8" s="4229"/>
      <c r="M8" s="4229"/>
    </row>
    <row r="9" spans="1:26">
      <c r="A9" s="4232" t="s">
        <v>1858</v>
      </c>
      <c r="B9" s="4232"/>
      <c r="C9" s="4232"/>
      <c r="D9" s="4232"/>
      <c r="E9" s="4232"/>
      <c r="F9" s="4232"/>
      <c r="G9" s="4232"/>
      <c r="H9" s="4232"/>
      <c r="I9" s="4232"/>
      <c r="J9" s="4232"/>
      <c r="K9" s="4232"/>
      <c r="L9" s="4232"/>
      <c r="M9" s="4232"/>
    </row>
    <row r="10" spans="1:26" ht="6.75" customHeight="1">
      <c r="A10" s="4232"/>
      <c r="B10" s="4232"/>
      <c r="C10" s="4232"/>
      <c r="D10" s="4232"/>
      <c r="E10" s="4232"/>
      <c r="F10" s="4232"/>
      <c r="G10" s="4232"/>
      <c r="H10" s="4232"/>
      <c r="I10" s="4232"/>
      <c r="J10" s="4232"/>
      <c r="K10" s="4232"/>
      <c r="L10" s="4232"/>
      <c r="M10" s="4232"/>
    </row>
    <row r="11" spans="1:26" ht="44.25" customHeight="1">
      <c r="A11" s="4233" t="s">
        <v>4488</v>
      </c>
      <c r="B11" s="4233"/>
      <c r="C11" s="4233"/>
      <c r="D11" s="4233"/>
      <c r="E11" s="4233"/>
      <c r="F11" s="4233"/>
      <c r="G11" s="4233"/>
      <c r="H11" s="4233"/>
      <c r="I11" s="4233"/>
      <c r="J11" s="4233"/>
      <c r="K11" s="4233"/>
      <c r="L11" s="4233"/>
      <c r="M11" s="4233"/>
    </row>
    <row r="12" spans="1:26" ht="3" customHeight="1">
      <c r="A12" s="4232"/>
      <c r="B12" s="4232"/>
      <c r="C12" s="4232"/>
      <c r="D12" s="4232"/>
      <c r="E12" s="4232"/>
      <c r="F12" s="4232"/>
      <c r="G12" s="4232"/>
      <c r="H12" s="4232"/>
      <c r="I12" s="4232"/>
      <c r="J12" s="4232"/>
      <c r="K12" s="4232"/>
      <c r="L12" s="4232"/>
      <c r="M12" s="4232"/>
    </row>
    <row r="13" spans="1:26" ht="96" customHeight="1">
      <c r="A13" s="4234" t="s">
        <v>1694</v>
      </c>
      <c r="B13" s="4235" t="s">
        <v>3500</v>
      </c>
      <c r="C13" s="4235"/>
      <c r="D13" s="4235"/>
      <c r="E13" s="4235"/>
      <c r="F13" s="4235"/>
      <c r="G13" s="4235"/>
      <c r="H13" s="4235"/>
      <c r="I13" s="4235"/>
      <c r="J13" s="4235"/>
      <c r="K13" s="4235"/>
      <c r="L13" s="4235"/>
      <c r="M13" s="4235"/>
    </row>
    <row r="14" spans="1:26" ht="47.25" customHeight="1">
      <c r="A14" s="4234" t="s">
        <v>1695</v>
      </c>
      <c r="B14" s="4235" t="s">
        <v>3501</v>
      </c>
      <c r="C14" s="4235"/>
      <c r="D14" s="4235"/>
      <c r="E14" s="4235"/>
      <c r="F14" s="4235"/>
      <c r="G14" s="4235"/>
      <c r="H14" s="4235"/>
      <c r="I14" s="4235"/>
      <c r="J14" s="4235"/>
      <c r="K14" s="4235"/>
      <c r="L14" s="4235"/>
      <c r="M14" s="4235"/>
    </row>
    <row r="15" spans="1:26" ht="117" customHeight="1">
      <c r="A15" s="4234" t="s">
        <v>1696</v>
      </c>
      <c r="B15" s="4235" t="s">
        <v>3502</v>
      </c>
      <c r="C15" s="4235"/>
      <c r="D15" s="4235"/>
      <c r="E15" s="4235"/>
      <c r="F15" s="4235"/>
      <c r="G15" s="4235"/>
      <c r="H15" s="4235"/>
      <c r="I15" s="4235"/>
      <c r="J15" s="4235"/>
      <c r="K15" s="4235"/>
      <c r="L15" s="4235"/>
      <c r="M15" s="4235"/>
    </row>
    <row r="16" spans="1:26" ht="147" customHeight="1">
      <c r="A16" s="4234" t="s">
        <v>2304</v>
      </c>
      <c r="B16" s="4235" t="s">
        <v>3340</v>
      </c>
      <c r="C16" s="4235"/>
      <c r="D16" s="4235"/>
      <c r="E16" s="4235"/>
      <c r="F16" s="4235"/>
      <c r="G16" s="4235"/>
      <c r="H16" s="4235"/>
      <c r="I16" s="4235"/>
      <c r="J16" s="4235"/>
      <c r="K16" s="4235"/>
      <c r="L16" s="4235"/>
      <c r="M16" s="4235"/>
    </row>
    <row r="17" spans="1:13" ht="48.75" customHeight="1">
      <c r="A17" s="4234" t="s">
        <v>1516</v>
      </c>
      <c r="B17" s="4235" t="s">
        <v>665</v>
      </c>
      <c r="C17" s="4235"/>
      <c r="D17" s="4235"/>
      <c r="E17" s="4235"/>
      <c r="F17" s="4235"/>
      <c r="G17" s="4235"/>
      <c r="H17" s="4235"/>
      <c r="I17" s="4235"/>
      <c r="J17" s="4235"/>
      <c r="K17" s="4235"/>
      <c r="L17" s="4235"/>
      <c r="M17" s="4235"/>
    </row>
    <row r="18" spans="1:13" ht="165" customHeight="1">
      <c r="A18" s="4234" t="s">
        <v>1517</v>
      </c>
      <c r="B18" s="4235" t="s">
        <v>3339</v>
      </c>
      <c r="C18" s="4235"/>
      <c r="D18" s="4235"/>
      <c r="E18" s="4235"/>
      <c r="F18" s="4235"/>
      <c r="G18" s="4235"/>
      <c r="H18" s="4235"/>
      <c r="I18" s="4235"/>
      <c r="J18" s="4235"/>
      <c r="K18" s="4235"/>
      <c r="L18" s="4235"/>
      <c r="M18" s="4235"/>
    </row>
    <row r="19" spans="1:13" ht="48.75" customHeight="1">
      <c r="A19" s="4234" t="s">
        <v>96</v>
      </c>
      <c r="B19" s="4236" t="s">
        <v>3503</v>
      </c>
      <c r="C19" s="4236"/>
      <c r="D19" s="4236"/>
      <c r="E19" s="4236"/>
      <c r="F19" s="4236"/>
      <c r="G19" s="4236"/>
      <c r="H19" s="4236"/>
      <c r="I19" s="4236"/>
      <c r="J19" s="4236"/>
      <c r="K19" s="4236"/>
      <c r="L19" s="4236"/>
      <c r="M19" s="4236"/>
    </row>
    <row r="20" spans="1:13" ht="50.25" customHeight="1">
      <c r="A20" s="4234" t="s">
        <v>500</v>
      </c>
      <c r="B20" s="4235" t="s">
        <v>3342</v>
      </c>
      <c r="C20" s="4235"/>
      <c r="D20" s="4235"/>
      <c r="E20" s="4235"/>
      <c r="F20" s="4235"/>
      <c r="G20" s="4235"/>
      <c r="H20" s="4235"/>
      <c r="I20" s="4235"/>
      <c r="J20" s="4235"/>
      <c r="K20" s="4235"/>
      <c r="L20" s="4235"/>
      <c r="M20" s="4235"/>
    </row>
    <row r="21" spans="1:13" ht="31.5" customHeight="1">
      <c r="A21" s="4234" t="s">
        <v>501</v>
      </c>
      <c r="B21" s="4235" t="s">
        <v>3362</v>
      </c>
      <c r="C21" s="4235"/>
      <c r="D21" s="4235"/>
      <c r="E21" s="4235"/>
      <c r="F21" s="4235"/>
      <c r="G21" s="4235"/>
      <c r="H21" s="4235"/>
      <c r="I21" s="4235"/>
      <c r="J21" s="4235"/>
      <c r="K21" s="4235"/>
      <c r="L21" s="4235"/>
      <c r="M21" s="4235"/>
    </row>
    <row r="22" spans="1:13" ht="1.5" customHeight="1">
      <c r="A22" s="4232"/>
      <c r="B22" s="4232"/>
      <c r="C22" s="4232"/>
      <c r="D22" s="4232"/>
      <c r="E22" s="4232"/>
      <c r="F22" s="4232"/>
      <c r="G22" s="4232"/>
      <c r="H22" s="4232"/>
      <c r="I22" s="4232"/>
      <c r="J22" s="4232"/>
      <c r="K22" s="4232"/>
      <c r="L22" s="4232"/>
      <c r="M22" s="4232"/>
    </row>
    <row r="23" spans="1:13" ht="3" customHeight="1">
      <c r="A23" s="4232"/>
      <c r="B23" s="4232"/>
      <c r="C23" s="4232"/>
      <c r="D23" s="4232"/>
      <c r="E23" s="4232"/>
      <c r="F23" s="4232"/>
      <c r="G23" s="4232"/>
      <c r="H23" s="4232"/>
      <c r="I23" s="4232"/>
      <c r="J23" s="4232"/>
      <c r="K23" s="4232"/>
      <c r="L23" s="4232"/>
      <c r="M23" s="4232"/>
    </row>
    <row r="24" spans="1:13" ht="13.5" customHeight="1">
      <c r="A24" s="4232" t="s">
        <v>1436</v>
      </c>
      <c r="B24" s="4232"/>
      <c r="C24" s="4232"/>
      <c r="D24" s="4232"/>
      <c r="E24" s="4232"/>
      <c r="F24" s="4232"/>
      <c r="G24" s="4232"/>
      <c r="H24" s="4232"/>
      <c r="I24" s="4232"/>
      <c r="J24" s="4232"/>
      <c r="K24" s="4232"/>
      <c r="L24" s="4232"/>
      <c r="M24" s="4232"/>
    </row>
    <row r="25" spans="1:13" ht="32.25" customHeight="1">
      <c r="A25" s="4234" t="s">
        <v>1437</v>
      </c>
      <c r="B25" s="4235" t="s">
        <v>3363</v>
      </c>
      <c r="C25" s="4235"/>
      <c r="D25" s="4235"/>
      <c r="E25" s="4235"/>
      <c r="F25" s="4235"/>
      <c r="G25" s="4235"/>
      <c r="H25" s="4235"/>
      <c r="I25" s="4235"/>
      <c r="J25" s="4235"/>
      <c r="K25" s="4235"/>
      <c r="L25" s="4235"/>
      <c r="M25" s="4235"/>
    </row>
    <row r="26" spans="1:13" ht="31.5" customHeight="1">
      <c r="A26" s="4234" t="s">
        <v>1437</v>
      </c>
      <c r="B26" s="4235" t="s">
        <v>3364</v>
      </c>
      <c r="C26" s="4235"/>
      <c r="D26" s="4235"/>
      <c r="E26" s="4235"/>
      <c r="F26" s="4235"/>
      <c r="G26" s="4235"/>
      <c r="H26" s="4235"/>
      <c r="I26" s="4235"/>
      <c r="J26" s="4235"/>
      <c r="K26" s="4235"/>
      <c r="L26" s="4235"/>
      <c r="M26" s="4235"/>
    </row>
    <row r="27" spans="1:13" ht="78.75" customHeight="1">
      <c r="A27" s="4234" t="s">
        <v>1437</v>
      </c>
      <c r="B27" s="4235" t="s">
        <v>2662</v>
      </c>
      <c r="C27" s="4235"/>
      <c r="D27" s="4235"/>
      <c r="E27" s="4235"/>
      <c r="F27" s="4235"/>
      <c r="G27" s="4235"/>
      <c r="H27" s="4235"/>
      <c r="I27" s="4235"/>
      <c r="J27" s="4235"/>
      <c r="K27" s="4235"/>
      <c r="L27" s="4235"/>
      <c r="M27" s="4235"/>
    </row>
    <row r="28" spans="1:13" ht="7.5" customHeight="1">
      <c r="A28" s="4232"/>
      <c r="B28" s="4232"/>
      <c r="C28" s="4232"/>
      <c r="D28" s="4232"/>
      <c r="E28" s="4232"/>
      <c r="F28" s="4232"/>
      <c r="G28" s="4232"/>
      <c r="H28" s="4232"/>
      <c r="I28" s="4232"/>
      <c r="J28" s="4232"/>
      <c r="K28" s="4232"/>
      <c r="L28" s="4232"/>
      <c r="M28" s="4232"/>
    </row>
    <row r="29" spans="1:13" ht="43.5" customHeight="1">
      <c r="A29" s="4235" t="s">
        <v>924</v>
      </c>
      <c r="B29" s="4235"/>
      <c r="C29" s="4235"/>
      <c r="D29" s="4235"/>
      <c r="E29" s="4235"/>
      <c r="F29" s="4235"/>
      <c r="G29" s="4235"/>
      <c r="H29" s="4235"/>
      <c r="I29" s="4235"/>
      <c r="J29" s="4235"/>
      <c r="K29" s="4235"/>
      <c r="L29" s="4235"/>
      <c r="M29" s="4235"/>
    </row>
    <row r="30" spans="1:13" ht="3" customHeight="1">
      <c r="A30" s="4232"/>
      <c r="B30" s="4232"/>
      <c r="C30" s="4232"/>
      <c r="D30" s="4232"/>
      <c r="E30" s="4232"/>
      <c r="F30" s="4232"/>
      <c r="G30" s="4232"/>
      <c r="H30" s="4232"/>
      <c r="I30" s="4232"/>
      <c r="J30" s="4232"/>
      <c r="K30" s="4232"/>
      <c r="L30" s="4232"/>
      <c r="M30" s="4232"/>
    </row>
    <row r="31" spans="1:13" ht="32.25" customHeight="1">
      <c r="A31" s="4235" t="s">
        <v>2663</v>
      </c>
      <c r="B31" s="4235"/>
      <c r="C31" s="4235"/>
      <c r="D31" s="4235"/>
      <c r="E31" s="4235"/>
      <c r="F31" s="4235"/>
      <c r="G31" s="4235"/>
      <c r="H31" s="4235"/>
      <c r="I31" s="4235"/>
      <c r="J31" s="4235"/>
      <c r="K31" s="4235"/>
      <c r="L31" s="4235"/>
      <c r="M31" s="4235"/>
    </row>
    <row r="32" spans="1:13" ht="4.5" customHeight="1">
      <c r="A32" s="4232"/>
      <c r="B32" s="4232"/>
      <c r="C32" s="4232"/>
      <c r="D32" s="4232"/>
      <c r="E32" s="4232"/>
      <c r="F32" s="4232"/>
      <c r="G32" s="4232"/>
      <c r="H32" s="4232"/>
      <c r="I32" s="4232"/>
      <c r="J32" s="4232"/>
      <c r="K32" s="4232"/>
      <c r="L32" s="4232"/>
      <c r="M32" s="4232"/>
    </row>
    <row r="33" spans="1:13">
      <c r="A33" s="4232" t="s">
        <v>901</v>
      </c>
      <c r="B33" s="4232"/>
      <c r="C33" s="4232"/>
      <c r="D33" s="4232"/>
      <c r="E33" s="4232"/>
      <c r="F33" s="4232"/>
      <c r="G33" s="4232"/>
      <c r="H33" s="4232"/>
      <c r="I33" s="4232"/>
      <c r="J33" s="4232"/>
      <c r="K33" s="4232"/>
      <c r="L33" s="4232"/>
      <c r="M33" s="4232"/>
    </row>
    <row r="34" spans="1:13" ht="6" customHeight="1">
      <c r="A34" s="4237"/>
      <c r="B34" s="4237"/>
      <c r="C34" s="4237"/>
      <c r="D34" s="4237"/>
      <c r="E34" s="4237"/>
      <c r="F34" s="4237"/>
      <c r="G34" s="4237"/>
      <c r="H34" s="4237"/>
      <c r="I34" s="4237"/>
      <c r="J34" s="4237"/>
      <c r="K34" s="4237"/>
      <c r="L34" s="4237"/>
      <c r="M34" s="4237"/>
    </row>
    <row r="35" spans="1:13">
      <c r="A35" s="4238"/>
      <c r="B35" s="4238"/>
      <c r="C35" s="4238"/>
      <c r="D35" s="4238"/>
      <c r="E35" s="4238"/>
      <c r="F35" s="4238"/>
      <c r="G35" s="4239"/>
      <c r="H35" s="4238"/>
      <c r="I35" s="4238"/>
      <c r="J35" s="4238"/>
      <c r="K35" s="4238"/>
      <c r="L35" s="4238"/>
      <c r="M35" s="4238"/>
    </row>
    <row r="36" spans="1:13" ht="12" customHeight="1">
      <c r="A36" s="4240" t="s">
        <v>902</v>
      </c>
      <c r="B36" s="4240"/>
      <c r="C36" s="4240"/>
      <c r="D36" s="4240"/>
      <c r="E36" s="4240"/>
      <c r="F36" s="4240"/>
      <c r="G36" s="4239"/>
      <c r="H36" s="4240" t="s">
        <v>1932</v>
      </c>
      <c r="I36" s="4240"/>
      <c r="J36" s="4240"/>
      <c r="K36" s="4240"/>
      <c r="L36" s="4240"/>
      <c r="M36" s="4240"/>
    </row>
    <row r="37" spans="1:13" ht="6" customHeight="1">
      <c r="A37" s="4239"/>
      <c r="B37" s="4239"/>
      <c r="C37" s="4239"/>
      <c r="D37" s="4239"/>
      <c r="E37" s="4239"/>
      <c r="F37" s="4239"/>
      <c r="G37" s="4239"/>
      <c r="H37" s="4239"/>
      <c r="I37" s="4239"/>
      <c r="J37" s="4239"/>
      <c r="K37" s="4239"/>
      <c r="L37" s="4239"/>
      <c r="M37" s="4239"/>
    </row>
    <row r="38" spans="1:13">
      <c r="A38" s="4238"/>
      <c r="B38" s="4238"/>
      <c r="C38" s="4238"/>
      <c r="D38" s="4238"/>
      <c r="E38" s="4238"/>
      <c r="F38" s="4238"/>
      <c r="G38" s="4239"/>
      <c r="H38" s="4241"/>
      <c r="I38" s="4241"/>
      <c r="J38" s="4241"/>
      <c r="K38" s="4241"/>
      <c r="L38" s="4241"/>
      <c r="M38" s="4241"/>
    </row>
    <row r="39" spans="1:13" ht="12" customHeight="1">
      <c r="A39" s="4240" t="s">
        <v>903</v>
      </c>
      <c r="B39" s="4240"/>
      <c r="C39" s="4240"/>
      <c r="D39" s="4240"/>
      <c r="E39" s="4240"/>
      <c r="F39" s="4240"/>
      <c r="G39" s="4239"/>
      <c r="H39" s="4240" t="s">
        <v>904</v>
      </c>
      <c r="I39" s="4240"/>
      <c r="J39" s="4240"/>
      <c r="K39" s="4240"/>
      <c r="L39" s="4240"/>
      <c r="M39" s="4240"/>
    </row>
    <row r="40" spans="1:13" ht="3" customHeight="1">
      <c r="A40" s="4242"/>
      <c r="B40" s="4242"/>
      <c r="C40" s="4242"/>
      <c r="D40" s="4242"/>
      <c r="E40" s="4242"/>
      <c r="F40" s="4242"/>
      <c r="G40" s="4239"/>
      <c r="H40" s="4242"/>
      <c r="I40" s="4242"/>
      <c r="J40" s="4242"/>
      <c r="K40" s="4242"/>
      <c r="L40" s="4242"/>
      <c r="M40" s="4242"/>
    </row>
    <row r="41" spans="1:13" ht="11.4" customHeight="1">
      <c r="A41" s="4229"/>
      <c r="B41" s="4229"/>
      <c r="C41" s="4229"/>
      <c r="D41" s="4229"/>
      <c r="E41" s="4229"/>
      <c r="F41" s="4229"/>
      <c r="G41" s="4229"/>
      <c r="H41" s="4243" t="s">
        <v>905</v>
      </c>
      <c r="I41" s="4243"/>
      <c r="J41" s="4243"/>
      <c r="K41" s="4243"/>
      <c r="L41" s="4243"/>
      <c r="M41" s="4243"/>
    </row>
    <row r="42" spans="1:13" ht="11.4" customHeight="1">
      <c r="A42" s="4229"/>
      <c r="B42" s="4229"/>
      <c r="C42" s="4229"/>
      <c r="D42" s="4229"/>
      <c r="E42" s="4229"/>
      <c r="F42" s="4229"/>
      <c r="G42" s="4229"/>
    </row>
    <row r="43" spans="1:13" ht="11.4" customHeight="1">
      <c r="A43" s="4229"/>
      <c r="B43" s="4229"/>
      <c r="C43" s="4229"/>
      <c r="D43" s="4229"/>
      <c r="E43" s="4229"/>
      <c r="F43" s="4229"/>
      <c r="G43" s="4229"/>
      <c r="H43" s="4229"/>
      <c r="I43" s="4229"/>
      <c r="J43" s="4229"/>
      <c r="K43" s="4229"/>
      <c r="L43" s="4229"/>
      <c r="M43" s="4229"/>
    </row>
    <row r="44" spans="1:13" ht="11.4" customHeight="1">
      <c r="A44" s="4229"/>
      <c r="B44" s="4229"/>
      <c r="C44" s="4229"/>
      <c r="D44" s="4229"/>
      <c r="E44" s="4229"/>
      <c r="F44" s="4229"/>
      <c r="G44" s="4229"/>
      <c r="H44" s="4229"/>
      <c r="I44" s="4229"/>
      <c r="J44" s="4229"/>
      <c r="K44" s="4229"/>
      <c r="L44" s="4229"/>
      <c r="M44" s="4229"/>
    </row>
    <row r="45" spans="1:13" ht="11.4" customHeight="1"/>
    <row r="46" spans="1:13" ht="11.4" customHeight="1"/>
    <row r="47" spans="1:13" ht="11.4" customHeight="1"/>
    <row r="48" spans="1:13" ht="11.4" customHeight="1"/>
    <row r="49" ht="11.4" customHeight="1"/>
  </sheetData>
  <sheetProtection algorithmName="SHA-512" hashValue="/5sk0vyC57x+sudr7BJanVU+QDk5tZMEK5qWYLvBnYQGiz1O+zYX/RtAjW+Pz6Zbt4mp1yCBoo0cySmFY+hUew==" saltValue="RM3atGvXJYBjUdMhjeFvo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37" t="s">
        <v>703</v>
      </c>
      <c r="B2" s="3438"/>
      <c r="C2" s="3438"/>
      <c r="D2" s="3438"/>
      <c r="E2" s="3438"/>
      <c r="F2" s="3438"/>
      <c r="G2" s="3438"/>
      <c r="H2" s="3438"/>
      <c r="I2" s="3438"/>
      <c r="J2" s="3438"/>
      <c r="K2" s="3438"/>
      <c r="L2" s="3438"/>
      <c r="M2" s="3438"/>
      <c r="N2" s="3438"/>
      <c r="O2" s="3438"/>
      <c r="P2" s="3438"/>
      <c r="Q2" s="3438"/>
      <c r="R2" s="3439"/>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3461</v>
      </c>
      <c r="G11" s="170"/>
      <c r="H11" s="168"/>
      <c r="I11" s="168"/>
      <c r="J11" s="541" t="s">
        <v>3462</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4498</v>
      </c>
      <c r="G12" s="170"/>
      <c r="H12" s="168"/>
      <c r="I12" s="168"/>
      <c r="J12" s="541" t="s">
        <v>3441</v>
      </c>
      <c r="K12" s="280"/>
      <c r="M12" s="280"/>
      <c r="N12" s="280"/>
      <c r="O12" s="170"/>
      <c r="Q12" s="3432">
        <v>0.1</v>
      </c>
      <c r="R12" s="3433"/>
      <c r="S12" s="291"/>
      <c r="T12" s="168"/>
      <c r="U12" s="168"/>
      <c r="V12" s="945"/>
      <c r="W12" s="945"/>
      <c r="X12" s="945"/>
      <c r="AA12" s="502"/>
      <c r="AB12" s="502"/>
    </row>
    <row r="13" spans="1:28" s="270" customFormat="1" ht="12.75" customHeight="1">
      <c r="A13" s="170"/>
      <c r="B13" s="170"/>
      <c r="C13" s="170"/>
      <c r="F13" s="1563" t="s">
        <v>2633</v>
      </c>
      <c r="G13" s="1564"/>
      <c r="H13" s="1564"/>
      <c r="I13" s="1572" t="s">
        <v>4489</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4490</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4491</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4492</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4493</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4494</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40" t="s">
        <v>3251</v>
      </c>
      <c r="G20" s="3441"/>
      <c r="H20" s="3441"/>
      <c r="I20" s="3441"/>
      <c r="J20" s="3442"/>
      <c r="K20" s="280"/>
      <c r="L20" s="542" t="s">
        <v>3441</v>
      </c>
      <c r="M20" s="280"/>
      <c r="N20" s="3440" t="s">
        <v>3251</v>
      </c>
      <c r="O20" s="3441"/>
      <c r="P20" s="3441"/>
      <c r="Q20" s="3441"/>
      <c r="R20" s="3442"/>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3248</v>
      </c>
      <c r="L21" s="543" t="s">
        <v>2545</v>
      </c>
      <c r="M21" s="543" t="s">
        <v>1270</v>
      </c>
      <c r="N21" s="544">
        <v>0</v>
      </c>
      <c r="O21" s="545">
        <v>1</v>
      </c>
      <c r="P21" s="1010">
        <v>2</v>
      </c>
      <c r="Q21" s="1010">
        <v>3</v>
      </c>
      <c r="R21" s="546" t="s">
        <v>3248</v>
      </c>
      <c r="S21" s="291"/>
      <c r="T21" s="168"/>
      <c r="U21" s="168"/>
      <c r="V21" s="945"/>
      <c r="W21" s="945"/>
      <c r="X21" s="945"/>
      <c r="AA21" s="502"/>
      <c r="AB21" s="502"/>
    </row>
    <row r="22" spans="1:28" s="270" customFormat="1" ht="11.4" customHeight="1">
      <c r="A22" s="170"/>
      <c r="C22" s="311"/>
      <c r="D22" s="965" t="s">
        <v>1738</v>
      </c>
      <c r="E22" s="965" t="s">
        <v>3250</v>
      </c>
      <c r="F22" s="966">
        <v>141961</v>
      </c>
      <c r="G22" s="966">
        <v>183643</v>
      </c>
      <c r="H22" s="966">
        <v>219722</v>
      </c>
      <c r="I22" s="966">
        <v>261937</v>
      </c>
      <c r="J22" s="966">
        <v>308633</v>
      </c>
      <c r="L22" s="291" t="s">
        <v>1738</v>
      </c>
      <c r="M22" s="291" t="s">
        <v>3250</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3247</v>
      </c>
      <c r="F23" s="966">
        <v>110685</v>
      </c>
      <c r="G23" s="966">
        <v>154960</v>
      </c>
      <c r="H23" s="966">
        <v>199234</v>
      </c>
      <c r="I23" s="966">
        <v>265645</v>
      </c>
      <c r="J23" s="966">
        <v>332056</v>
      </c>
      <c r="L23" s="291" t="s">
        <v>1738</v>
      </c>
      <c r="M23" s="291" t="s">
        <v>3247</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3245</v>
      </c>
      <c r="F24" s="966">
        <v>122254</v>
      </c>
      <c r="G24" s="966">
        <v>159614</v>
      </c>
      <c r="H24" s="966">
        <v>193408</v>
      </c>
      <c r="I24" s="966">
        <v>236016</v>
      </c>
      <c r="J24" s="966">
        <v>279942</v>
      </c>
      <c r="L24" s="291" t="s">
        <v>1738</v>
      </c>
      <c r="M24" s="291" t="s">
        <v>3245</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3246</v>
      </c>
      <c r="F25" s="966">
        <v>107479</v>
      </c>
      <c r="G25" s="966">
        <v>146778</v>
      </c>
      <c r="H25" s="966">
        <v>185800</v>
      </c>
      <c r="I25" s="966">
        <v>244830</v>
      </c>
      <c r="J25" s="966">
        <v>303475</v>
      </c>
      <c r="L25" s="291" t="s">
        <v>1738</v>
      </c>
      <c r="M25" s="291" t="s">
        <v>3246</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3250</v>
      </c>
      <c r="F26" s="958">
        <v>141914</v>
      </c>
      <c r="G26" s="958">
        <v>183685</v>
      </c>
      <c r="H26" s="958">
        <v>219843</v>
      </c>
      <c r="I26" s="958">
        <v>262188</v>
      </c>
      <c r="J26" s="958">
        <v>309029</v>
      </c>
      <c r="L26" s="291" t="s">
        <v>162</v>
      </c>
      <c r="M26" s="291" t="s">
        <v>3250</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3247</v>
      </c>
      <c r="F27" s="958">
        <v>110625</v>
      </c>
      <c r="G27" s="958">
        <v>154874</v>
      </c>
      <c r="H27" s="958">
        <v>199124</v>
      </c>
      <c r="I27" s="958">
        <v>265499</v>
      </c>
      <c r="J27" s="958">
        <v>331874</v>
      </c>
      <c r="L27" s="291" t="s">
        <v>162</v>
      </c>
      <c r="M27" s="291" t="s">
        <v>3247</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3245</v>
      </c>
      <c r="F28" s="958">
        <v>121732</v>
      </c>
      <c r="G28" s="958">
        <v>159078</v>
      </c>
      <c r="H28" s="958">
        <v>192895</v>
      </c>
      <c r="I28" s="958">
        <v>235643</v>
      </c>
      <c r="J28" s="958">
        <v>279647</v>
      </c>
      <c r="L28" s="291" t="s">
        <v>162</v>
      </c>
      <c r="M28" s="291" t="s">
        <v>3245</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3246</v>
      </c>
      <c r="F29" s="958">
        <v>106625</v>
      </c>
      <c r="G29" s="958">
        <v>145495</v>
      </c>
      <c r="H29" s="958">
        <v>184080</v>
      </c>
      <c r="I29" s="958">
        <v>242466</v>
      </c>
      <c r="J29" s="958">
        <v>300459</v>
      </c>
      <c r="L29" s="291" t="s">
        <v>162</v>
      </c>
      <c r="M29" s="291" t="s">
        <v>3246</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3250</v>
      </c>
      <c r="F30" s="956">
        <v>153887</v>
      </c>
      <c r="G30" s="956">
        <v>199173</v>
      </c>
      <c r="H30" s="956">
        <v>238374</v>
      </c>
      <c r="I30" s="956">
        <v>284279</v>
      </c>
      <c r="J30" s="956">
        <v>335059</v>
      </c>
      <c r="L30" s="541" t="s">
        <v>1179</v>
      </c>
      <c r="M30" s="541" t="s">
        <v>3250</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3247</v>
      </c>
      <c r="F31" s="956">
        <v>119960</v>
      </c>
      <c r="G31" s="956">
        <v>167943</v>
      </c>
      <c r="H31" s="956">
        <v>215927</v>
      </c>
      <c r="I31" s="956">
        <v>287903</v>
      </c>
      <c r="J31" s="956">
        <v>359879</v>
      </c>
      <c r="L31" s="541" t="s">
        <v>1179</v>
      </c>
      <c r="M31" s="541" t="s">
        <v>3247</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3245</v>
      </c>
      <c r="F32" s="956">
        <v>132042</v>
      </c>
      <c r="G32" s="956">
        <v>172539</v>
      </c>
      <c r="H32" s="956">
        <v>209207</v>
      </c>
      <c r="I32" s="956">
        <v>255548</v>
      </c>
      <c r="J32" s="956">
        <v>303256</v>
      </c>
      <c r="L32" s="541" t="s">
        <v>1179</v>
      </c>
      <c r="M32" s="541" t="s">
        <v>3245</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3246</v>
      </c>
      <c r="F33" s="956">
        <v>115690</v>
      </c>
      <c r="G33" s="956">
        <v>157874</v>
      </c>
      <c r="H33" s="956">
        <v>199750</v>
      </c>
      <c r="I33" s="956">
        <v>263115</v>
      </c>
      <c r="J33" s="956">
        <v>326053</v>
      </c>
      <c r="L33" s="541" t="s">
        <v>1179</v>
      </c>
      <c r="M33" s="541" t="s">
        <v>3246</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3250</v>
      </c>
      <c r="F34" s="960">
        <v>143742</v>
      </c>
      <c r="G34" s="960">
        <v>185791</v>
      </c>
      <c r="H34" s="960">
        <v>222188</v>
      </c>
      <c r="I34" s="960">
        <v>264716</v>
      </c>
      <c r="J34" s="960">
        <v>311757</v>
      </c>
      <c r="L34" s="541" t="s">
        <v>1303</v>
      </c>
      <c r="M34" s="541" t="s">
        <v>3250</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3247</v>
      </c>
      <c r="F35" s="960">
        <v>112110</v>
      </c>
      <c r="G35" s="960">
        <v>156955</v>
      </c>
      <c r="H35" s="960">
        <v>201799</v>
      </c>
      <c r="I35" s="960">
        <v>269065</v>
      </c>
      <c r="J35" s="960">
        <v>336331</v>
      </c>
      <c r="L35" s="541" t="s">
        <v>1303</v>
      </c>
      <c r="M35" s="541" t="s">
        <v>3247</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3245</v>
      </c>
      <c r="F36" s="960">
        <v>124509</v>
      </c>
      <c r="G36" s="960">
        <v>162342</v>
      </c>
      <c r="H36" s="960">
        <v>196508</v>
      </c>
      <c r="I36" s="960">
        <v>239420</v>
      </c>
      <c r="J36" s="960">
        <v>283757</v>
      </c>
      <c r="L36" s="541" t="s">
        <v>1303</v>
      </c>
      <c r="M36" s="541" t="s">
        <v>3245</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3246</v>
      </c>
      <c r="F37" s="960">
        <v>110053</v>
      </c>
      <c r="G37" s="960">
        <v>150472</v>
      </c>
      <c r="H37" s="960">
        <v>190620</v>
      </c>
      <c r="I37" s="960">
        <v>251326</v>
      </c>
      <c r="J37" s="960">
        <v>311657</v>
      </c>
      <c r="L37" s="541" t="s">
        <v>1303</v>
      </c>
      <c r="M37" s="541" t="s">
        <v>3246</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3250</v>
      </c>
      <c r="F38" s="825">
        <v>152106</v>
      </c>
      <c r="G38" s="825">
        <v>197025</v>
      </c>
      <c r="H38" s="825">
        <v>235908</v>
      </c>
      <c r="I38" s="825">
        <v>281500</v>
      </c>
      <c r="J38" s="825">
        <v>331935</v>
      </c>
      <c r="L38" s="983" t="s">
        <v>1489</v>
      </c>
      <c r="M38" s="541" t="s">
        <v>3250</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3247</v>
      </c>
      <c r="F39" s="825">
        <v>118535</v>
      </c>
      <c r="G39" s="825">
        <v>165949</v>
      </c>
      <c r="H39" s="825">
        <v>213362</v>
      </c>
      <c r="I39" s="825">
        <v>284483</v>
      </c>
      <c r="J39" s="825">
        <v>355604</v>
      </c>
      <c r="L39" s="983" t="s">
        <v>1489</v>
      </c>
      <c r="M39" s="541" t="s">
        <v>3247</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3245</v>
      </c>
      <c r="F40" s="825">
        <v>129787</v>
      </c>
      <c r="G40" s="825">
        <v>169811</v>
      </c>
      <c r="H40" s="825">
        <v>206107</v>
      </c>
      <c r="I40" s="825">
        <v>252144</v>
      </c>
      <c r="J40" s="825">
        <v>299441</v>
      </c>
      <c r="L40" s="983" t="s">
        <v>1489</v>
      </c>
      <c r="M40" s="541" t="s">
        <v>3245</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3246</v>
      </c>
      <c r="F41" s="825">
        <v>113115</v>
      </c>
      <c r="G41" s="825">
        <v>154180</v>
      </c>
      <c r="H41" s="825">
        <v>194931</v>
      </c>
      <c r="I41" s="825">
        <v>256619</v>
      </c>
      <c r="J41" s="825">
        <v>317872</v>
      </c>
      <c r="L41" s="983" t="s">
        <v>1489</v>
      </c>
      <c r="M41" s="541" t="s">
        <v>3246</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3250</v>
      </c>
      <c r="F42" s="962">
        <v>140251</v>
      </c>
      <c r="G42" s="962">
        <v>181430</v>
      </c>
      <c r="H42" s="962">
        <v>217075</v>
      </c>
      <c r="I42" s="962">
        <v>258781</v>
      </c>
      <c r="J42" s="962">
        <v>304915</v>
      </c>
      <c r="L42" s="291" t="s">
        <v>157</v>
      </c>
      <c r="M42" s="291" t="s">
        <v>3250</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3247</v>
      </c>
      <c r="F43" s="962">
        <v>109352</v>
      </c>
      <c r="G43" s="962">
        <v>153093</v>
      </c>
      <c r="H43" s="962">
        <v>196833</v>
      </c>
      <c r="I43" s="962">
        <v>262445</v>
      </c>
      <c r="J43" s="962">
        <v>328056</v>
      </c>
      <c r="L43" s="291" t="s">
        <v>157</v>
      </c>
      <c r="M43" s="291" t="s">
        <v>3247</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3245</v>
      </c>
      <c r="F44" s="962">
        <v>120781</v>
      </c>
      <c r="G44" s="962">
        <v>157691</v>
      </c>
      <c r="H44" s="962">
        <v>191078</v>
      </c>
      <c r="I44" s="962">
        <v>233173</v>
      </c>
      <c r="J44" s="962">
        <v>276569</v>
      </c>
      <c r="L44" s="291" t="s">
        <v>157</v>
      </c>
      <c r="M44" s="291" t="s">
        <v>3245</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3246</v>
      </c>
      <c r="F45" s="962">
        <v>106184</v>
      </c>
      <c r="G45" s="962">
        <v>145010</v>
      </c>
      <c r="H45" s="962">
        <v>183562</v>
      </c>
      <c r="I45" s="962">
        <v>241880</v>
      </c>
      <c r="J45" s="962">
        <v>299819</v>
      </c>
      <c r="L45" s="291" t="s">
        <v>157</v>
      </c>
      <c r="M45" s="291" t="s">
        <v>3246</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3250</v>
      </c>
      <c r="F46" s="964">
        <v>143648</v>
      </c>
      <c r="G46" s="964">
        <v>185876</v>
      </c>
      <c r="H46" s="964">
        <v>222430</v>
      </c>
      <c r="I46" s="964">
        <v>265219</v>
      </c>
      <c r="J46" s="964">
        <v>312550</v>
      </c>
      <c r="L46" s="541" t="s">
        <v>1293</v>
      </c>
      <c r="M46" s="541" t="s">
        <v>3250</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3247</v>
      </c>
      <c r="F47" s="964">
        <v>111989</v>
      </c>
      <c r="G47" s="964">
        <v>156784</v>
      </c>
      <c r="H47" s="964">
        <v>201579</v>
      </c>
      <c r="I47" s="964">
        <v>268773</v>
      </c>
      <c r="J47" s="964">
        <v>335966</v>
      </c>
      <c r="L47" s="541" t="s">
        <v>1293</v>
      </c>
      <c r="M47" s="541" t="s">
        <v>3247</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3245</v>
      </c>
      <c r="F48" s="964">
        <v>123466</v>
      </c>
      <c r="G48" s="964">
        <v>161269</v>
      </c>
      <c r="H48" s="964">
        <v>195482</v>
      </c>
      <c r="I48" s="964">
        <v>238673</v>
      </c>
      <c r="J48" s="964">
        <v>283167</v>
      </c>
      <c r="L48" s="541" t="s">
        <v>1293</v>
      </c>
      <c r="M48" s="541" t="s">
        <v>3245</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3246</v>
      </c>
      <c r="F49" s="964">
        <v>108347</v>
      </c>
      <c r="G49" s="964">
        <v>147905</v>
      </c>
      <c r="H49" s="964">
        <v>187179</v>
      </c>
      <c r="I49" s="964">
        <v>246598</v>
      </c>
      <c r="J49" s="964">
        <v>305623</v>
      </c>
      <c r="L49" s="541" t="s">
        <v>1293</v>
      </c>
      <c r="M49" s="541" t="s">
        <v>3246</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3250</v>
      </c>
      <c r="F50" s="956">
        <v>146202</v>
      </c>
      <c r="G50" s="956">
        <v>189206</v>
      </c>
      <c r="H50" s="956">
        <v>226431</v>
      </c>
      <c r="I50" s="956">
        <v>270015</v>
      </c>
      <c r="J50" s="956">
        <v>318226</v>
      </c>
      <c r="L50" s="541" t="s">
        <v>1299</v>
      </c>
      <c r="M50" s="541" t="s">
        <v>3250</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3247</v>
      </c>
      <c r="F51" s="956">
        <v>113974</v>
      </c>
      <c r="G51" s="956">
        <v>159563</v>
      </c>
      <c r="H51" s="956">
        <v>205153</v>
      </c>
      <c r="I51" s="956">
        <v>273537</v>
      </c>
      <c r="J51" s="956">
        <v>341921</v>
      </c>
      <c r="L51" s="541" t="s">
        <v>1299</v>
      </c>
      <c r="M51" s="541" t="s">
        <v>3247</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3245</v>
      </c>
      <c r="F52" s="956">
        <v>125545</v>
      </c>
      <c r="G52" s="956">
        <v>164019</v>
      </c>
      <c r="H52" s="956">
        <v>198849</v>
      </c>
      <c r="I52" s="956">
        <v>242845</v>
      </c>
      <c r="J52" s="956">
        <v>288152</v>
      </c>
      <c r="L52" s="541" t="s">
        <v>1299</v>
      </c>
      <c r="M52" s="541" t="s">
        <v>3245</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3246</v>
      </c>
      <c r="F53" s="956">
        <v>110076</v>
      </c>
      <c r="G53" s="956">
        <v>150237</v>
      </c>
      <c r="H53" s="956">
        <v>190106</v>
      </c>
      <c r="I53" s="956">
        <v>250432</v>
      </c>
      <c r="J53" s="956">
        <v>310354</v>
      </c>
      <c r="L53" s="541" t="s">
        <v>1299</v>
      </c>
      <c r="M53" s="541" t="s">
        <v>3246</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3250</v>
      </c>
      <c r="F54" s="960">
        <v>133316</v>
      </c>
      <c r="G54" s="960">
        <v>172665</v>
      </c>
      <c r="H54" s="960">
        <v>206728</v>
      </c>
      <c r="I54" s="960">
        <v>246660</v>
      </c>
      <c r="J54" s="960">
        <v>290833</v>
      </c>
      <c r="L54" s="541" t="s">
        <v>1654</v>
      </c>
      <c r="M54" s="541" t="s">
        <v>3250</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3247</v>
      </c>
      <c r="F55" s="960">
        <v>103896</v>
      </c>
      <c r="G55" s="960">
        <v>145454</v>
      </c>
      <c r="H55" s="960">
        <v>187013</v>
      </c>
      <c r="I55" s="960">
        <v>249350</v>
      </c>
      <c r="J55" s="960">
        <v>311688</v>
      </c>
      <c r="L55" s="541" t="s">
        <v>1654</v>
      </c>
      <c r="M55" s="541" t="s">
        <v>3247</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3245</v>
      </c>
      <c r="F56" s="960">
        <v>113846</v>
      </c>
      <c r="G56" s="960">
        <v>148926</v>
      </c>
      <c r="H56" s="960">
        <v>180731</v>
      </c>
      <c r="I56" s="960">
        <v>221052</v>
      </c>
      <c r="J56" s="960">
        <v>262488</v>
      </c>
      <c r="L56" s="541" t="s">
        <v>1654</v>
      </c>
      <c r="M56" s="541" t="s">
        <v>3245</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3246</v>
      </c>
      <c r="F57" s="960">
        <v>99297</v>
      </c>
      <c r="G57" s="960">
        <v>135369</v>
      </c>
      <c r="H57" s="960">
        <v>171167</v>
      </c>
      <c r="I57" s="960">
        <v>225354</v>
      </c>
      <c r="J57" s="960">
        <v>279161</v>
      </c>
      <c r="L57" s="541" t="s">
        <v>1654</v>
      </c>
      <c r="M57" s="541" t="s">
        <v>3246</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3487</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3486</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3695</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3315</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3645</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3696</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3696</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3697</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3697</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3697</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3631</v>
      </c>
      <c r="C81" s="170"/>
      <c r="D81" s="170"/>
      <c r="E81" s="168"/>
      <c r="F81" s="172" t="s">
        <v>3357</v>
      </c>
      <c r="G81" s="170"/>
      <c r="H81" s="168"/>
      <c r="I81" s="168"/>
      <c r="J81" s="170" t="s">
        <v>1174</v>
      </c>
      <c r="K81" s="170"/>
      <c r="L81" s="170"/>
      <c r="M81" s="170"/>
      <c r="N81" s="170"/>
      <c r="O81" s="170"/>
      <c r="P81" s="168"/>
      <c r="Q81" s="3443">
        <v>1000</v>
      </c>
      <c r="R81" s="3444"/>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3">
        <v>500</v>
      </c>
      <c r="R82" s="3444"/>
      <c r="S82" s="282"/>
      <c r="T82" s="282"/>
      <c r="U82" s="282"/>
      <c r="AA82" s="502"/>
      <c r="AB82" s="502"/>
    </row>
    <row r="83" spans="1:28" s="270" customFormat="1" ht="11.4" customHeight="1">
      <c r="A83" s="170"/>
      <c r="B83" s="170"/>
      <c r="C83" s="170"/>
      <c r="D83" s="170"/>
      <c r="E83" s="168"/>
      <c r="F83" s="172" t="s">
        <v>3704</v>
      </c>
      <c r="G83" s="170"/>
      <c r="H83" s="168"/>
      <c r="I83" s="168"/>
      <c r="J83" s="172" t="s">
        <v>3700</v>
      </c>
      <c r="K83" s="170"/>
      <c r="L83" s="170"/>
      <c r="M83" s="170"/>
      <c r="N83" s="170"/>
      <c r="O83" s="170"/>
      <c r="P83" s="168"/>
      <c r="Q83" s="3443">
        <v>1500</v>
      </c>
      <c r="R83" s="3444"/>
      <c r="S83" s="282"/>
      <c r="T83" s="282"/>
      <c r="U83" s="282"/>
      <c r="AA83" s="502"/>
      <c r="AB83" s="502"/>
    </row>
    <row r="84" spans="1:28" s="270" customFormat="1" ht="11.4" customHeight="1">
      <c r="A84" s="170"/>
      <c r="B84" s="170"/>
      <c r="C84" s="170"/>
      <c r="D84" s="170"/>
      <c r="E84" s="168"/>
      <c r="G84" s="170"/>
      <c r="H84" s="168"/>
      <c r="I84" s="168"/>
      <c r="J84" s="172" t="s">
        <v>3701</v>
      </c>
      <c r="K84" s="170"/>
      <c r="L84" s="170"/>
      <c r="M84" s="170"/>
      <c r="N84" s="170"/>
      <c r="O84" s="170"/>
      <c r="P84" s="168"/>
      <c r="Q84" s="3443">
        <v>1500</v>
      </c>
      <c r="R84" s="3444"/>
      <c r="S84" s="282"/>
      <c r="T84" s="282"/>
      <c r="U84" s="282"/>
      <c r="AA84" s="502"/>
      <c r="AB84" s="502"/>
    </row>
    <row r="85" spans="1:28" s="270" customFormat="1" ht="11.4" customHeight="1">
      <c r="A85" s="170"/>
      <c r="B85" s="170"/>
      <c r="C85" s="170"/>
      <c r="D85" s="170"/>
      <c r="E85" s="168"/>
      <c r="G85" s="170"/>
      <c r="H85" s="168"/>
      <c r="I85" s="168"/>
      <c r="J85" s="172" t="s">
        <v>3702</v>
      </c>
      <c r="K85" s="170"/>
      <c r="L85" s="170"/>
      <c r="M85" s="170"/>
      <c r="N85" s="170"/>
      <c r="O85" s="170"/>
      <c r="P85" s="168"/>
      <c r="Q85" s="3443">
        <v>1500</v>
      </c>
      <c r="R85" s="3444"/>
      <c r="S85" s="282"/>
      <c r="T85" s="282"/>
      <c r="U85" s="282"/>
      <c r="AA85" s="502"/>
      <c r="AB85" s="502"/>
    </row>
    <row r="86" spans="1:28" s="270" customFormat="1" ht="11.4" customHeight="1">
      <c r="A86" s="170"/>
      <c r="B86" s="170"/>
      <c r="C86" s="170"/>
      <c r="D86" s="170"/>
      <c r="E86" s="168"/>
      <c r="G86" s="170"/>
      <c r="H86" s="168"/>
      <c r="I86" s="168"/>
      <c r="J86" s="172" t="s">
        <v>3703</v>
      </c>
      <c r="K86" s="170"/>
      <c r="L86" s="170"/>
      <c r="M86" s="170"/>
      <c r="N86" s="170"/>
      <c r="O86" s="170"/>
      <c r="P86" s="168"/>
      <c r="Q86" s="3443">
        <v>1500</v>
      </c>
      <c r="R86" s="3444"/>
      <c r="S86" s="282"/>
      <c r="T86" s="282"/>
      <c r="U86" s="282"/>
      <c r="AA86" s="502"/>
      <c r="AB86" s="502"/>
    </row>
    <row r="87" spans="1:28" s="270" customFormat="1" ht="11.4" customHeight="1">
      <c r="A87" s="170"/>
      <c r="B87" s="170"/>
      <c r="C87" s="170"/>
      <c r="D87" s="170"/>
      <c r="E87" s="168"/>
      <c r="F87" s="172" t="s">
        <v>4233</v>
      </c>
      <c r="G87" s="170"/>
      <c r="H87" s="168"/>
      <c r="I87" s="168"/>
      <c r="J87" s="170" t="s">
        <v>1174</v>
      </c>
      <c r="K87" s="170"/>
      <c r="L87" s="170"/>
      <c r="M87" s="170"/>
      <c r="N87" s="170"/>
      <c r="O87" s="170"/>
      <c r="P87" s="168"/>
      <c r="Q87" s="3443">
        <v>6500</v>
      </c>
      <c r="R87" s="3444"/>
      <c r="S87" s="282"/>
      <c r="T87" s="282"/>
      <c r="U87" s="282"/>
      <c r="AA87" s="502"/>
      <c r="AB87" s="502"/>
    </row>
    <row r="88" spans="1:28" s="270" customFormat="1" ht="11.4" customHeight="1">
      <c r="A88" s="170"/>
      <c r="B88" s="170"/>
      <c r="C88" s="170"/>
      <c r="D88" s="170"/>
      <c r="E88" s="168"/>
      <c r="F88" s="172" t="s">
        <v>4233</v>
      </c>
      <c r="G88" s="170"/>
      <c r="H88" s="168"/>
      <c r="I88" s="168"/>
      <c r="J88" s="170" t="s">
        <v>1175</v>
      </c>
      <c r="K88" s="170"/>
      <c r="L88" s="170"/>
      <c r="M88" s="170"/>
      <c r="N88" s="170"/>
      <c r="O88" s="170"/>
      <c r="P88" s="168"/>
      <c r="Q88" s="3443">
        <v>5500</v>
      </c>
      <c r="R88" s="3444"/>
      <c r="S88" s="282"/>
      <c r="T88" s="282"/>
      <c r="U88" s="282"/>
      <c r="AA88" s="502"/>
      <c r="AB88" s="502"/>
    </row>
    <row r="89" spans="1:28" s="270" customFormat="1" ht="11.4" customHeight="1">
      <c r="A89" s="170"/>
      <c r="B89" s="170"/>
      <c r="C89" s="170"/>
      <c r="D89" s="170"/>
      <c r="E89" s="168"/>
      <c r="F89" s="172" t="s">
        <v>3323</v>
      </c>
      <c r="G89" s="170"/>
      <c r="H89" s="168"/>
      <c r="I89" s="168"/>
      <c r="J89" s="170"/>
      <c r="K89" s="170"/>
      <c r="L89" s="170"/>
      <c r="M89" s="170"/>
      <c r="N89" s="170"/>
      <c r="O89" s="170"/>
      <c r="P89" s="168"/>
      <c r="Q89" s="3443">
        <v>5000</v>
      </c>
      <c r="R89" s="3444"/>
      <c r="S89" s="282"/>
      <c r="T89" s="282"/>
      <c r="U89" s="282"/>
      <c r="AA89" s="502"/>
      <c r="AB89" s="502"/>
    </row>
    <row r="90" spans="1:28" s="270" customFormat="1" ht="11.4" customHeight="1">
      <c r="A90" s="170"/>
      <c r="B90" s="170"/>
      <c r="C90" s="170"/>
      <c r="D90" s="170"/>
      <c r="E90" s="168"/>
      <c r="F90" s="172"/>
      <c r="G90" s="170" t="s">
        <v>4231</v>
      </c>
      <c r="H90" s="168"/>
      <c r="I90" s="168"/>
      <c r="J90" s="170" t="s">
        <v>4232</v>
      </c>
      <c r="K90" s="170"/>
      <c r="L90" s="170"/>
      <c r="M90" s="170"/>
      <c r="N90" s="170"/>
      <c r="O90" s="170"/>
      <c r="P90" s="168"/>
      <c r="Q90" s="3443">
        <v>500</v>
      </c>
      <c r="R90" s="3444"/>
      <c r="S90" s="282"/>
      <c r="T90" s="282"/>
      <c r="U90" s="282"/>
      <c r="AA90" s="502"/>
      <c r="AB90" s="502"/>
    </row>
    <row r="91" spans="1:28" s="270" customFormat="1" ht="11.4" customHeight="1">
      <c r="A91" s="170"/>
      <c r="B91" s="170"/>
      <c r="C91" s="170"/>
      <c r="D91" s="170"/>
      <c r="E91" s="168"/>
      <c r="F91" s="172" t="s">
        <v>3698</v>
      </c>
      <c r="G91" s="170"/>
      <c r="H91" s="168"/>
      <c r="I91" s="168"/>
      <c r="J91" s="170"/>
      <c r="K91" s="170"/>
      <c r="L91" s="170"/>
      <c r="M91" s="170"/>
      <c r="N91" s="170"/>
      <c r="O91" s="170"/>
      <c r="P91" s="168"/>
      <c r="Q91" s="3443">
        <v>1500</v>
      </c>
      <c r="R91" s="3444"/>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36">
        <v>0.08</v>
      </c>
      <c r="R92" s="3436"/>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36">
        <v>0.08</v>
      </c>
      <c r="R93" s="3436"/>
      <c r="S93" s="282"/>
      <c r="T93" s="282"/>
      <c r="U93" s="282"/>
      <c r="AA93" s="502"/>
      <c r="AB93" s="502"/>
    </row>
    <row r="94" spans="1:28" s="270" customFormat="1" ht="11.4" customHeight="1">
      <c r="A94" s="170"/>
      <c r="C94" s="170"/>
      <c r="D94" s="168"/>
      <c r="E94" s="168"/>
      <c r="F94" s="172" t="s">
        <v>4234</v>
      </c>
      <c r="H94" s="170"/>
      <c r="I94" s="168"/>
      <c r="J94" s="170"/>
      <c r="K94" s="170"/>
      <c r="L94" s="170"/>
      <c r="M94" s="170"/>
      <c r="N94" s="170"/>
      <c r="O94" s="170"/>
      <c r="P94" s="168"/>
      <c r="Q94" s="3443">
        <v>3000</v>
      </c>
      <c r="R94" s="3444"/>
      <c r="S94" s="282"/>
      <c r="T94" s="282"/>
      <c r="U94" s="282"/>
      <c r="AA94" s="502"/>
      <c r="AB94" s="502"/>
    </row>
    <row r="95" spans="1:28" s="270" customFormat="1" ht="11.4" customHeight="1">
      <c r="A95" s="170"/>
      <c r="C95" s="170"/>
      <c r="D95" s="168"/>
      <c r="E95" s="168"/>
      <c r="F95" s="172" t="s">
        <v>3644</v>
      </c>
      <c r="H95" s="170"/>
      <c r="I95" s="168"/>
      <c r="J95" s="170"/>
      <c r="K95" s="170"/>
      <c r="L95" s="170"/>
      <c r="M95" s="170"/>
      <c r="N95" s="170"/>
      <c r="O95" s="170"/>
      <c r="P95" s="168"/>
      <c r="Q95" s="3443">
        <v>1500</v>
      </c>
      <c r="R95" s="3444"/>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3">
        <v>800</v>
      </c>
      <c r="R96" s="3444"/>
      <c r="S96" s="282"/>
      <c r="T96" s="282"/>
      <c r="U96" s="282"/>
      <c r="AA96" s="502"/>
      <c r="AB96" s="502"/>
    </row>
    <row r="97" spans="1:28" s="270" customFormat="1" ht="11.4" customHeight="1">
      <c r="A97" s="170"/>
      <c r="C97" s="170"/>
      <c r="D97" s="168"/>
      <c r="E97" s="168"/>
      <c r="F97" s="170"/>
      <c r="H97" s="170"/>
      <c r="I97" s="170" t="s">
        <v>4235</v>
      </c>
      <c r="J97" s="170" t="s">
        <v>1498</v>
      </c>
      <c r="K97" s="170"/>
      <c r="L97" s="170"/>
      <c r="M97" s="170"/>
      <c r="N97" s="170"/>
      <c r="O97" s="170"/>
      <c r="P97" s="168"/>
      <c r="Q97" s="3443">
        <v>1000</v>
      </c>
      <c r="R97" s="3444"/>
      <c r="S97" s="282"/>
      <c r="T97" s="282"/>
      <c r="U97" s="282"/>
      <c r="AA97" s="502"/>
      <c r="AB97" s="502"/>
    </row>
    <row r="98" spans="1:28" s="270" customFormat="1" ht="11.4" customHeight="1">
      <c r="A98" s="170"/>
      <c r="B98" s="170"/>
      <c r="C98" s="170"/>
      <c r="D98" s="168"/>
      <c r="E98" s="168"/>
      <c r="H98" s="172" t="s">
        <v>2605</v>
      </c>
      <c r="I98" s="293"/>
      <c r="J98" s="172" t="s">
        <v>1498</v>
      </c>
      <c r="K98" s="172" t="s">
        <v>3656</v>
      </c>
      <c r="L98" s="172"/>
      <c r="M98" s="172"/>
      <c r="N98" s="172"/>
      <c r="O98" s="172"/>
      <c r="P98" s="293"/>
      <c r="Q98" s="3443">
        <v>800</v>
      </c>
      <c r="R98" s="3444"/>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443">
        <v>1500</v>
      </c>
      <c r="R99" s="3444"/>
      <c r="S99" s="282"/>
      <c r="T99" s="282"/>
      <c r="U99" s="282"/>
      <c r="AA99" s="502"/>
      <c r="AB99" s="502"/>
    </row>
    <row r="100" spans="1:28" s="270" customFormat="1" ht="11.4" customHeight="1">
      <c r="A100" s="170"/>
      <c r="B100" s="170"/>
      <c r="C100" s="170"/>
      <c r="D100" s="168"/>
      <c r="E100" s="168"/>
      <c r="F100" s="170" t="s">
        <v>3841</v>
      </c>
      <c r="I100" s="168"/>
      <c r="J100" s="170" t="s">
        <v>4237</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4236</v>
      </c>
      <c r="I101" s="168"/>
      <c r="J101" s="170" t="s">
        <v>1719</v>
      </c>
      <c r="K101" s="170"/>
      <c r="L101" s="170"/>
      <c r="M101" s="170"/>
      <c r="N101" s="170"/>
      <c r="O101" s="170"/>
      <c r="P101" s="168"/>
      <c r="Q101" s="3443">
        <v>3000</v>
      </c>
      <c r="R101" s="3444"/>
      <c r="S101" s="282"/>
      <c r="T101" s="282"/>
      <c r="U101" s="282"/>
      <c r="AA101" s="502"/>
      <c r="AB101" s="502"/>
    </row>
    <row r="102" spans="1:28" s="270" customFormat="1" ht="11.4" customHeight="1">
      <c r="A102" s="170"/>
      <c r="B102" s="172"/>
      <c r="C102" s="170"/>
      <c r="D102" s="168"/>
      <c r="E102" s="168"/>
      <c r="F102" s="170" t="s">
        <v>3324</v>
      </c>
      <c r="I102" s="168"/>
      <c r="J102" s="170" t="s">
        <v>3325</v>
      </c>
      <c r="K102" s="170"/>
      <c r="L102" s="170" t="s">
        <v>2724</v>
      </c>
      <c r="M102" s="170"/>
      <c r="N102" s="170"/>
      <c r="O102" s="170"/>
      <c r="P102" s="168"/>
      <c r="Q102" s="3443">
        <v>75</v>
      </c>
      <c r="R102" s="3444"/>
      <c r="S102" s="282"/>
      <c r="T102" s="282"/>
      <c r="U102" s="282"/>
      <c r="AA102" s="502"/>
      <c r="AB102" s="502"/>
    </row>
    <row r="103" spans="1:28" customFormat="1" ht="11.25" customHeight="1">
      <c r="B103" s="170" t="s">
        <v>1815</v>
      </c>
      <c r="C103" s="27"/>
      <c r="F103" s="1574" t="s">
        <v>4495</v>
      </c>
      <c r="G103" s="1566"/>
      <c r="H103" s="1571"/>
      <c r="I103" s="27"/>
      <c r="J103" s="170" t="s">
        <v>4504</v>
      </c>
      <c r="K103" s="170" t="s">
        <v>4505</v>
      </c>
      <c r="L103" s="1581"/>
      <c r="M103" s="1581"/>
      <c r="N103" s="1581"/>
      <c r="O103" s="1580" t="s">
        <v>4496</v>
      </c>
    </row>
    <row r="104" spans="1:28" customFormat="1" ht="11.25" customHeight="1">
      <c r="B104" s="27"/>
      <c r="C104" s="27"/>
      <c r="F104" s="158"/>
      <c r="G104" s="27"/>
      <c r="H104" s="1575">
        <v>0.09</v>
      </c>
      <c r="I104" s="27"/>
      <c r="J104" s="1582">
        <v>1</v>
      </c>
      <c r="K104" s="1584">
        <v>50</v>
      </c>
      <c r="Q104" s="3451">
        <v>25000</v>
      </c>
      <c r="R104" s="3451"/>
    </row>
    <row r="105" spans="1:28" customFormat="1" ht="11.25" customHeight="1">
      <c r="B105" s="27"/>
      <c r="C105" s="27"/>
      <c r="F105" s="158"/>
      <c r="G105" s="27"/>
      <c r="H105" s="1576"/>
      <c r="I105" s="27"/>
      <c r="J105" s="1582">
        <v>51</v>
      </c>
      <c r="K105" s="1584">
        <v>70</v>
      </c>
      <c r="Q105" s="3450">
        <v>20000</v>
      </c>
      <c r="R105" s="3450"/>
    </row>
    <row r="106" spans="1:28" customFormat="1" ht="11.25" customHeight="1">
      <c r="B106" s="27"/>
      <c r="C106" s="27"/>
      <c r="F106" s="158"/>
      <c r="G106" s="27"/>
      <c r="H106" s="1576"/>
      <c r="I106" s="27"/>
      <c r="J106" s="1582">
        <v>71</v>
      </c>
      <c r="K106" s="1583"/>
      <c r="Q106" s="3449">
        <v>15000</v>
      </c>
      <c r="R106" s="3449"/>
    </row>
    <row r="107" spans="1:28" customFormat="1" ht="11.25" customHeight="1">
      <c r="B107" s="27"/>
      <c r="C107" s="27"/>
      <c r="F107" s="27"/>
      <c r="G107" s="27"/>
      <c r="H107" s="1575">
        <v>0.04</v>
      </c>
      <c r="I107" s="27"/>
      <c r="J107" s="1582">
        <v>1</v>
      </c>
      <c r="K107" s="1584">
        <v>100</v>
      </c>
      <c r="Q107" s="3451">
        <v>18000</v>
      </c>
      <c r="R107" s="3451"/>
    </row>
    <row r="108" spans="1:28" customFormat="1" ht="11.25" customHeight="1">
      <c r="B108" s="27"/>
      <c r="C108" s="27"/>
      <c r="F108" s="27"/>
      <c r="G108" s="27"/>
      <c r="H108" s="1577"/>
      <c r="I108" s="27"/>
      <c r="J108" s="1582">
        <v>101</v>
      </c>
      <c r="K108" s="1584">
        <v>130</v>
      </c>
      <c r="Q108" s="3450">
        <v>15500</v>
      </c>
      <c r="R108" s="3450"/>
    </row>
    <row r="109" spans="1:28" customFormat="1" ht="11.25" customHeight="1">
      <c r="B109" s="27"/>
      <c r="C109" s="27"/>
      <c r="F109" s="27"/>
      <c r="G109" s="27"/>
      <c r="H109" s="1577"/>
      <c r="I109" s="27"/>
      <c r="J109" s="1582">
        <v>131</v>
      </c>
      <c r="K109" s="1583"/>
      <c r="Q109" s="3449">
        <v>13000</v>
      </c>
      <c r="R109" s="3449"/>
    </row>
    <row r="110" spans="1:28" customFormat="1" ht="11.25" customHeight="1">
      <c r="B110" s="27"/>
      <c r="C110" s="27"/>
      <c r="F110" s="1573"/>
      <c r="G110" s="27"/>
      <c r="H110" s="1578"/>
      <c r="I110" s="1573"/>
    </row>
    <row r="111" spans="1:28" customFormat="1" ht="11.25" customHeight="1">
      <c r="B111" s="27"/>
      <c r="C111" s="27"/>
      <c r="F111" s="1571" t="s">
        <v>4497</v>
      </c>
      <c r="G111" s="27"/>
      <c r="H111" s="1578"/>
      <c r="I111" s="1573"/>
    </row>
    <row r="112" spans="1:28" customFormat="1" ht="11.25" customHeight="1">
      <c r="B112" s="27"/>
      <c r="C112" s="27"/>
      <c r="F112" s="27"/>
      <c r="G112" s="27"/>
      <c r="H112" s="1579">
        <v>0.09</v>
      </c>
      <c r="I112" s="1571"/>
      <c r="J112" s="27"/>
      <c r="Q112" s="3452">
        <v>2000000</v>
      </c>
      <c r="R112" s="3452"/>
    </row>
    <row r="113" spans="1:28" customFormat="1" ht="11.25" customHeight="1">
      <c r="B113" s="27"/>
      <c r="C113" s="27"/>
      <c r="F113" s="27"/>
      <c r="G113" s="27"/>
      <c r="H113" s="1579">
        <v>0.04</v>
      </c>
      <c r="I113" s="1571"/>
      <c r="J113" s="27"/>
      <c r="Q113" s="3452">
        <v>3500000</v>
      </c>
      <c r="R113" s="3452"/>
    </row>
    <row r="114" spans="1:28" customFormat="1"/>
    <row r="115" spans="1:28" s="270" customFormat="1" ht="13.8">
      <c r="A115" s="170"/>
      <c r="B115" s="170"/>
      <c r="C115" s="170"/>
      <c r="D115" s="168"/>
      <c r="E115" s="168"/>
      <c r="F115" s="170"/>
      <c r="G115" s="170"/>
      <c r="H115" s="170"/>
      <c r="I115" s="168"/>
      <c r="J115" s="170" t="s">
        <v>3301</v>
      </c>
      <c r="K115" s="170"/>
      <c r="L115" s="170"/>
      <c r="M115" s="170"/>
      <c r="N115" s="170"/>
      <c r="O115" s="170"/>
      <c r="P115" s="168"/>
      <c r="Q115" s="3447">
        <v>3500000</v>
      </c>
      <c r="R115" s="3448"/>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45">
        <v>0.15</v>
      </c>
      <c r="R116" s="3446"/>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3445">
        <v>0.15</v>
      </c>
      <c r="R117" s="3446"/>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5">
        <v>0.15</v>
      </c>
      <c r="R118" s="3446"/>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5">
        <v>0.15</v>
      </c>
      <c r="R119" s="3446"/>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5">
        <v>0.15</v>
      </c>
      <c r="R120" s="3446"/>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45">
        <v>0.15</v>
      </c>
      <c r="R121" s="3446"/>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45" t="s">
        <v>2312</v>
      </c>
      <c r="R122" s="3446"/>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3358</v>
      </c>
      <c r="C128" s="170"/>
      <c r="D128" s="168"/>
      <c r="E128" s="170"/>
      <c r="F128" s="170"/>
      <c r="G128" s="170"/>
      <c r="H128" s="168"/>
      <c r="I128" s="168"/>
      <c r="J128" s="170" t="s">
        <v>1719</v>
      </c>
      <c r="K128" s="170"/>
      <c r="L128" s="170"/>
      <c r="M128" s="170"/>
      <c r="N128" s="170"/>
      <c r="O128" s="170"/>
      <c r="P128" s="168"/>
      <c r="Q128" s="3443">
        <v>3000</v>
      </c>
      <c r="R128" s="3444"/>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36">
        <v>0.02</v>
      </c>
      <c r="R136" s="3436"/>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36">
        <v>7.0000000000000007E-2</v>
      </c>
      <c r="R137" s="3436"/>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36">
        <v>7.0000000000000007E-2</v>
      </c>
      <c r="R138" s="3436"/>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36">
        <v>0.03</v>
      </c>
      <c r="R139" s="3436"/>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36">
        <v>0.03</v>
      </c>
      <c r="R140" s="3436"/>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36">
        <v>0</v>
      </c>
      <c r="R141" s="3436"/>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36">
        <v>0.1</v>
      </c>
      <c r="R143" s="3436"/>
      <c r="S143" s="168"/>
      <c r="T143" s="168"/>
      <c r="U143" s="168"/>
      <c r="V143" s="894"/>
      <c r="W143" s="894"/>
      <c r="X143" s="171"/>
      <c r="AA143" s="502"/>
      <c r="AB143" s="502"/>
    </row>
    <row r="144" spans="1:28" s="270" customFormat="1" ht="11.4" customHeight="1">
      <c r="A144" s="275"/>
      <c r="B144" s="170"/>
      <c r="C144" s="170"/>
      <c r="D144" s="168"/>
      <c r="E144" s="168"/>
      <c r="F144" s="170"/>
      <c r="G144" s="170"/>
      <c r="H144" s="170" t="s">
        <v>3667</v>
      </c>
      <c r="I144" s="168"/>
      <c r="J144" s="170" t="s">
        <v>3668</v>
      </c>
      <c r="K144" s="170"/>
      <c r="L144" s="170"/>
      <c r="M144" s="170"/>
      <c r="N144" s="170"/>
      <c r="O144" s="170"/>
      <c r="P144" s="168"/>
      <c r="Q144" s="3435">
        <v>1000000</v>
      </c>
      <c r="R144" s="3435"/>
      <c r="S144" s="168"/>
      <c r="T144" s="168"/>
      <c r="U144" s="168"/>
      <c r="V144" s="894"/>
      <c r="W144" s="894"/>
      <c r="X144" s="171"/>
      <c r="AA144" s="502"/>
      <c r="AB144" s="502"/>
    </row>
    <row r="145" spans="1:28" s="270" customFormat="1" ht="11.4" customHeight="1">
      <c r="A145" s="170"/>
      <c r="B145" s="170"/>
      <c r="C145" s="170"/>
      <c r="D145" s="168"/>
      <c r="E145" s="168"/>
      <c r="F145" s="170"/>
      <c r="G145" s="170"/>
      <c r="H145" s="170" t="s">
        <v>3663</v>
      </c>
      <c r="I145" s="168"/>
      <c r="J145" s="170" t="s">
        <v>3669</v>
      </c>
      <c r="K145" s="170"/>
      <c r="L145" s="170"/>
      <c r="M145" s="170"/>
      <c r="N145" s="170"/>
      <c r="O145" s="170"/>
      <c r="P145" s="168"/>
      <c r="Q145" s="3435">
        <v>1500000</v>
      </c>
      <c r="R145" s="3435"/>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3670</v>
      </c>
      <c r="K146" s="170"/>
      <c r="L146" s="170"/>
      <c r="M146" s="170"/>
      <c r="N146" s="170"/>
      <c r="O146" s="170"/>
      <c r="P146" s="168"/>
      <c r="Q146" s="3435">
        <v>375000</v>
      </c>
      <c r="R146" s="3435"/>
      <c r="S146" s="276"/>
      <c r="T146" s="276"/>
      <c r="U146" s="168"/>
      <c r="V146" s="945"/>
      <c r="W146" s="945"/>
      <c r="X146" s="945"/>
      <c r="AA146" s="502"/>
      <c r="AB146" s="502"/>
    </row>
    <row r="147" spans="1:28" s="270" customFormat="1" ht="11.4" customHeight="1">
      <c r="A147" s="170"/>
      <c r="B147" s="170"/>
      <c r="C147" s="170"/>
      <c r="D147" s="168"/>
      <c r="E147" s="168"/>
      <c r="F147" s="170"/>
      <c r="G147" s="170"/>
      <c r="H147" s="170" t="s">
        <v>4229</v>
      </c>
      <c r="I147" s="168"/>
      <c r="J147" s="170"/>
      <c r="K147" s="170"/>
      <c r="L147" s="170"/>
      <c r="M147" s="170"/>
      <c r="N147" s="170"/>
      <c r="O147" s="170"/>
      <c r="P147" s="168"/>
      <c r="Q147" s="3435"/>
      <c r="R147" s="3435"/>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3694</v>
      </c>
      <c r="K148" s="170"/>
      <c r="L148" s="170"/>
      <c r="M148" s="170"/>
      <c r="N148" s="170"/>
      <c r="O148" s="170"/>
      <c r="P148" s="168"/>
      <c r="Q148" s="3435">
        <v>4000000</v>
      </c>
      <c r="R148" s="3435"/>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4230</v>
      </c>
      <c r="K151" s="170"/>
      <c r="L151" s="170"/>
      <c r="M151" s="170"/>
      <c r="N151" s="170"/>
      <c r="O151" s="170"/>
      <c r="P151" s="168"/>
      <c r="Q151" s="3436">
        <v>0.35</v>
      </c>
      <c r="R151" s="3436"/>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436" t="s">
        <v>2723</v>
      </c>
      <c r="R152" s="3436"/>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3436">
        <v>0.05</v>
      </c>
      <c r="R154" s="3436"/>
      <c r="S154" s="168"/>
      <c r="T154" s="168"/>
      <c r="U154" s="168"/>
      <c r="V154" s="894"/>
      <c r="W154" s="894"/>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3436">
        <v>0.4</v>
      </c>
      <c r="R155" s="3436"/>
      <c r="S155" s="168"/>
      <c r="T155" s="168"/>
      <c r="U155" s="168"/>
      <c r="V155" s="894"/>
      <c r="W155" s="894"/>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3436">
        <v>0.02</v>
      </c>
      <c r="R156" s="3436"/>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34" t="s">
        <v>3827</v>
      </c>
      <c r="E169" s="282"/>
      <c r="F169" s="282"/>
    </row>
    <row r="170" spans="2:37" ht="10.5" customHeight="1">
      <c r="C170" s="3434"/>
      <c r="E170" s="282"/>
      <c r="F170" s="282"/>
    </row>
    <row r="171" spans="2:37" ht="10.5" customHeight="1">
      <c r="C171" s="3434"/>
      <c r="D171" s="1138" t="s">
        <v>4738</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3662</v>
      </c>
      <c r="O172" s="528" t="s">
        <v>3927</v>
      </c>
      <c r="P172" s="526" t="s">
        <v>2339</v>
      </c>
      <c r="Q172" s="526"/>
      <c r="R172" s="170"/>
      <c r="S172" s="387"/>
      <c r="T172" s="1407" t="s">
        <v>600</v>
      </c>
      <c r="U172" s="529" t="s">
        <v>601</v>
      </c>
      <c r="W172" s="558"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3928</v>
      </c>
      <c r="P173" s="530" t="s">
        <v>1490</v>
      </c>
      <c r="Q173" s="291"/>
      <c r="R173" s="170"/>
      <c r="S173" s="387"/>
      <c r="T173" s="491" t="s">
        <v>2675</v>
      </c>
      <c r="U173" s="491" t="s">
        <v>1575</v>
      </c>
      <c r="W173" s="427" t="s">
        <v>2340</v>
      </c>
      <c r="X173" s="427" t="s">
        <v>3277</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3929</v>
      </c>
      <c r="P174" s="530" t="s">
        <v>1492</v>
      </c>
      <c r="Q174" s="291"/>
      <c r="R174" s="170"/>
      <c r="S174" s="387"/>
      <c r="T174" s="491" t="s">
        <v>2340</v>
      </c>
      <c r="U174" s="491" t="s">
        <v>1903</v>
      </c>
      <c r="W174" s="427" t="s">
        <v>1491</v>
      </c>
      <c r="X174" s="427" t="s">
        <v>3277</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3930</v>
      </c>
      <c r="P175" s="530" t="s">
        <v>453</v>
      </c>
      <c r="Q175" s="291"/>
      <c r="R175" s="170"/>
      <c r="S175" s="387"/>
      <c r="T175" s="491" t="s">
        <v>1491</v>
      </c>
      <c r="U175" s="491" t="s">
        <v>2421</v>
      </c>
      <c r="W175" s="427" t="s">
        <v>923</v>
      </c>
      <c r="X175" s="427" t="s">
        <v>3277</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3931</v>
      </c>
      <c r="P176" s="530" t="s">
        <v>2031</v>
      </c>
      <c r="Q176" s="291"/>
      <c r="R176" s="170"/>
      <c r="S176" s="387"/>
      <c r="T176" s="491" t="s">
        <v>923</v>
      </c>
      <c r="U176" s="491" t="s">
        <v>1287</v>
      </c>
      <c r="W176" s="427" t="s">
        <v>2032</v>
      </c>
      <c r="X176" s="427" t="s">
        <v>3277</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3932</v>
      </c>
      <c r="P177" s="530" t="s">
        <v>2033</v>
      </c>
      <c r="Q177" s="291"/>
      <c r="R177" s="170"/>
      <c r="S177" s="387"/>
      <c r="T177" s="491" t="s">
        <v>454</v>
      </c>
      <c r="U177" s="491" t="s">
        <v>2462</v>
      </c>
      <c r="W177" s="427" t="s">
        <v>2036</v>
      </c>
      <c r="X177" s="427" t="s">
        <v>3277</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3933</v>
      </c>
      <c r="P178" s="530" t="s">
        <v>2035</v>
      </c>
      <c r="Q178" s="291"/>
      <c r="R178" s="170"/>
      <c r="S178" s="387"/>
      <c r="T178" s="491" t="s">
        <v>2032</v>
      </c>
      <c r="U178" s="491" t="s">
        <v>327</v>
      </c>
      <c r="W178" s="427" t="s">
        <v>1738</v>
      </c>
      <c r="X178" s="427" t="s">
        <v>3277</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3934</v>
      </c>
      <c r="P179" s="530" t="s">
        <v>2037</v>
      </c>
      <c r="Q179" s="291"/>
      <c r="R179" s="170"/>
      <c r="S179" s="387"/>
      <c r="T179" s="491" t="s">
        <v>2034</v>
      </c>
      <c r="U179" s="491" t="s">
        <v>180</v>
      </c>
      <c r="W179" s="427" t="s">
        <v>435</v>
      </c>
      <c r="X179" s="427" t="s">
        <v>3277</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3935</v>
      </c>
      <c r="P180" s="530" t="s">
        <v>2039</v>
      </c>
      <c r="Q180" s="291"/>
      <c r="R180" s="170"/>
      <c r="S180" s="387"/>
      <c r="T180" s="491" t="s">
        <v>2036</v>
      </c>
      <c r="U180" s="491" t="s">
        <v>109</v>
      </c>
      <c r="W180" s="427" t="s">
        <v>437</v>
      </c>
      <c r="X180" s="427" t="s">
        <v>3277</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3936</v>
      </c>
      <c r="P181" s="530" t="s">
        <v>1914</v>
      </c>
      <c r="Q181" s="510"/>
      <c r="R181" s="170"/>
      <c r="S181" s="387"/>
      <c r="T181" s="491" t="s">
        <v>2038</v>
      </c>
      <c r="U181" s="491" t="s">
        <v>1290</v>
      </c>
      <c r="W181" s="427" t="s">
        <v>1801</v>
      </c>
      <c r="X181" s="427" t="s">
        <v>3277</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3937</v>
      </c>
      <c r="P182" s="530" t="s">
        <v>176</v>
      </c>
      <c r="Q182" s="510"/>
      <c r="R182" s="282"/>
      <c r="S182" s="387"/>
      <c r="T182" s="491" t="s">
        <v>1738</v>
      </c>
      <c r="U182" s="491" t="s">
        <v>933</v>
      </c>
      <c r="W182" s="427" t="s">
        <v>2481</v>
      </c>
      <c r="X182" s="427" t="s">
        <v>3277</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3938</v>
      </c>
      <c r="P183" s="530" t="s">
        <v>178</v>
      </c>
      <c r="Q183" s="510"/>
      <c r="R183" s="170"/>
      <c r="S183" s="387"/>
      <c r="T183" s="491" t="s">
        <v>1915</v>
      </c>
      <c r="U183" s="491" t="s">
        <v>421</v>
      </c>
      <c r="W183" s="427" t="s">
        <v>2487</v>
      </c>
      <c r="X183" s="427" t="s">
        <v>3277</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3939</v>
      </c>
      <c r="P184" s="530" t="s">
        <v>434</v>
      </c>
      <c r="Q184" s="291"/>
      <c r="R184" s="170"/>
      <c r="S184" s="387"/>
      <c r="T184" s="491" t="s">
        <v>177</v>
      </c>
      <c r="U184" s="491" t="s">
        <v>1427</v>
      </c>
      <c r="W184" s="427" t="s">
        <v>2492</v>
      </c>
      <c r="X184" s="427" t="s">
        <v>3277</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3940</v>
      </c>
      <c r="P185" s="530" t="s">
        <v>436</v>
      </c>
      <c r="Q185" s="291"/>
      <c r="R185" s="170"/>
      <c r="S185" s="387"/>
      <c r="T185" s="491" t="s">
        <v>179</v>
      </c>
      <c r="U185" s="491" t="s">
        <v>2336</v>
      </c>
      <c r="W185" s="427" t="s">
        <v>162</v>
      </c>
      <c r="X185" s="427" t="s">
        <v>3277</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3941</v>
      </c>
      <c r="P186" s="530" t="s">
        <v>438</v>
      </c>
      <c r="Q186" s="291"/>
      <c r="R186" s="170"/>
      <c r="S186" s="387"/>
      <c r="T186" s="491" t="s">
        <v>435</v>
      </c>
      <c r="U186" s="491" t="s">
        <v>1735</v>
      </c>
      <c r="W186" s="427" t="s">
        <v>1179</v>
      </c>
      <c r="X186" s="427" t="s">
        <v>3277</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3942</v>
      </c>
      <c r="P187" s="530" t="s">
        <v>440</v>
      </c>
      <c r="Q187" s="291"/>
      <c r="R187" s="170"/>
      <c r="S187" s="387"/>
      <c r="T187" s="491" t="s">
        <v>437</v>
      </c>
      <c r="U187" s="491" t="s">
        <v>1180</v>
      </c>
      <c r="W187" s="427" t="s">
        <v>2022</v>
      </c>
      <c r="X187" s="427" t="s">
        <v>3277</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3943</v>
      </c>
      <c r="P188" s="530" t="s">
        <v>2203</v>
      </c>
      <c r="Q188" s="291"/>
      <c r="R188" s="170"/>
      <c r="S188" s="387"/>
      <c r="T188" s="491" t="s">
        <v>439</v>
      </c>
      <c r="U188" s="491" t="s">
        <v>180</v>
      </c>
      <c r="W188" s="427" t="s">
        <v>1303</v>
      </c>
      <c r="X188" s="427" t="s">
        <v>3277</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3944</v>
      </c>
      <c r="P189" s="530" t="s">
        <v>2205</v>
      </c>
      <c r="Q189" s="291"/>
      <c r="R189" s="170"/>
      <c r="S189" s="387"/>
      <c r="T189" s="491" t="s">
        <v>441</v>
      </c>
      <c r="U189" s="491" t="s">
        <v>119</v>
      </c>
      <c r="W189" s="427" t="s">
        <v>2025</v>
      </c>
      <c r="X189" s="427" t="s">
        <v>3277</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3945</v>
      </c>
      <c r="P190" s="530" t="s">
        <v>362</v>
      </c>
      <c r="Q190" s="291"/>
      <c r="R190" s="170"/>
      <c r="S190" s="387"/>
      <c r="T190" s="491" t="s">
        <v>2204</v>
      </c>
      <c r="U190" s="491" t="s">
        <v>2422</v>
      </c>
      <c r="W190" s="427" t="s">
        <v>2057</v>
      </c>
      <c r="X190" s="427" t="s">
        <v>3277</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3946</v>
      </c>
      <c r="P191" s="530" t="s">
        <v>364</v>
      </c>
      <c r="Q191" s="291"/>
      <c r="R191" s="170"/>
      <c r="S191" s="387"/>
      <c r="T191" s="491" t="s">
        <v>1801</v>
      </c>
      <c r="U191" s="491" t="s">
        <v>2126</v>
      </c>
      <c r="W191" s="427" t="s">
        <v>2061</v>
      </c>
      <c r="X191" s="427" t="s">
        <v>3277</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3947</v>
      </c>
      <c r="P192" s="530" t="s">
        <v>2478</v>
      </c>
      <c r="Q192" s="291"/>
      <c r="R192" s="170"/>
      <c r="S192" s="387"/>
      <c r="T192" s="491" t="s">
        <v>363</v>
      </c>
      <c r="U192" s="491" t="s">
        <v>2126</v>
      </c>
      <c r="W192" s="427" t="s">
        <v>1739</v>
      </c>
      <c r="X192" s="427" t="s">
        <v>3277</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3948</v>
      </c>
      <c r="P193" s="530" t="s">
        <v>2480</v>
      </c>
      <c r="Q193" s="291"/>
      <c r="R193" s="170"/>
      <c r="S193" s="387"/>
      <c r="T193" s="491" t="s">
        <v>1184</v>
      </c>
      <c r="U193" s="491" t="s">
        <v>2461</v>
      </c>
      <c r="W193" s="427" t="s">
        <v>985</v>
      </c>
      <c r="X193" s="427" t="s">
        <v>3277</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3949</v>
      </c>
      <c r="P194" s="530" t="s">
        <v>2482</v>
      </c>
      <c r="Q194" s="291"/>
      <c r="R194" s="170"/>
      <c r="S194" s="387"/>
      <c r="T194" s="491" t="s">
        <v>2479</v>
      </c>
      <c r="U194" s="491" t="s">
        <v>2466</v>
      </c>
      <c r="W194" s="427" t="s">
        <v>2381</v>
      </c>
      <c r="X194" s="427" t="s">
        <v>3277</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3950</v>
      </c>
      <c r="P195" s="530" t="s">
        <v>2484</v>
      </c>
      <c r="Q195" s="291"/>
      <c r="R195" s="170"/>
      <c r="S195" s="387"/>
      <c r="T195" s="491" t="s">
        <v>2481</v>
      </c>
      <c r="U195" s="491" t="s">
        <v>1075</v>
      </c>
      <c r="W195" s="427" t="s">
        <v>2383</v>
      </c>
      <c r="X195" s="427" t="s">
        <v>3277</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3951</v>
      </c>
      <c r="P196" s="530" t="s">
        <v>2486</v>
      </c>
      <c r="Q196" s="291"/>
      <c r="R196" s="170"/>
      <c r="S196" s="387"/>
      <c r="T196" s="491" t="s">
        <v>2483</v>
      </c>
      <c r="U196" s="491" t="s">
        <v>318</v>
      </c>
      <c r="W196" s="427" t="s">
        <v>2385</v>
      </c>
      <c r="X196" s="427" t="s">
        <v>3277</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3952</v>
      </c>
      <c r="P197" s="530" t="s">
        <v>2488</v>
      </c>
      <c r="Q197" s="291"/>
      <c r="R197" s="170"/>
      <c r="S197" s="387"/>
      <c r="T197" s="491" t="s">
        <v>2485</v>
      </c>
      <c r="U197" s="491" t="s">
        <v>2419</v>
      </c>
      <c r="W197" s="427" t="s">
        <v>2388</v>
      </c>
      <c r="X197" s="427" t="s">
        <v>3277</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3953</v>
      </c>
      <c r="P198" s="530" t="s">
        <v>2489</v>
      </c>
      <c r="Q198" s="291"/>
      <c r="R198" s="170"/>
      <c r="S198" s="387"/>
      <c r="T198" s="491" t="s">
        <v>2487</v>
      </c>
      <c r="U198" s="491" t="s">
        <v>1305</v>
      </c>
      <c r="W198" s="427" t="s">
        <v>2174</v>
      </c>
      <c r="X198" s="427" t="s">
        <v>3277</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3954</v>
      </c>
      <c r="P199" s="530" t="s">
        <v>2491</v>
      </c>
      <c r="Q199" s="291"/>
      <c r="R199" s="170"/>
      <c r="S199" s="387"/>
      <c r="T199" s="491" t="s">
        <v>2490</v>
      </c>
      <c r="U199" s="491" t="s">
        <v>2523</v>
      </c>
      <c r="W199" s="427" t="s">
        <v>2271</v>
      </c>
      <c r="X199" s="427" t="s">
        <v>3277</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3955</v>
      </c>
      <c r="P200" s="530" t="s">
        <v>409</v>
      </c>
      <c r="Q200" s="291"/>
      <c r="R200" s="170"/>
      <c r="S200" s="387"/>
      <c r="T200" s="491" t="s">
        <v>2492</v>
      </c>
      <c r="U200" s="491" t="s">
        <v>1869</v>
      </c>
      <c r="W200" s="427" t="s">
        <v>300</v>
      </c>
      <c r="X200" s="427" t="s">
        <v>3277</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3956</v>
      </c>
      <c r="P201" s="530" t="s">
        <v>410</v>
      </c>
      <c r="Q201" s="291"/>
      <c r="R201" s="282"/>
      <c r="S201" s="387"/>
      <c r="T201" s="491" t="s">
        <v>162</v>
      </c>
      <c r="U201" s="491" t="s">
        <v>161</v>
      </c>
      <c r="W201" s="427" t="s">
        <v>9</v>
      </c>
      <c r="X201" s="427" t="s">
        <v>3277</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3957</v>
      </c>
      <c r="P202" s="530" t="s">
        <v>758</v>
      </c>
      <c r="Q202" s="510"/>
      <c r="R202" s="170"/>
      <c r="S202" s="387"/>
      <c r="T202" s="491" t="s">
        <v>1179</v>
      </c>
      <c r="U202" s="491" t="s">
        <v>1180</v>
      </c>
      <c r="W202" s="427" t="s">
        <v>11</v>
      </c>
      <c r="X202" s="427" t="s">
        <v>3277</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3958</v>
      </c>
      <c r="P203" s="530" t="s">
        <v>760</v>
      </c>
      <c r="Q203" s="510"/>
      <c r="R203" s="170"/>
      <c r="S203" s="387"/>
      <c r="T203" s="491" t="s">
        <v>759</v>
      </c>
      <c r="U203" s="491" t="s">
        <v>192</v>
      </c>
      <c r="W203" s="427" t="s">
        <v>57</v>
      </c>
      <c r="X203" s="427" t="s">
        <v>3277</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3959</v>
      </c>
      <c r="P204" s="530" t="s">
        <v>2023</v>
      </c>
      <c r="Q204" s="510"/>
      <c r="R204" s="170"/>
      <c r="S204" s="387"/>
      <c r="T204" s="491" t="s">
        <v>2022</v>
      </c>
      <c r="U204" s="491" t="s">
        <v>1286</v>
      </c>
      <c r="W204" s="427" t="s">
        <v>59</v>
      </c>
      <c r="X204" s="427" t="s">
        <v>3277</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3960</v>
      </c>
      <c r="P205" s="530" t="s">
        <v>2024</v>
      </c>
      <c r="Q205" s="510"/>
      <c r="R205" s="170"/>
      <c r="S205" s="387"/>
      <c r="T205" s="491" t="s">
        <v>1303</v>
      </c>
      <c r="U205" s="491" t="s">
        <v>1087</v>
      </c>
      <c r="W205" s="427" t="s">
        <v>346</v>
      </c>
      <c r="X205" s="427" t="s">
        <v>3277</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3961</v>
      </c>
      <c r="P206" s="530" t="s">
        <v>2026</v>
      </c>
      <c r="Q206" s="510"/>
      <c r="R206" s="170"/>
      <c r="S206" s="387"/>
      <c r="T206" s="491" t="s">
        <v>2025</v>
      </c>
      <c r="U206" s="491" t="s">
        <v>2421</v>
      </c>
      <c r="W206" s="427" t="s">
        <v>350</v>
      </c>
      <c r="X206" s="427" t="s">
        <v>3277</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3962</v>
      </c>
      <c r="P207" s="530" t="s">
        <v>2056</v>
      </c>
      <c r="Q207" s="510"/>
      <c r="R207" s="170"/>
      <c r="S207" s="387"/>
      <c r="T207" s="491" t="s">
        <v>1951</v>
      </c>
      <c r="U207" s="491" t="s">
        <v>2122</v>
      </c>
      <c r="W207" s="427" t="s">
        <v>2231</v>
      </c>
      <c r="X207" s="427" t="s">
        <v>3277</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3963</v>
      </c>
      <c r="P208" s="530" t="s">
        <v>2058</v>
      </c>
      <c r="Q208" s="510"/>
      <c r="R208" s="170"/>
      <c r="S208" s="387"/>
      <c r="T208" s="491" t="s">
        <v>2027</v>
      </c>
      <c r="U208" s="491" t="s">
        <v>323</v>
      </c>
      <c r="W208" s="427" t="s">
        <v>1305</v>
      </c>
      <c r="X208" s="427" t="s">
        <v>3277</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3964</v>
      </c>
      <c r="P209" s="530" t="s">
        <v>2060</v>
      </c>
      <c r="Q209" s="510"/>
      <c r="R209" s="170"/>
      <c r="S209" s="387"/>
      <c r="T209" s="491" t="s">
        <v>2057</v>
      </c>
      <c r="U209" s="491" t="s">
        <v>610</v>
      </c>
      <c r="W209" s="427" t="s">
        <v>1527</v>
      </c>
      <c r="X209" s="427" t="s">
        <v>3277</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3965</v>
      </c>
      <c r="P210" s="530" t="s">
        <v>2062</v>
      </c>
      <c r="Q210" s="510"/>
      <c r="R210" s="170"/>
      <c r="S210" s="387"/>
      <c r="T210" s="491" t="s">
        <v>2059</v>
      </c>
      <c r="U210" s="491" t="s">
        <v>1600</v>
      </c>
      <c r="W210" s="427" t="s">
        <v>1531</v>
      </c>
      <c r="X210" s="427" t="s">
        <v>3277</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3966</v>
      </c>
      <c r="P211" s="530" t="s">
        <v>2472</v>
      </c>
      <c r="Q211" s="510"/>
      <c r="R211" s="170"/>
      <c r="S211" s="387"/>
      <c r="T211" s="491" t="s">
        <v>2061</v>
      </c>
      <c r="U211" s="491" t="s">
        <v>192</v>
      </c>
      <c r="W211" s="427" t="s">
        <v>1702</v>
      </c>
      <c r="X211" s="427" t="s">
        <v>3277</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3967</v>
      </c>
      <c r="P212" s="530" t="s">
        <v>984</v>
      </c>
      <c r="Q212" s="510"/>
      <c r="R212" s="170"/>
      <c r="S212" s="387"/>
      <c r="T212" s="491" t="s">
        <v>1739</v>
      </c>
      <c r="U212" s="491" t="s">
        <v>119</v>
      </c>
      <c r="W212" s="427" t="s">
        <v>1000</v>
      </c>
      <c r="X212" s="427" t="s">
        <v>3277</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3968</v>
      </c>
      <c r="P213" s="530" t="s">
        <v>1954</v>
      </c>
      <c r="Q213" s="510"/>
      <c r="R213" s="170"/>
      <c r="S213" s="387"/>
      <c r="T213" s="491" t="s">
        <v>2473</v>
      </c>
      <c r="U213" s="491" t="s">
        <v>160</v>
      </c>
      <c r="W213" s="427" t="s">
        <v>1003</v>
      </c>
      <c r="X213" s="427" t="s">
        <v>3277</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3969</v>
      </c>
      <c r="P214" s="530" t="s">
        <v>13</v>
      </c>
      <c r="Q214" s="510"/>
      <c r="R214" s="170"/>
      <c r="S214" s="387"/>
      <c r="T214" s="491" t="s">
        <v>985</v>
      </c>
      <c r="U214" s="491" t="s">
        <v>421</v>
      </c>
      <c r="W214" s="427" t="s">
        <v>1714</v>
      </c>
      <c r="X214" s="427" t="s">
        <v>3277</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3970</v>
      </c>
      <c r="P215" s="530" t="s">
        <v>2177</v>
      </c>
      <c r="Q215" s="510"/>
      <c r="R215" s="170"/>
      <c r="S215" s="387"/>
      <c r="T215" s="491" t="s">
        <v>1287</v>
      </c>
      <c r="U215" s="491" t="s">
        <v>323</v>
      </c>
      <c r="W215" s="427" t="s">
        <v>2015</v>
      </c>
      <c r="X215" s="427" t="s">
        <v>3277</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3971</v>
      </c>
      <c r="P216" s="530" t="s">
        <v>2179</v>
      </c>
      <c r="Q216" s="510"/>
      <c r="R216" s="170"/>
      <c r="S216" s="387"/>
      <c r="T216" s="491" t="s">
        <v>14</v>
      </c>
      <c r="U216" s="491" t="s">
        <v>1627</v>
      </c>
      <c r="W216" s="427" t="s">
        <v>2017</v>
      </c>
      <c r="X216" s="427" t="s">
        <v>3277</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3972</v>
      </c>
      <c r="P217" s="530" t="s">
        <v>2181</v>
      </c>
      <c r="Q217" s="510"/>
      <c r="R217" s="170"/>
      <c r="S217" s="387"/>
      <c r="T217" s="531" t="s">
        <v>2178</v>
      </c>
      <c r="U217" s="531" t="s">
        <v>1184</v>
      </c>
      <c r="W217" s="427" t="s">
        <v>658</v>
      </c>
      <c r="X217" s="427" t="s">
        <v>3277</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3973</v>
      </c>
      <c r="P218" s="530" t="s">
        <v>2210</v>
      </c>
      <c r="Q218" s="510"/>
      <c r="R218" s="170"/>
      <c r="S218" s="387"/>
      <c r="T218" s="491" t="s">
        <v>2180</v>
      </c>
      <c r="U218" s="491" t="s">
        <v>2186</v>
      </c>
      <c r="W218" s="427" t="s">
        <v>1221</v>
      </c>
      <c r="X218" s="427" t="s">
        <v>3277</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3974</v>
      </c>
      <c r="P219" s="530" t="s">
        <v>1729</v>
      </c>
      <c r="Q219" s="510"/>
      <c r="R219" s="170"/>
      <c r="S219" s="387"/>
      <c r="T219" s="491" t="s">
        <v>2494</v>
      </c>
      <c r="U219" s="491" t="s">
        <v>610</v>
      </c>
      <c r="W219" s="427" t="s">
        <v>1223</v>
      </c>
      <c r="X219" s="427" t="s">
        <v>3277</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3975</v>
      </c>
      <c r="P220" s="530" t="s">
        <v>1731</v>
      </c>
      <c r="Q220" s="510"/>
      <c r="R220" s="170"/>
      <c r="S220" s="387"/>
      <c r="T220" s="491" t="s">
        <v>2182</v>
      </c>
      <c r="U220" s="491" t="s">
        <v>118</v>
      </c>
      <c r="W220" s="427" t="s">
        <v>2418</v>
      </c>
      <c r="X220" s="427" t="s">
        <v>3277</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3976</v>
      </c>
      <c r="P221" s="530" t="s">
        <v>2107</v>
      </c>
      <c r="Q221" s="510"/>
      <c r="R221" s="170"/>
      <c r="S221" s="387"/>
      <c r="T221" s="491" t="s">
        <v>1706</v>
      </c>
      <c r="U221" s="491" t="s">
        <v>2424</v>
      </c>
      <c r="W221" s="427" t="s">
        <v>2427</v>
      </c>
      <c r="X221" s="427" t="s">
        <v>3277</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3977</v>
      </c>
      <c r="P222" s="530" t="s">
        <v>2108</v>
      </c>
      <c r="Q222" s="510"/>
      <c r="R222" s="170"/>
      <c r="S222" s="387"/>
      <c r="T222" s="491" t="s">
        <v>1730</v>
      </c>
      <c r="U222" s="491" t="s">
        <v>1286</v>
      </c>
      <c r="W222" s="427" t="s">
        <v>85</v>
      </c>
      <c r="X222" s="427" t="s">
        <v>3277</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3978</v>
      </c>
      <c r="P223" s="530" t="s">
        <v>2380</v>
      </c>
      <c r="Q223" s="291"/>
      <c r="R223" s="170"/>
      <c r="S223" s="387"/>
      <c r="T223" s="491" t="s">
        <v>1732</v>
      </c>
      <c r="U223" s="491" t="s">
        <v>1960</v>
      </c>
      <c r="W223" s="427" t="s">
        <v>1208</v>
      </c>
      <c r="X223" s="427" t="s">
        <v>3277</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3979</v>
      </c>
      <c r="P224" s="530" t="s">
        <v>2382</v>
      </c>
      <c r="Q224" s="291"/>
      <c r="R224" s="170"/>
      <c r="S224" s="387"/>
      <c r="T224" s="491" t="s">
        <v>805</v>
      </c>
      <c r="U224" s="491" t="s">
        <v>2520</v>
      </c>
      <c r="W224" s="427" t="s">
        <v>157</v>
      </c>
      <c r="X224" s="427" t="s">
        <v>3277</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3980</v>
      </c>
      <c r="P225" s="530" t="s">
        <v>2384</v>
      </c>
      <c r="Q225" s="291"/>
      <c r="R225" s="170"/>
      <c r="S225" s="387"/>
      <c r="T225" s="531" t="s">
        <v>2109</v>
      </c>
      <c r="U225" s="531" t="s">
        <v>2522</v>
      </c>
      <c r="W225" s="427" t="s">
        <v>874</v>
      </c>
      <c r="X225" s="427" t="s">
        <v>3277</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3981</v>
      </c>
      <c r="P226" s="530" t="s">
        <v>2386</v>
      </c>
      <c r="Q226" s="291"/>
      <c r="R226" s="170"/>
      <c r="S226" s="387"/>
      <c r="T226" s="491" t="s">
        <v>2381</v>
      </c>
      <c r="U226" s="491" t="s">
        <v>1072</v>
      </c>
      <c r="W226" s="427" t="s">
        <v>2089</v>
      </c>
      <c r="X226" s="427" t="s">
        <v>3277</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3982</v>
      </c>
      <c r="P227" s="530" t="s">
        <v>2387</v>
      </c>
      <c r="Q227" s="291"/>
      <c r="R227" s="170"/>
      <c r="S227" s="387"/>
      <c r="T227" s="491" t="s">
        <v>2495</v>
      </c>
      <c r="U227" s="491" t="s">
        <v>314</v>
      </c>
      <c r="W227" s="427" t="s">
        <v>2009</v>
      </c>
      <c r="X227" s="427" t="s">
        <v>3277</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3983</v>
      </c>
      <c r="P228" s="530" t="s">
        <v>2173</v>
      </c>
      <c r="Q228" s="291"/>
      <c r="R228" s="170"/>
      <c r="S228" s="387"/>
      <c r="T228" s="491" t="s">
        <v>2383</v>
      </c>
      <c r="U228" s="491" t="s">
        <v>1872</v>
      </c>
      <c r="W228" s="427" t="s">
        <v>582</v>
      </c>
      <c r="X228" s="427" t="s">
        <v>3277</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3984</v>
      </c>
      <c r="P229" s="530" t="s">
        <v>690</v>
      </c>
      <c r="Q229" s="291"/>
      <c r="R229" s="170"/>
      <c r="S229" s="387"/>
      <c r="T229" s="491" t="s">
        <v>2385</v>
      </c>
      <c r="U229" s="491" t="s">
        <v>853</v>
      </c>
      <c r="W229" s="427" t="s">
        <v>584</v>
      </c>
      <c r="X229" s="427" t="s">
        <v>3277</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3985</v>
      </c>
      <c r="P230" s="530" t="s">
        <v>692</v>
      </c>
      <c r="Q230" s="291"/>
      <c r="R230" s="170"/>
      <c r="S230" s="387"/>
      <c r="T230" s="491" t="s">
        <v>2388</v>
      </c>
      <c r="U230" s="491" t="s">
        <v>155</v>
      </c>
      <c r="W230" s="427" t="s">
        <v>2465</v>
      </c>
      <c r="X230" s="427" t="s">
        <v>3277</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3986</v>
      </c>
      <c r="P231" s="530" t="s">
        <v>694</v>
      </c>
      <c r="Q231" s="291"/>
      <c r="R231" s="170"/>
      <c r="S231" s="387"/>
      <c r="T231" s="491" t="s">
        <v>2174</v>
      </c>
      <c r="U231" s="491" t="s">
        <v>637</v>
      </c>
      <c r="W231" s="427" t="s">
        <v>588</v>
      </c>
      <c r="X231" s="427" t="s">
        <v>3277</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3987</v>
      </c>
      <c r="P232" s="530" t="s">
        <v>696</v>
      </c>
      <c r="Q232" s="291"/>
      <c r="R232" s="170"/>
      <c r="S232" s="387"/>
      <c r="T232" s="491" t="s">
        <v>691</v>
      </c>
      <c r="U232" s="491" t="s">
        <v>2416</v>
      </c>
      <c r="W232" s="427" t="s">
        <v>531</v>
      </c>
      <c r="X232" s="427" t="s">
        <v>3277</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3988</v>
      </c>
      <c r="P233" s="530" t="s">
        <v>2165</v>
      </c>
      <c r="Q233" s="291"/>
      <c r="R233" s="170"/>
      <c r="S233" s="387"/>
      <c r="T233" s="531" t="s">
        <v>693</v>
      </c>
      <c r="U233" s="531" t="s">
        <v>1087</v>
      </c>
      <c r="W233" s="427" t="s">
        <v>728</v>
      </c>
      <c r="X233" s="427" t="s">
        <v>3277</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3989</v>
      </c>
      <c r="P234" s="530" t="s">
        <v>2166</v>
      </c>
      <c r="Q234" s="291"/>
      <c r="R234" s="170"/>
      <c r="S234" s="387"/>
      <c r="T234" s="491" t="s">
        <v>695</v>
      </c>
      <c r="U234" s="491" t="s">
        <v>2522</v>
      </c>
      <c r="W234" s="427" t="s">
        <v>35</v>
      </c>
      <c r="X234" s="427" t="s">
        <v>3277</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3990</v>
      </c>
      <c r="P235" s="530" t="s">
        <v>2168</v>
      </c>
      <c r="Q235" s="291"/>
      <c r="R235" s="170"/>
      <c r="S235" s="387"/>
      <c r="T235" s="491" t="s">
        <v>2496</v>
      </c>
      <c r="U235" s="491" t="s">
        <v>2418</v>
      </c>
      <c r="W235" s="427" t="s">
        <v>1919</v>
      </c>
      <c r="X235" s="427" t="s">
        <v>3277</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3991</v>
      </c>
      <c r="P236" s="530" t="s">
        <v>666</v>
      </c>
      <c r="Q236" s="291"/>
      <c r="R236" s="170"/>
      <c r="S236" s="387"/>
      <c r="T236" s="491" t="s">
        <v>2167</v>
      </c>
      <c r="U236" s="491" t="s">
        <v>1627</v>
      </c>
      <c r="W236" s="427" t="s">
        <v>330</v>
      </c>
      <c r="X236" s="427" t="s">
        <v>3277</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3992</v>
      </c>
      <c r="P237" s="530" t="s">
        <v>769</v>
      </c>
      <c r="Q237" s="291"/>
      <c r="R237" s="170"/>
      <c r="S237" s="387"/>
      <c r="T237" s="491" t="s">
        <v>2169</v>
      </c>
      <c r="U237" s="491" t="s">
        <v>2516</v>
      </c>
      <c r="W237" s="427" t="s">
        <v>338</v>
      </c>
      <c r="X237" s="427" t="s">
        <v>3277</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3993</v>
      </c>
      <c r="P238" s="530" t="s">
        <v>2212</v>
      </c>
      <c r="Q238" s="291"/>
      <c r="R238" s="170"/>
      <c r="S238" s="387"/>
      <c r="T238" s="491" t="s">
        <v>667</v>
      </c>
      <c r="U238" s="491" t="s">
        <v>715</v>
      </c>
      <c r="W238" s="427" t="s">
        <v>191</v>
      </c>
      <c r="X238" s="427" t="s">
        <v>3277</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3994</v>
      </c>
      <c r="P239" s="530" t="s">
        <v>2241</v>
      </c>
      <c r="Q239" s="291"/>
      <c r="R239" s="170"/>
      <c r="S239" s="387"/>
      <c r="T239" s="491" t="s">
        <v>2211</v>
      </c>
      <c r="U239" s="491" t="s">
        <v>311</v>
      </c>
      <c r="W239" s="427" t="s">
        <v>2104</v>
      </c>
      <c r="X239" s="427" t="s">
        <v>3277</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3995</v>
      </c>
      <c r="P240" s="530" t="s">
        <v>43</v>
      </c>
      <c r="Q240" s="291"/>
      <c r="R240" s="170"/>
      <c r="S240" s="387"/>
      <c r="T240" s="491" t="s">
        <v>2271</v>
      </c>
      <c r="U240" s="491" t="s">
        <v>857</v>
      </c>
      <c r="W240" s="427" t="s">
        <v>192</v>
      </c>
      <c r="X240" s="427" t="s">
        <v>3277</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3996</v>
      </c>
      <c r="P241" s="530" t="s">
        <v>615</v>
      </c>
      <c r="Q241" s="291"/>
      <c r="R241" s="170"/>
      <c r="S241" s="387"/>
      <c r="T241" s="491" t="s">
        <v>44</v>
      </c>
      <c r="U241" s="491" t="s">
        <v>318</v>
      </c>
      <c r="W241" s="427" t="s">
        <v>376</v>
      </c>
      <c r="X241" s="427" t="s">
        <v>3277</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3997</v>
      </c>
      <c r="P242" s="530" t="s">
        <v>299</v>
      </c>
      <c r="Q242" s="291"/>
      <c r="R242" s="170"/>
      <c r="S242" s="387"/>
      <c r="T242" s="491" t="s">
        <v>616</v>
      </c>
      <c r="U242" s="491" t="s">
        <v>2524</v>
      </c>
      <c r="W242" s="427" t="s">
        <v>852</v>
      </c>
      <c r="X242" s="427" t="s">
        <v>3277</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3998</v>
      </c>
      <c r="P243" s="530" t="s">
        <v>2308</v>
      </c>
      <c r="Q243" s="291"/>
      <c r="R243" s="170"/>
      <c r="S243" s="387"/>
      <c r="T243" s="491" t="s">
        <v>300</v>
      </c>
      <c r="U243" s="491" t="s">
        <v>309</v>
      </c>
      <c r="W243" s="427" t="s">
        <v>1876</v>
      </c>
      <c r="X243" s="427" t="s">
        <v>3277</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3999</v>
      </c>
      <c r="P244" s="530" t="s">
        <v>2329</v>
      </c>
      <c r="Q244" s="291"/>
      <c r="R244" s="170"/>
      <c r="S244" s="387"/>
      <c r="T244" s="491" t="s">
        <v>2309</v>
      </c>
      <c r="U244" s="491" t="s">
        <v>192</v>
      </c>
      <c r="W244" s="427" t="s">
        <v>1880</v>
      </c>
      <c r="X244" s="427" t="s">
        <v>3277</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4000</v>
      </c>
      <c r="P245" s="530" t="s">
        <v>2331</v>
      </c>
      <c r="Q245" s="291"/>
      <c r="R245" s="170"/>
      <c r="S245" s="387"/>
      <c r="T245" s="491" t="s">
        <v>2330</v>
      </c>
      <c r="U245" s="491" t="s">
        <v>1626</v>
      </c>
      <c r="W245" s="427" t="s">
        <v>699</v>
      </c>
      <c r="X245" s="427" t="s">
        <v>3277</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4001</v>
      </c>
      <c r="P246" s="530" t="s">
        <v>2332</v>
      </c>
      <c r="Q246" s="291"/>
      <c r="R246" s="170"/>
      <c r="S246" s="387"/>
      <c r="T246" s="491" t="s">
        <v>2746</v>
      </c>
      <c r="U246" s="491" t="s">
        <v>610</v>
      </c>
      <c r="W246" s="427" t="s">
        <v>1118</v>
      </c>
      <c r="X246" s="427" t="s">
        <v>3277</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4002</v>
      </c>
      <c r="P247" s="530" t="s">
        <v>2300</v>
      </c>
      <c r="Q247" s="291"/>
      <c r="R247" s="170"/>
      <c r="S247" s="387"/>
      <c r="T247" s="491" t="s">
        <v>611</v>
      </c>
      <c r="U247" s="491" t="s">
        <v>1300</v>
      </c>
      <c r="W247" s="427" t="s">
        <v>1120</v>
      </c>
      <c r="X247" s="427" t="s">
        <v>3277</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4003</v>
      </c>
      <c r="P248" s="530" t="s">
        <v>8</v>
      </c>
      <c r="Q248" s="291"/>
      <c r="R248" s="170"/>
      <c r="S248" s="387"/>
      <c r="T248" s="491" t="s">
        <v>1297</v>
      </c>
      <c r="U248" s="491" t="s">
        <v>639</v>
      </c>
      <c r="W248" s="427" t="s">
        <v>1122</v>
      </c>
      <c r="X248" s="427" t="s">
        <v>3277</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4004</v>
      </c>
      <c r="P249" s="530" t="s">
        <v>10</v>
      </c>
      <c r="Q249" s="291"/>
      <c r="R249" s="170"/>
      <c r="S249" s="387"/>
      <c r="T249" s="491" t="s">
        <v>2301</v>
      </c>
      <c r="U249" s="491" t="s">
        <v>2422</v>
      </c>
      <c r="W249" s="427" t="s">
        <v>2447</v>
      </c>
      <c r="X249" s="427" t="s">
        <v>3277</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4005</v>
      </c>
      <c r="P250" s="530" t="s">
        <v>54</v>
      </c>
      <c r="Q250" s="291"/>
      <c r="R250" s="170"/>
      <c r="S250" s="387"/>
      <c r="T250" s="491" t="s">
        <v>9</v>
      </c>
      <c r="U250" s="491" t="s">
        <v>648</v>
      </c>
      <c r="W250" s="427" t="s">
        <v>446</v>
      </c>
      <c r="X250" s="427" t="s">
        <v>3277</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4006</v>
      </c>
      <c r="P251" s="530" t="s">
        <v>56</v>
      </c>
      <c r="Q251" s="291"/>
      <c r="R251" s="170"/>
      <c r="S251" s="387"/>
      <c r="T251" s="491" t="s">
        <v>11</v>
      </c>
      <c r="U251" s="491" t="s">
        <v>309</v>
      </c>
      <c r="W251" s="427" t="s">
        <v>296</v>
      </c>
      <c r="X251" s="427" t="s">
        <v>3277</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4007</v>
      </c>
      <c r="P252" s="530" t="s">
        <v>58</v>
      </c>
      <c r="Q252" s="291"/>
      <c r="R252" s="170"/>
      <c r="S252" s="387"/>
      <c r="T252" s="491" t="s">
        <v>55</v>
      </c>
      <c r="U252" s="491" t="s">
        <v>2516</v>
      </c>
      <c r="W252" s="427" t="s">
        <v>1778</v>
      </c>
      <c r="X252" s="427" t="s">
        <v>3277</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4008</v>
      </c>
      <c r="P253" s="530" t="s">
        <v>345</v>
      </c>
      <c r="Q253" s="291"/>
      <c r="R253" s="170"/>
      <c r="S253" s="387"/>
      <c r="T253" s="491" t="s">
        <v>57</v>
      </c>
      <c r="U253" s="491" t="s">
        <v>351</v>
      </c>
      <c r="W253" s="427" t="s">
        <v>1780</v>
      </c>
      <c r="X253" s="427" t="s">
        <v>3277</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4009</v>
      </c>
      <c r="P254" s="530" t="s">
        <v>347</v>
      </c>
      <c r="Q254" s="291"/>
      <c r="R254" s="170"/>
      <c r="S254" s="387"/>
      <c r="T254" s="491" t="s">
        <v>59</v>
      </c>
      <c r="U254" s="491" t="s">
        <v>118</v>
      </c>
      <c r="W254" s="427" t="s">
        <v>1847</v>
      </c>
      <c r="X254" s="427" t="s">
        <v>3277</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4010</v>
      </c>
      <c r="P255" s="530" t="s">
        <v>349</v>
      </c>
      <c r="Q255" s="291"/>
      <c r="R255" s="170"/>
      <c r="S255" s="387"/>
      <c r="T255" s="491" t="s">
        <v>346</v>
      </c>
      <c r="U255" s="491" t="s">
        <v>2134</v>
      </c>
      <c r="W255" s="427" t="s">
        <v>2186</v>
      </c>
      <c r="X255" s="427" t="s">
        <v>3277</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4011</v>
      </c>
      <c r="P256" s="530" t="s">
        <v>2230</v>
      </c>
      <c r="Q256" s="291"/>
      <c r="R256" s="170"/>
      <c r="S256" s="387"/>
      <c r="T256" s="491" t="s">
        <v>348</v>
      </c>
      <c r="U256" s="491" t="s">
        <v>931</v>
      </c>
      <c r="W256" s="427" t="s">
        <v>412</v>
      </c>
      <c r="X256" s="427" t="s">
        <v>3277</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4012</v>
      </c>
      <c r="P257" s="530" t="s">
        <v>2232</v>
      </c>
      <c r="Q257" s="291"/>
      <c r="R257" s="170"/>
      <c r="S257" s="387"/>
      <c r="T257" s="491" t="s">
        <v>350</v>
      </c>
      <c r="U257" s="491" t="s">
        <v>1069</v>
      </c>
      <c r="W257" s="427" t="s">
        <v>2222</v>
      </c>
      <c r="X257" s="427" t="s">
        <v>3277</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4013</v>
      </c>
      <c r="P258" s="530" t="s">
        <v>2233</v>
      </c>
      <c r="Q258" s="291"/>
      <c r="R258" s="170"/>
      <c r="S258" s="387"/>
      <c r="T258" s="491" t="s">
        <v>612</v>
      </c>
      <c r="U258" s="491" t="s">
        <v>1424</v>
      </c>
      <c r="W258" s="427" t="s">
        <v>3267</v>
      </c>
      <c r="X258" s="427" t="s">
        <v>3277</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4014</v>
      </c>
      <c r="P259" s="530" t="s">
        <v>2234</v>
      </c>
      <c r="Q259" s="291"/>
      <c r="R259" s="170"/>
      <c r="S259" s="387"/>
      <c r="T259" s="491" t="s">
        <v>2231</v>
      </c>
      <c r="U259" s="491" t="s">
        <v>651</v>
      </c>
      <c r="W259" s="427" t="s">
        <v>656</v>
      </c>
      <c r="X259" s="427" t="s">
        <v>3277</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4015</v>
      </c>
      <c r="P260" s="530" t="s">
        <v>1526</v>
      </c>
      <c r="Q260" s="291"/>
      <c r="R260" s="170"/>
      <c r="S260" s="387"/>
      <c r="T260" s="491" t="s">
        <v>1305</v>
      </c>
      <c r="U260" s="491" t="s">
        <v>649</v>
      </c>
      <c r="W260" s="427" t="s">
        <v>2325</v>
      </c>
      <c r="X260" s="427" t="s">
        <v>3277</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4016</v>
      </c>
      <c r="P261" s="530" t="s">
        <v>1528</v>
      </c>
      <c r="Q261" s="291"/>
      <c r="R261" s="170"/>
      <c r="S261" s="387"/>
      <c r="T261" s="491" t="s">
        <v>2747</v>
      </c>
      <c r="U261" s="491" t="s">
        <v>651</v>
      </c>
      <c r="W261" s="427" t="s">
        <v>215</v>
      </c>
      <c r="X261" s="427" t="s">
        <v>3277</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3555</v>
      </c>
      <c r="L262" s="970" t="s">
        <v>416</v>
      </c>
      <c r="M262" s="1050" t="s">
        <v>2531</v>
      </c>
      <c r="N262" s="1050" t="s">
        <v>1303</v>
      </c>
      <c r="O262" s="1207" t="s">
        <v>4017</v>
      </c>
      <c r="P262" s="530" t="s">
        <v>1530</v>
      </c>
      <c r="Q262" s="291"/>
      <c r="R262" s="170"/>
      <c r="S262" s="387"/>
      <c r="T262" s="491" t="s">
        <v>2235</v>
      </c>
      <c r="U262" s="491" t="s">
        <v>101</v>
      </c>
      <c r="W262" s="427" t="s">
        <v>641</v>
      </c>
      <c r="X262" s="427" t="s">
        <v>3277</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4018</v>
      </c>
      <c r="P263" s="530" t="s">
        <v>1532</v>
      </c>
      <c r="Q263" s="291"/>
      <c r="R263" s="170"/>
      <c r="S263" s="387"/>
      <c r="T263" s="491" t="s">
        <v>1527</v>
      </c>
      <c r="U263" s="491" t="s">
        <v>1600</v>
      </c>
      <c r="W263" s="427" t="s">
        <v>229</v>
      </c>
      <c r="X263" s="427" t="s">
        <v>3277</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4019</v>
      </c>
      <c r="P264" s="530" t="s">
        <v>1534</v>
      </c>
      <c r="Q264" s="291"/>
      <c r="R264" s="170"/>
      <c r="S264" s="387"/>
      <c r="T264" s="491" t="s">
        <v>2497</v>
      </c>
      <c r="U264" s="491" t="s">
        <v>610</v>
      </c>
      <c r="W264" s="427" t="s">
        <v>642</v>
      </c>
      <c r="X264" s="427" t="s">
        <v>3277</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4020</v>
      </c>
      <c r="P265" s="530" t="s">
        <v>1699</v>
      </c>
      <c r="Q265" s="291"/>
      <c r="R265" s="170"/>
      <c r="S265" s="387"/>
      <c r="T265" s="491" t="s">
        <v>1529</v>
      </c>
      <c r="U265" s="491" t="s">
        <v>642</v>
      </c>
      <c r="W265" s="427" t="s">
        <v>767</v>
      </c>
      <c r="X265" s="427" t="s">
        <v>3277</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4021</v>
      </c>
      <c r="P266" s="530" t="s">
        <v>1701</v>
      </c>
      <c r="Q266" s="291"/>
      <c r="R266" s="170"/>
      <c r="S266" s="387"/>
      <c r="T266" s="491" t="s">
        <v>2748</v>
      </c>
      <c r="U266" s="491" t="s">
        <v>2184</v>
      </c>
      <c r="W266" s="427" t="s">
        <v>3268</v>
      </c>
      <c r="X266" s="427" t="s">
        <v>3277</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4022</v>
      </c>
      <c r="P267" s="530" t="s">
        <v>1703</v>
      </c>
      <c r="Q267" s="291"/>
      <c r="R267" s="170"/>
      <c r="S267" s="387"/>
      <c r="T267" s="491" t="s">
        <v>1531</v>
      </c>
      <c r="U267" s="491" t="s">
        <v>160</v>
      </c>
      <c r="W267" s="427" t="s">
        <v>3269</v>
      </c>
      <c r="X267" s="427" t="s">
        <v>3277</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4023</v>
      </c>
      <c r="P268" s="530" t="s">
        <v>1001</v>
      </c>
      <c r="Q268" s="291"/>
      <c r="R268" s="170"/>
      <c r="S268" s="387"/>
      <c r="T268" s="491" t="s">
        <v>1533</v>
      </c>
      <c r="U268" s="491" t="s">
        <v>1286</v>
      </c>
      <c r="W268" s="427" t="s">
        <v>1195</v>
      </c>
      <c r="X268" s="427" t="s">
        <v>3277</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4024</v>
      </c>
      <c r="P269" s="530" t="s">
        <v>1002</v>
      </c>
      <c r="Q269" s="291"/>
      <c r="R269" s="170"/>
      <c r="S269" s="387"/>
      <c r="T269" s="491" t="s">
        <v>1535</v>
      </c>
      <c r="U269" s="491" t="s">
        <v>175</v>
      </c>
      <c r="W269" s="427" t="s">
        <v>662</v>
      </c>
      <c r="X269" s="427" t="s">
        <v>3277</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4025</v>
      </c>
      <c r="P270" s="530" t="s">
        <v>231</v>
      </c>
      <c r="Q270" s="291"/>
      <c r="R270" s="170"/>
      <c r="S270" s="387"/>
      <c r="T270" s="491" t="s">
        <v>1700</v>
      </c>
      <c r="U270" s="491" t="s">
        <v>642</v>
      </c>
      <c r="W270" s="427" t="s">
        <v>649</v>
      </c>
      <c r="X270" s="427" t="s">
        <v>3277</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4026</v>
      </c>
      <c r="P271" s="530" t="s">
        <v>233</v>
      </c>
      <c r="Q271" s="291"/>
      <c r="R271" s="170"/>
      <c r="S271" s="387"/>
      <c r="T271" s="491" t="s">
        <v>1702</v>
      </c>
      <c r="U271" s="491" t="s">
        <v>715</v>
      </c>
      <c r="W271" s="427" t="s">
        <v>959</v>
      </c>
      <c r="X271" s="427" t="s">
        <v>3277</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4027</v>
      </c>
      <c r="P272" s="530" t="s">
        <v>1237</v>
      </c>
      <c r="Q272" s="291"/>
      <c r="R272" s="170"/>
      <c r="S272" s="387"/>
      <c r="T272" s="491" t="s">
        <v>1000</v>
      </c>
      <c r="U272" s="491" t="s">
        <v>1287</v>
      </c>
      <c r="W272" s="427" t="s">
        <v>963</v>
      </c>
      <c r="X272" s="427" t="s">
        <v>3277</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4028</v>
      </c>
      <c r="P273" s="530" t="s">
        <v>2010</v>
      </c>
      <c r="Q273" s="291"/>
      <c r="R273" s="170"/>
      <c r="S273" s="387"/>
      <c r="T273" s="491" t="s">
        <v>1003</v>
      </c>
      <c r="U273" s="491" t="s">
        <v>640</v>
      </c>
      <c r="W273" s="427" t="s">
        <v>965</v>
      </c>
      <c r="X273" s="427" t="s">
        <v>3277</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4029</v>
      </c>
      <c r="P274" s="530" t="s">
        <v>2012</v>
      </c>
      <c r="Q274" s="291"/>
      <c r="R274" s="170"/>
      <c r="S274" s="387"/>
      <c r="T274" s="491" t="s">
        <v>232</v>
      </c>
      <c r="U274" s="491" t="s">
        <v>2462</v>
      </c>
      <c r="W274" s="427" t="s">
        <v>557</v>
      </c>
      <c r="X274" s="427" t="s">
        <v>3277</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4030</v>
      </c>
      <c r="P275" s="530" t="s">
        <v>2014</v>
      </c>
      <c r="Q275" s="291"/>
      <c r="R275" s="170"/>
      <c r="S275" s="387"/>
      <c r="T275" s="531" t="s">
        <v>2749</v>
      </c>
      <c r="U275" s="531" t="s">
        <v>853</v>
      </c>
      <c r="W275" s="427" t="s">
        <v>366</v>
      </c>
      <c r="X275" s="427" t="s">
        <v>3277</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3554</v>
      </c>
      <c r="L276" s="970" t="s">
        <v>416</v>
      </c>
      <c r="M276" s="1050" t="s">
        <v>2531</v>
      </c>
      <c r="N276" s="1050" t="s">
        <v>1179</v>
      </c>
      <c r="O276" s="1207" t="s">
        <v>4031</v>
      </c>
      <c r="P276" s="530" t="s">
        <v>2016</v>
      </c>
      <c r="Q276" s="291"/>
      <c r="R276" s="170"/>
      <c r="S276" s="387"/>
      <c r="T276" s="491" t="s">
        <v>1714</v>
      </c>
      <c r="U276" s="491" t="s">
        <v>1075</v>
      </c>
      <c r="W276" s="427" t="s">
        <v>1562</v>
      </c>
      <c r="X276" s="427" t="s">
        <v>3277</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4032</v>
      </c>
      <c r="P277" s="530" t="s">
        <v>2018</v>
      </c>
      <c r="Q277" s="291"/>
      <c r="R277" s="170"/>
      <c r="S277" s="387"/>
      <c r="T277" s="491" t="s">
        <v>2011</v>
      </c>
      <c r="U277" s="491" t="s">
        <v>315</v>
      </c>
      <c r="W277" s="427" t="s">
        <v>987</v>
      </c>
      <c r="X277" s="427" t="s">
        <v>3277</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4033</v>
      </c>
      <c r="P278" s="530" t="s">
        <v>2020</v>
      </c>
      <c r="Q278" s="291"/>
      <c r="R278" s="170"/>
      <c r="S278" s="387"/>
      <c r="T278" s="491" t="s">
        <v>2013</v>
      </c>
      <c r="U278" s="491" t="s">
        <v>313</v>
      </c>
      <c r="W278" s="427" t="s">
        <v>989</v>
      </c>
      <c r="X278" s="427" t="s">
        <v>3277</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4034</v>
      </c>
      <c r="P279" s="530" t="s">
        <v>657</v>
      </c>
      <c r="Q279" s="291"/>
      <c r="R279" s="170"/>
      <c r="S279" s="387"/>
      <c r="T279" s="491" t="s">
        <v>2015</v>
      </c>
      <c r="U279" s="491" t="s">
        <v>610</v>
      </c>
      <c r="W279" s="427" t="s">
        <v>1637</v>
      </c>
      <c r="X279" s="427" t="s">
        <v>3277</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4035</v>
      </c>
      <c r="P280" s="530" t="s">
        <v>2268</v>
      </c>
      <c r="Q280" s="291"/>
      <c r="R280" s="170"/>
      <c r="S280" s="387"/>
      <c r="T280" s="491" t="s">
        <v>2017</v>
      </c>
      <c r="U280" s="491" t="s">
        <v>2518</v>
      </c>
      <c r="W280" s="427" t="s">
        <v>846</v>
      </c>
      <c r="X280" s="427" t="s">
        <v>3277</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4036</v>
      </c>
      <c r="P281" s="530" t="s">
        <v>2269</v>
      </c>
      <c r="Q281" s="291"/>
      <c r="R281" s="170"/>
      <c r="S281" s="387"/>
      <c r="T281" s="491" t="s">
        <v>4238</v>
      </c>
      <c r="U281" s="491" t="s">
        <v>1180</v>
      </c>
      <c r="W281" s="427" t="s">
        <v>1697</v>
      </c>
      <c r="X281" s="427" t="s">
        <v>3277</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4037</v>
      </c>
      <c r="P282" s="530" t="s">
        <v>1220</v>
      </c>
      <c r="Q282" s="291"/>
      <c r="R282" s="170"/>
      <c r="S282" s="387"/>
      <c r="T282" s="491" t="s">
        <v>2498</v>
      </c>
      <c r="U282" s="491" t="s">
        <v>1959</v>
      </c>
      <c r="W282" s="427" t="s">
        <v>613</v>
      </c>
      <c r="X282" s="427" t="s">
        <v>3277</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4038</v>
      </c>
      <c r="P283" s="530" t="s">
        <v>1222</v>
      </c>
      <c r="Q283" s="291"/>
      <c r="R283" s="170"/>
      <c r="S283" s="387"/>
      <c r="T283" s="491" t="s">
        <v>2019</v>
      </c>
      <c r="U283" s="491" t="s">
        <v>195</v>
      </c>
      <c r="W283" s="427" t="s">
        <v>2229</v>
      </c>
      <c r="X283" s="427" t="s">
        <v>3277</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4039</v>
      </c>
      <c r="P284" s="530" t="s">
        <v>1224</v>
      </c>
      <c r="Q284" s="291"/>
      <c r="R284" s="170"/>
      <c r="S284" s="387"/>
      <c r="T284" s="491" t="s">
        <v>2750</v>
      </c>
      <c r="U284" s="491" t="s">
        <v>644</v>
      </c>
      <c r="W284" s="427" t="s">
        <v>1011</v>
      </c>
      <c r="X284" s="427" t="s">
        <v>3277</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4040</v>
      </c>
      <c r="P285" s="530" t="s">
        <v>1225</v>
      </c>
      <c r="Q285" s="291"/>
      <c r="R285" s="170"/>
      <c r="S285" s="387"/>
      <c r="T285" s="491" t="s">
        <v>2021</v>
      </c>
      <c r="U285" s="491" t="s">
        <v>195</v>
      </c>
      <c r="W285" s="427" t="s">
        <v>1896</v>
      </c>
      <c r="X285" s="427" t="s">
        <v>3277</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4041</v>
      </c>
      <c r="P286" s="530" t="s">
        <v>1227</v>
      </c>
      <c r="Q286" s="291"/>
      <c r="R286" s="170"/>
      <c r="S286" s="387"/>
      <c r="T286" s="491" t="s">
        <v>658</v>
      </c>
      <c r="U286" s="491" t="s">
        <v>1959</v>
      </c>
      <c r="W286" s="427" t="s">
        <v>482</v>
      </c>
      <c r="X286" s="427" t="s">
        <v>3277</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4042</v>
      </c>
      <c r="P287" s="530" t="s">
        <v>2428</v>
      </c>
      <c r="Q287" s="291"/>
      <c r="R287" s="170"/>
      <c r="S287" s="387"/>
      <c r="T287" s="491" t="s">
        <v>2270</v>
      </c>
      <c r="U287" s="491" t="s">
        <v>119</v>
      </c>
      <c r="W287" s="427" t="s">
        <v>1608</v>
      </c>
      <c r="X287" s="427" t="s">
        <v>3277</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4043</v>
      </c>
      <c r="P288" s="530" t="s">
        <v>80</v>
      </c>
      <c r="Q288" s="291"/>
      <c r="R288" s="170"/>
      <c r="S288" s="387"/>
      <c r="T288" s="491" t="s">
        <v>1221</v>
      </c>
      <c r="U288" s="491" t="s">
        <v>610</v>
      </c>
      <c r="W288" s="427" t="s">
        <v>921</v>
      </c>
      <c r="X288" s="427" t="s">
        <v>3277</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4044</v>
      </c>
      <c r="P289" s="530" t="s">
        <v>81</v>
      </c>
      <c r="Q289" s="291"/>
      <c r="R289" s="170"/>
      <c r="S289" s="387"/>
      <c r="T289" s="491" t="s">
        <v>1223</v>
      </c>
      <c r="U289" s="491" t="s">
        <v>2186</v>
      </c>
      <c r="W289" s="427" t="s">
        <v>2247</v>
      </c>
      <c r="X289" s="427" t="s">
        <v>3277</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4045</v>
      </c>
      <c r="P290" s="530" t="s">
        <v>82</v>
      </c>
      <c r="Q290" s="291"/>
      <c r="R290" s="170"/>
      <c r="S290" s="387"/>
      <c r="T290" s="491" t="s">
        <v>2418</v>
      </c>
      <c r="U290" s="491" t="s">
        <v>1083</v>
      </c>
      <c r="W290" s="427" t="s">
        <v>318</v>
      </c>
      <c r="X290" s="427" t="s">
        <v>3277</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4046</v>
      </c>
      <c r="P291" s="530" t="s">
        <v>84</v>
      </c>
      <c r="Q291" s="291"/>
      <c r="R291" s="170"/>
      <c r="S291" s="387"/>
      <c r="T291" s="491" t="s">
        <v>1226</v>
      </c>
      <c r="U291" s="491" t="s">
        <v>306</v>
      </c>
      <c r="W291" s="427" t="s">
        <v>320</v>
      </c>
      <c r="X291" s="427" t="s">
        <v>3277</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4047</v>
      </c>
      <c r="P292" s="530" t="s">
        <v>1201</v>
      </c>
      <c r="Q292" s="291"/>
      <c r="R292" s="170"/>
      <c r="S292" s="387"/>
      <c r="T292" s="491" t="s">
        <v>2427</v>
      </c>
      <c r="U292" s="491" t="s">
        <v>111</v>
      </c>
      <c r="W292" s="427" t="s">
        <v>323</v>
      </c>
      <c r="X292" s="427" t="s">
        <v>3277</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4048</v>
      </c>
      <c r="P293" s="530" t="s">
        <v>1203</v>
      </c>
      <c r="Q293" s="291"/>
      <c r="R293" s="170"/>
      <c r="S293" s="387"/>
      <c r="T293" s="491" t="s">
        <v>79</v>
      </c>
      <c r="U293" s="491" t="s">
        <v>192</v>
      </c>
      <c r="W293" s="427" t="s">
        <v>1712</v>
      </c>
      <c r="X293" s="427" t="s">
        <v>3277</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4049</v>
      </c>
      <c r="P294" s="530" t="s">
        <v>1205</v>
      </c>
      <c r="Q294" s="291"/>
      <c r="R294" s="170"/>
      <c r="S294" s="387"/>
      <c r="T294" s="491" t="s">
        <v>83</v>
      </c>
      <c r="U294" s="491" t="s">
        <v>2132</v>
      </c>
      <c r="W294" s="427" t="s">
        <v>673</v>
      </c>
      <c r="X294" s="427" t="s">
        <v>3277</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4050</v>
      </c>
      <c r="P295" s="530" t="s">
        <v>1207</v>
      </c>
      <c r="Q295" s="291"/>
      <c r="R295" s="170"/>
      <c r="S295" s="387"/>
      <c r="T295" s="491" t="s">
        <v>85</v>
      </c>
      <c r="U295" s="491" t="s">
        <v>1294</v>
      </c>
      <c r="W295" s="427" t="s">
        <v>2292</v>
      </c>
      <c r="X295" s="427" t="s">
        <v>3277</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4051</v>
      </c>
      <c r="P296" s="530" t="s">
        <v>1209</v>
      </c>
      <c r="Q296" s="291"/>
      <c r="R296" s="170"/>
      <c r="S296" s="387"/>
      <c r="T296" s="491" t="s">
        <v>1202</v>
      </c>
      <c r="U296" s="491" t="s">
        <v>1902</v>
      </c>
      <c r="W296" s="427" t="s">
        <v>466</v>
      </c>
      <c r="X296" s="427" t="s">
        <v>3277</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4052</v>
      </c>
      <c r="P297" s="530" t="s">
        <v>1211</v>
      </c>
      <c r="Q297" s="291"/>
      <c r="R297" s="170"/>
      <c r="S297" s="387"/>
      <c r="T297" s="491" t="s">
        <v>1204</v>
      </c>
      <c r="U297" s="491" t="s">
        <v>175</v>
      </c>
      <c r="W297" s="427" t="s">
        <v>3270</v>
      </c>
      <c r="X297" s="427" t="s">
        <v>3277</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4053</v>
      </c>
      <c r="P298" s="530" t="s">
        <v>870</v>
      </c>
      <c r="Q298" s="291"/>
      <c r="R298" s="170"/>
      <c r="S298" s="387"/>
      <c r="T298" s="531" t="s">
        <v>1206</v>
      </c>
      <c r="U298" s="531" t="s">
        <v>1085</v>
      </c>
      <c r="W298" s="427" t="s">
        <v>3271</v>
      </c>
      <c r="X298" s="427" t="s">
        <v>3277</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4054</v>
      </c>
      <c r="P299" s="530" t="s">
        <v>871</v>
      </c>
      <c r="Q299" s="291"/>
      <c r="R299" s="170"/>
      <c r="S299" s="387"/>
      <c r="T299" s="491" t="s">
        <v>1208</v>
      </c>
      <c r="U299" s="491" t="s">
        <v>1180</v>
      </c>
      <c r="W299" s="427" t="s">
        <v>76</v>
      </c>
      <c r="X299" s="427" t="s">
        <v>3277</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4055</v>
      </c>
      <c r="P300" s="530" t="s">
        <v>873</v>
      </c>
      <c r="Q300" s="291"/>
      <c r="R300" s="170"/>
      <c r="S300" s="387"/>
      <c r="T300" s="491" t="s">
        <v>1210</v>
      </c>
      <c r="U300" s="491" t="s">
        <v>2132</v>
      </c>
      <c r="W300" s="427" t="s">
        <v>2350</v>
      </c>
      <c r="X300" s="427" t="s">
        <v>3277</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4056</v>
      </c>
      <c r="P301" s="530" t="s">
        <v>875</v>
      </c>
      <c r="Q301" s="291"/>
      <c r="R301" s="170"/>
      <c r="S301" s="387"/>
      <c r="T301" s="491" t="s">
        <v>2424</v>
      </c>
      <c r="U301" s="491" t="s">
        <v>1598</v>
      </c>
      <c r="W301" s="427" t="s">
        <v>596</v>
      </c>
      <c r="X301" s="427" t="s">
        <v>3277</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4057</v>
      </c>
      <c r="P302" s="530" t="s">
        <v>2087</v>
      </c>
      <c r="Q302" s="291"/>
      <c r="R302" s="170"/>
      <c r="S302" s="387"/>
      <c r="T302" s="491" t="s">
        <v>157</v>
      </c>
      <c r="U302" s="491" t="s">
        <v>2520</v>
      </c>
      <c r="W302" s="427" t="s">
        <v>945</v>
      </c>
      <c r="X302" s="427" t="s">
        <v>3277</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4058</v>
      </c>
      <c r="P303" s="530" t="s">
        <v>2088</v>
      </c>
      <c r="Q303" s="291"/>
      <c r="R303" s="170"/>
      <c r="S303" s="387"/>
      <c r="T303" s="491" t="s">
        <v>872</v>
      </c>
      <c r="U303" s="491" t="s">
        <v>175</v>
      </c>
      <c r="W303" s="427" t="s">
        <v>1461</v>
      </c>
      <c r="X303" s="427" t="s">
        <v>3277</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4059</v>
      </c>
      <c r="P304" s="530" t="s">
        <v>2006</v>
      </c>
      <c r="Q304" s="291"/>
      <c r="R304" s="170"/>
      <c r="S304" s="387"/>
      <c r="T304" s="531" t="s">
        <v>874</v>
      </c>
      <c r="U304" s="531" t="s">
        <v>318</v>
      </c>
      <c r="W304" s="427" t="s">
        <v>2277</v>
      </c>
      <c r="X304" s="427" t="s">
        <v>3277</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4060</v>
      </c>
      <c r="P305" s="530" t="s">
        <v>2008</v>
      </c>
      <c r="Q305" s="291"/>
      <c r="R305" s="170"/>
      <c r="S305" s="387"/>
      <c r="T305" s="491" t="s">
        <v>876</v>
      </c>
      <c r="U305" s="491" t="s">
        <v>1074</v>
      </c>
      <c r="W305" s="427" t="s">
        <v>801</v>
      </c>
      <c r="X305" s="427" t="s">
        <v>3277</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4061</v>
      </c>
      <c r="P306" s="530" t="s">
        <v>580</v>
      </c>
      <c r="Q306" s="291"/>
      <c r="R306" s="170"/>
      <c r="S306" s="387"/>
      <c r="T306" s="491" t="s">
        <v>2499</v>
      </c>
      <c r="U306" s="491" t="s">
        <v>2418</v>
      </c>
      <c r="W306" s="427" t="s">
        <v>804</v>
      </c>
      <c r="X306" s="427" t="s">
        <v>3277</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4062</v>
      </c>
      <c r="P307" s="530" t="s">
        <v>581</v>
      </c>
      <c r="Q307" s="291"/>
      <c r="R307" s="170"/>
      <c r="S307" s="387"/>
      <c r="T307" s="491" t="s">
        <v>2089</v>
      </c>
      <c r="U307" s="491" t="s">
        <v>1088</v>
      </c>
      <c r="W307" s="427" t="s">
        <v>1477</v>
      </c>
      <c r="X307" s="427" t="s">
        <v>3277</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4063</v>
      </c>
      <c r="P308" s="530" t="s">
        <v>583</v>
      </c>
      <c r="Q308" s="291"/>
      <c r="R308" s="170"/>
      <c r="S308" s="387"/>
      <c r="T308" s="491" t="s">
        <v>2007</v>
      </c>
      <c r="U308" s="491" t="s">
        <v>1627</v>
      </c>
      <c r="W308" s="427" t="s">
        <v>474</v>
      </c>
      <c r="X308" s="427" t="s">
        <v>3277</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4064</v>
      </c>
      <c r="P309" s="530" t="s">
        <v>585</v>
      </c>
      <c r="Q309" s="291"/>
      <c r="R309" s="170"/>
      <c r="S309" s="387"/>
      <c r="T309" s="491" t="s">
        <v>2009</v>
      </c>
      <c r="U309" s="491" t="s">
        <v>2466</v>
      </c>
      <c r="W309" s="427" t="s">
        <v>1366</v>
      </c>
      <c r="X309" s="427" t="s">
        <v>3277</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4065</v>
      </c>
      <c r="P310" s="530" t="s">
        <v>586</v>
      </c>
      <c r="Q310" s="291"/>
      <c r="R310" s="170"/>
      <c r="S310" s="387"/>
      <c r="T310" s="491" t="s">
        <v>806</v>
      </c>
      <c r="U310" s="491" t="s">
        <v>313</v>
      </c>
      <c r="W310" s="427" t="s">
        <v>1368</v>
      </c>
      <c r="X310" s="427" t="s">
        <v>3277</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4066</v>
      </c>
      <c r="P311" s="530" t="s">
        <v>587</v>
      </c>
      <c r="Q311" s="291"/>
      <c r="R311" s="170"/>
      <c r="S311" s="387"/>
      <c r="T311" s="491" t="s">
        <v>582</v>
      </c>
      <c r="U311" s="491" t="s">
        <v>119</v>
      </c>
      <c r="W311" s="427" t="s">
        <v>2426</v>
      </c>
      <c r="X311" s="427" t="s">
        <v>3277</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4067</v>
      </c>
      <c r="P312" s="530" t="s">
        <v>589</v>
      </c>
      <c r="Q312" s="291"/>
      <c r="R312" s="170"/>
      <c r="S312" s="387"/>
      <c r="T312" s="491" t="s">
        <v>2500</v>
      </c>
      <c r="U312" s="491" t="s">
        <v>1300</v>
      </c>
      <c r="W312" s="427" t="s">
        <v>1035</v>
      </c>
      <c r="X312" s="427" t="s">
        <v>3277</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4068</v>
      </c>
      <c r="P313" s="530" t="s">
        <v>591</v>
      </c>
      <c r="Q313" s="291"/>
      <c r="R313" s="170"/>
      <c r="S313" s="387"/>
      <c r="T313" s="491" t="s">
        <v>584</v>
      </c>
      <c r="U313" s="491" t="s">
        <v>2521</v>
      </c>
      <c r="W313" s="427" t="s">
        <v>1293</v>
      </c>
      <c r="X313" s="427" t="s">
        <v>3277</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4069</v>
      </c>
      <c r="P314" s="530" t="s">
        <v>532</v>
      </c>
      <c r="Q314" s="291"/>
      <c r="R314" s="170"/>
      <c r="S314" s="387"/>
      <c r="T314" s="491" t="s">
        <v>2465</v>
      </c>
      <c r="U314" s="491" t="s">
        <v>2523</v>
      </c>
      <c r="W314" s="427" t="s">
        <v>175</v>
      </c>
      <c r="X314" s="427" t="s">
        <v>3277</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4070</v>
      </c>
      <c r="P315" s="530" t="s">
        <v>1134</v>
      </c>
      <c r="Q315" s="291"/>
      <c r="R315" s="170"/>
      <c r="S315" s="387"/>
      <c r="T315" s="491" t="s">
        <v>588</v>
      </c>
      <c r="U315" s="491" t="s">
        <v>2130</v>
      </c>
      <c r="W315" s="427" t="s">
        <v>1542</v>
      </c>
      <c r="X315" s="427" t="s">
        <v>3277</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4071</v>
      </c>
      <c r="P316" s="530" t="s">
        <v>729</v>
      </c>
      <c r="Q316" s="291"/>
      <c r="R316" s="170"/>
      <c r="S316" s="387"/>
      <c r="T316" s="491" t="s">
        <v>2751</v>
      </c>
      <c r="U316" s="491" t="s">
        <v>1079</v>
      </c>
      <c r="W316" s="427" t="s">
        <v>371</v>
      </c>
      <c r="X316" s="427" t="s">
        <v>3277</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4072</v>
      </c>
      <c r="P317" s="530" t="s">
        <v>34</v>
      </c>
      <c r="Q317" s="291"/>
      <c r="R317" s="170"/>
      <c r="S317" s="387"/>
      <c r="T317" s="491" t="s">
        <v>590</v>
      </c>
      <c r="U317" s="491" t="s">
        <v>1602</v>
      </c>
      <c r="W317" s="427" t="s">
        <v>373</v>
      </c>
      <c r="X317" s="427" t="s">
        <v>3277</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4073</v>
      </c>
      <c r="P318" s="530" t="s">
        <v>1916</v>
      </c>
      <c r="Q318" s="291"/>
      <c r="R318" s="170"/>
      <c r="S318" s="387"/>
      <c r="T318" s="491" t="s">
        <v>531</v>
      </c>
      <c r="U318" s="491" t="s">
        <v>641</v>
      </c>
      <c r="W318" s="427" t="s">
        <v>1574</v>
      </c>
      <c r="X318" s="427" t="s">
        <v>3277</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4074</v>
      </c>
      <c r="P319" s="530" t="s">
        <v>1918</v>
      </c>
      <c r="Q319" s="291"/>
      <c r="R319" s="170"/>
      <c r="S319" s="387"/>
      <c r="T319" s="491" t="s">
        <v>533</v>
      </c>
      <c r="U319" s="491" t="s">
        <v>156</v>
      </c>
      <c r="W319" s="427" t="s">
        <v>1066</v>
      </c>
      <c r="X319" s="427" t="s">
        <v>3277</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4075</v>
      </c>
      <c r="P320" s="530" t="s">
        <v>329</v>
      </c>
      <c r="Q320" s="291"/>
      <c r="R320" s="170"/>
      <c r="S320" s="387"/>
      <c r="T320" s="491" t="s">
        <v>728</v>
      </c>
      <c r="U320" s="491" t="s">
        <v>1085</v>
      </c>
      <c r="W320" s="427" t="s">
        <v>3272</v>
      </c>
      <c r="X320" s="427" t="s">
        <v>3277</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4076</v>
      </c>
      <c r="P321" s="530" t="s">
        <v>331</v>
      </c>
      <c r="Q321" s="291"/>
      <c r="R321" s="170"/>
      <c r="S321" s="387"/>
      <c r="T321" s="491" t="s">
        <v>730</v>
      </c>
      <c r="U321" s="491" t="s">
        <v>118</v>
      </c>
      <c r="W321" s="427" t="s">
        <v>3273</v>
      </c>
      <c r="X321" s="427" t="s">
        <v>3277</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4077</v>
      </c>
      <c r="P322" s="530" t="s">
        <v>333</v>
      </c>
      <c r="Q322" s="291"/>
      <c r="R322" s="170"/>
      <c r="S322" s="387"/>
      <c r="T322" s="491" t="s">
        <v>35</v>
      </c>
      <c r="U322" s="491" t="s">
        <v>172</v>
      </c>
      <c r="W322" s="427" t="s">
        <v>507</v>
      </c>
      <c r="X322" s="427" t="s">
        <v>3277</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4078</v>
      </c>
      <c r="P323" s="530" t="s">
        <v>335</v>
      </c>
      <c r="Q323" s="291"/>
      <c r="R323" s="170"/>
      <c r="S323" s="387"/>
      <c r="T323" s="491" t="s">
        <v>1917</v>
      </c>
      <c r="U323" s="491" t="s">
        <v>2186</v>
      </c>
      <c r="W323" s="427" t="s">
        <v>509</v>
      </c>
      <c r="X323" s="427" t="s">
        <v>3277</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4079</v>
      </c>
      <c r="P324" s="530" t="s">
        <v>337</v>
      </c>
      <c r="Q324" s="291"/>
      <c r="R324" s="170"/>
      <c r="S324" s="387"/>
      <c r="T324" s="491" t="s">
        <v>1919</v>
      </c>
      <c r="U324" s="491" t="s">
        <v>2524</v>
      </c>
      <c r="W324" s="427" t="s">
        <v>515</v>
      </c>
      <c r="X324" s="427" t="s">
        <v>3277</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4080</v>
      </c>
      <c r="P325" s="530" t="s">
        <v>339</v>
      </c>
      <c r="Q325" s="291"/>
      <c r="R325" s="170"/>
      <c r="S325" s="387"/>
      <c r="T325" s="491" t="s">
        <v>330</v>
      </c>
      <c r="U325" s="491" t="s">
        <v>1902</v>
      </c>
      <c r="W325" s="427" t="s">
        <v>527</v>
      </c>
      <c r="X325" s="427" t="s">
        <v>3277</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4081</v>
      </c>
      <c r="P326" s="530" t="s">
        <v>1892</v>
      </c>
      <c r="Q326" s="291"/>
      <c r="R326" s="170"/>
      <c r="S326" s="387"/>
      <c r="T326" s="491" t="s">
        <v>332</v>
      </c>
      <c r="U326" s="491" t="s">
        <v>853</v>
      </c>
      <c r="W326" s="427" t="s">
        <v>1602</v>
      </c>
      <c r="X326" s="427" t="s">
        <v>3277</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4082</v>
      </c>
      <c r="P327" s="530" t="s">
        <v>1894</v>
      </c>
      <c r="Q327" s="291"/>
      <c r="R327" s="170"/>
      <c r="S327" s="387"/>
      <c r="T327" s="491" t="s">
        <v>334</v>
      </c>
      <c r="U327" s="491" t="s">
        <v>175</v>
      </c>
      <c r="W327" s="427" t="s">
        <v>2046</v>
      </c>
      <c r="X327" s="427" t="s">
        <v>3277</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4083</v>
      </c>
      <c r="P328" s="530" t="s">
        <v>2103</v>
      </c>
      <c r="Q328" s="291"/>
      <c r="R328" s="170"/>
      <c r="S328" s="387"/>
      <c r="T328" s="531" t="s">
        <v>336</v>
      </c>
      <c r="U328" s="531" t="s">
        <v>2336</v>
      </c>
      <c r="W328" s="427" t="s">
        <v>3274</v>
      </c>
      <c r="X328" s="427" t="s">
        <v>3277</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4084</v>
      </c>
      <c r="P329" s="530" t="s">
        <v>149</v>
      </c>
      <c r="Q329" s="291"/>
      <c r="R329" s="170"/>
      <c r="S329" s="387"/>
      <c r="T329" s="491" t="s">
        <v>338</v>
      </c>
      <c r="U329" s="491" t="s">
        <v>1829</v>
      </c>
      <c r="W329" s="427" t="s">
        <v>2190</v>
      </c>
      <c r="X329" s="427" t="s">
        <v>3277</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4085</v>
      </c>
      <c r="P330" s="530" t="s">
        <v>150</v>
      </c>
      <c r="Q330" s="291"/>
      <c r="R330" s="170"/>
      <c r="S330" s="387"/>
      <c r="T330" s="491" t="s">
        <v>340</v>
      </c>
      <c r="U330" s="491" t="s">
        <v>171</v>
      </c>
      <c r="W330" s="427" t="s">
        <v>391</v>
      </c>
      <c r="X330" s="427" t="s">
        <v>3277</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4086</v>
      </c>
      <c r="P331" s="530" t="s">
        <v>1547</v>
      </c>
      <c r="Q331" s="291"/>
      <c r="R331" s="170"/>
      <c r="S331" s="387"/>
      <c r="T331" s="491" t="s">
        <v>1893</v>
      </c>
      <c r="U331" s="491" t="s">
        <v>103</v>
      </c>
      <c r="W331" s="427" t="s">
        <v>1793</v>
      </c>
      <c r="X331" s="427" t="s">
        <v>3277</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4087</v>
      </c>
      <c r="P332" s="530" t="s">
        <v>770</v>
      </c>
      <c r="Q332" s="291"/>
      <c r="R332" s="170"/>
      <c r="S332" s="387"/>
      <c r="T332" s="491" t="s">
        <v>191</v>
      </c>
      <c r="U332" s="491" t="s">
        <v>1626</v>
      </c>
      <c r="W332" s="427" t="s">
        <v>2213</v>
      </c>
      <c r="X332" s="427" t="s">
        <v>3277</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3277</v>
      </c>
      <c r="AA333" s="27"/>
      <c r="AB333" s="27"/>
      <c r="AC333" s="889"/>
      <c r="AD333" s="502"/>
    </row>
    <row r="334" spans="3:30" ht="10.5" customHeight="1">
      <c r="C334" s="3453">
        <v>2019</v>
      </c>
      <c r="D334" s="3454"/>
      <c r="E334" s="3454"/>
      <c r="F334" s="3454"/>
      <c r="G334" s="3453">
        <v>2020</v>
      </c>
      <c r="H334" s="3453"/>
      <c r="I334" s="3453"/>
      <c r="J334" s="3453"/>
      <c r="K334"/>
      <c r="L334" s="3455" t="s">
        <v>4762</v>
      </c>
      <c r="M334" s="3456"/>
      <c r="N334" s="3456"/>
      <c r="O334" s="3457"/>
      <c r="P334" s="530" t="s">
        <v>774</v>
      </c>
      <c r="Q334" s="291"/>
      <c r="R334" s="170"/>
      <c r="S334" s="387"/>
      <c r="T334" s="531" t="s">
        <v>671</v>
      </c>
      <c r="U334" s="531" t="s">
        <v>2126</v>
      </c>
      <c r="W334" s="427" t="s">
        <v>1422</v>
      </c>
      <c r="X334" s="427" t="s">
        <v>3277</v>
      </c>
      <c r="AA334" s="27"/>
      <c r="AB334" s="27"/>
      <c r="AC334" s="889"/>
      <c r="AD334" s="502"/>
    </row>
    <row r="335" spans="3:30" ht="10.5" customHeight="1">
      <c r="C335" s="3458" t="s">
        <v>4605</v>
      </c>
      <c r="D335" s="3459" t="s">
        <v>4606</v>
      </c>
      <c r="E335" s="3459" t="s">
        <v>4607</v>
      </c>
      <c r="F335" s="3459" t="s">
        <v>4608</v>
      </c>
      <c r="G335" s="3458" t="s">
        <v>4605</v>
      </c>
      <c r="H335" s="3459" t="s">
        <v>4606</v>
      </c>
      <c r="I335" s="3459" t="s">
        <v>4607</v>
      </c>
      <c r="J335" s="3459" t="s">
        <v>4608</v>
      </c>
      <c r="K335"/>
      <c r="L335" s="3458" t="s">
        <v>4605</v>
      </c>
      <c r="M335" s="3459" t="s">
        <v>4606</v>
      </c>
      <c r="N335" s="3459" t="s">
        <v>4607</v>
      </c>
      <c r="O335" s="3459" t="s">
        <v>4608</v>
      </c>
      <c r="P335" s="530" t="s">
        <v>2358</v>
      </c>
      <c r="Q335" s="291"/>
      <c r="R335" s="170"/>
      <c r="S335" s="387"/>
      <c r="T335" s="491" t="s">
        <v>151</v>
      </c>
      <c r="U335" s="491" t="s">
        <v>1828</v>
      </c>
      <c r="W335" s="427" t="s">
        <v>1549</v>
      </c>
      <c r="X335" s="427" t="s">
        <v>3277</v>
      </c>
      <c r="AA335" s="27"/>
      <c r="AB335" s="27"/>
      <c r="AC335" s="890"/>
      <c r="AD335" s="502"/>
    </row>
    <row r="336" spans="3:30" ht="10.5" customHeight="1">
      <c r="C336" s="3458"/>
      <c r="D336" s="3459"/>
      <c r="E336" s="3459"/>
      <c r="F336" s="3459"/>
      <c r="G336" s="3458"/>
      <c r="H336" s="3459"/>
      <c r="I336" s="3459"/>
      <c r="J336" s="3459"/>
      <c r="K336"/>
      <c r="L336" s="3458"/>
      <c r="M336" s="3459"/>
      <c r="N336" s="3459"/>
      <c r="O336" s="3459"/>
      <c r="P336" s="530" t="s">
        <v>2359</v>
      </c>
      <c r="Q336" s="291"/>
      <c r="R336" s="170"/>
      <c r="S336" s="387"/>
      <c r="T336" s="491" t="s">
        <v>192</v>
      </c>
      <c r="U336" s="491" t="s">
        <v>610</v>
      </c>
      <c r="W336" s="427" t="s">
        <v>2069</v>
      </c>
      <c r="X336" s="427" t="s">
        <v>3277</v>
      </c>
      <c r="AA336" s="27"/>
      <c r="AB336" s="27"/>
      <c r="AC336" s="889"/>
      <c r="AD336" s="502"/>
    </row>
    <row r="337" spans="3:30" ht="10.5" customHeight="1">
      <c r="C337" s="3458"/>
      <c r="D337" s="3459"/>
      <c r="E337" s="3459"/>
      <c r="F337" s="3459"/>
      <c r="G337" s="3458"/>
      <c r="H337" s="3459"/>
      <c r="I337" s="3459"/>
      <c r="J337" s="3459"/>
      <c r="K337"/>
      <c r="L337" s="3458"/>
      <c r="M337" s="3459"/>
      <c r="N337" s="3459"/>
      <c r="O337" s="3459"/>
      <c r="P337" s="530" t="s">
        <v>2361</v>
      </c>
      <c r="Q337" s="291"/>
      <c r="R337" s="170"/>
      <c r="S337" s="387"/>
      <c r="T337" s="491" t="s">
        <v>2501</v>
      </c>
      <c r="U337" s="491" t="s">
        <v>1961</v>
      </c>
      <c r="W337" s="427" t="s">
        <v>2071</v>
      </c>
      <c r="X337" s="427" t="s">
        <v>3277</v>
      </c>
      <c r="AA337" s="27"/>
      <c r="AB337" s="27"/>
      <c r="AC337" s="889"/>
      <c r="AD337" s="502"/>
    </row>
    <row r="338" spans="3:30" ht="10.5" customHeight="1">
      <c r="C338" s="3458"/>
      <c r="D338" s="3459"/>
      <c r="E338" s="3459"/>
      <c r="F338" s="3459"/>
      <c r="G338" s="3458"/>
      <c r="H338" s="3459"/>
      <c r="I338" s="3459"/>
      <c r="J338" s="3459"/>
      <c r="K338"/>
      <c r="L338" s="3458"/>
      <c r="M338" s="3459"/>
      <c r="N338" s="3459"/>
      <c r="O338" s="3459"/>
      <c r="P338" s="530" t="s">
        <v>2363</v>
      </c>
      <c r="Q338" s="291"/>
      <c r="R338" s="170"/>
      <c r="S338" s="387"/>
      <c r="T338" s="491" t="s">
        <v>771</v>
      </c>
      <c r="U338" s="491" t="s">
        <v>103</v>
      </c>
      <c r="W338" s="427" t="s">
        <v>1413</v>
      </c>
      <c r="X338" s="427" t="s">
        <v>3277</v>
      </c>
      <c r="AA338" s="27"/>
      <c r="AB338" s="27"/>
      <c r="AC338" s="889"/>
      <c r="AD338" s="502"/>
    </row>
    <row r="339" spans="3:30" ht="10.5" customHeight="1">
      <c r="C339" s="3458"/>
      <c r="D339" s="3459"/>
      <c r="E339" s="3459"/>
      <c r="F339" s="3459"/>
      <c r="G339" s="3458"/>
      <c r="H339" s="3459"/>
      <c r="I339" s="3459"/>
      <c r="J339" s="3459"/>
      <c r="K339"/>
      <c r="L339" s="3458"/>
      <c r="M339" s="3459"/>
      <c r="N339" s="3459"/>
      <c r="O339" s="3459"/>
      <c r="P339" s="530" t="s">
        <v>2364</v>
      </c>
      <c r="Q339" s="291"/>
      <c r="R339" s="170"/>
      <c r="S339" s="387"/>
      <c r="T339" s="491" t="s">
        <v>773</v>
      </c>
      <c r="U339" s="491" t="s">
        <v>119</v>
      </c>
      <c r="W339" s="427" t="s">
        <v>1523</v>
      </c>
      <c r="X339" s="427" t="s">
        <v>3277</v>
      </c>
      <c r="AA339" s="27"/>
      <c r="AB339" s="27"/>
      <c r="AC339" s="889"/>
      <c r="AD339" s="502"/>
    </row>
    <row r="340" spans="3:30" ht="10.5" customHeight="1">
      <c r="C340" s="3458"/>
      <c r="D340" s="3459"/>
      <c r="E340" s="3459"/>
      <c r="F340" s="3459"/>
      <c r="G340" s="3458"/>
      <c r="H340" s="3459"/>
      <c r="I340" s="3459"/>
      <c r="J340" s="3459"/>
      <c r="K340"/>
      <c r="L340" s="3458"/>
      <c r="M340" s="3459"/>
      <c r="N340" s="3459"/>
      <c r="O340" s="3459"/>
      <c r="P340" s="530" t="s">
        <v>375</v>
      </c>
      <c r="Q340" s="291"/>
      <c r="R340" s="170"/>
      <c r="S340" s="387"/>
      <c r="T340" s="491" t="s">
        <v>775</v>
      </c>
      <c r="U340" s="491" t="s">
        <v>321</v>
      </c>
      <c r="W340" s="427" t="s">
        <v>1159</v>
      </c>
      <c r="X340" s="427" t="s">
        <v>3277</v>
      </c>
      <c r="AA340" s="27"/>
      <c r="AB340" s="27"/>
      <c r="AC340" s="889"/>
      <c r="AD340" s="502"/>
    </row>
    <row r="341" spans="3:30" ht="10.5" customHeight="1">
      <c r="C341" s="1795">
        <v>13001950100</v>
      </c>
      <c r="D341" s="1796">
        <v>0</v>
      </c>
      <c r="E341" s="1796">
        <v>1</v>
      </c>
      <c r="F341" s="1797">
        <v>1</v>
      </c>
      <c r="G341" s="1996" t="s">
        <v>4729</v>
      </c>
      <c r="H341" s="1997">
        <v>0</v>
      </c>
      <c r="I341" s="1997">
        <v>0</v>
      </c>
      <c r="J341" s="1998">
        <v>0</v>
      </c>
      <c r="K341" s="1798"/>
      <c r="L341" s="1790" t="s">
        <v>4729</v>
      </c>
      <c r="M341" s="1791">
        <v>0</v>
      </c>
      <c r="N341" s="1791">
        <v>1</v>
      </c>
      <c r="O341" s="1791">
        <v>1</v>
      </c>
      <c r="P341" s="530" t="s">
        <v>45</v>
      </c>
      <c r="Q341" s="291"/>
      <c r="R341" s="170"/>
      <c r="S341" s="387"/>
      <c r="T341" s="531" t="s">
        <v>2752</v>
      </c>
      <c r="U341" s="531" t="s">
        <v>857</v>
      </c>
      <c r="W341" s="427" t="s">
        <v>1707</v>
      </c>
      <c r="X341" s="427" t="s">
        <v>3277</v>
      </c>
      <c r="AA341" s="27"/>
      <c r="AB341" s="27"/>
      <c r="AC341" s="889"/>
      <c r="AD341" s="502"/>
    </row>
    <row r="342" spans="3:30" ht="10.5" customHeight="1">
      <c r="C342" s="1799" t="s">
        <v>4830</v>
      </c>
      <c r="D342" s="1796">
        <v>0</v>
      </c>
      <c r="E342" s="1796">
        <v>0</v>
      </c>
      <c r="F342" s="1797">
        <v>0</v>
      </c>
      <c r="G342" s="1999" t="s">
        <v>4830</v>
      </c>
      <c r="H342" s="1794">
        <v>0</v>
      </c>
      <c r="I342" s="1794">
        <v>0</v>
      </c>
      <c r="J342" s="2000">
        <v>0</v>
      </c>
      <c r="K342" s="1798"/>
      <c r="L342" s="1792">
        <v>13001950200</v>
      </c>
      <c r="M342" s="1793">
        <v>0</v>
      </c>
      <c r="N342" s="1793">
        <v>0</v>
      </c>
      <c r="O342" s="1793">
        <v>0</v>
      </c>
      <c r="P342" s="530" t="s">
        <v>47</v>
      </c>
      <c r="Q342" s="291"/>
      <c r="R342" s="170"/>
      <c r="S342" s="387"/>
      <c r="T342" s="491" t="s">
        <v>2360</v>
      </c>
      <c r="U342" s="491" t="s">
        <v>1424</v>
      </c>
      <c r="W342" s="427" t="s">
        <v>1769</v>
      </c>
      <c r="X342" s="427" t="s">
        <v>3277</v>
      </c>
      <c r="AA342" s="27"/>
      <c r="AB342" s="27"/>
      <c r="AC342" s="890"/>
      <c r="AD342" s="502"/>
    </row>
    <row r="343" spans="3:30" ht="10.5" customHeight="1">
      <c r="C343" s="1799" t="s">
        <v>4831</v>
      </c>
      <c r="D343" s="1796">
        <v>0</v>
      </c>
      <c r="E343" s="1796">
        <v>0</v>
      </c>
      <c r="F343" s="1797">
        <v>0</v>
      </c>
      <c r="G343" s="1999" t="s">
        <v>4831</v>
      </c>
      <c r="H343" s="1794">
        <v>0</v>
      </c>
      <c r="I343" s="1794">
        <v>0</v>
      </c>
      <c r="J343" s="2000">
        <v>0</v>
      </c>
      <c r="K343" s="1798"/>
      <c r="L343" s="1792">
        <v>13001950300</v>
      </c>
      <c r="M343" s="1793">
        <v>0</v>
      </c>
      <c r="N343" s="1793">
        <v>0</v>
      </c>
      <c r="O343" s="1793">
        <v>0</v>
      </c>
      <c r="P343" s="530" t="s">
        <v>1874</v>
      </c>
      <c r="Q343" s="291"/>
      <c r="R343" s="170"/>
      <c r="S343" s="387"/>
      <c r="T343" s="491" t="s">
        <v>2362</v>
      </c>
      <c r="U343" s="491" t="s">
        <v>1083</v>
      </c>
      <c r="W343" s="427" t="s">
        <v>1081</v>
      </c>
      <c r="X343" s="427" t="s">
        <v>3277</v>
      </c>
      <c r="AA343" s="27"/>
      <c r="AB343" s="27"/>
      <c r="AC343" s="889"/>
      <c r="AD343" s="502"/>
    </row>
    <row r="344" spans="3:30" ht="10.5" customHeight="1">
      <c r="C344" s="1799" t="s">
        <v>4832</v>
      </c>
      <c r="D344" s="1796">
        <v>0</v>
      </c>
      <c r="E344" s="1796">
        <v>0</v>
      </c>
      <c r="F344" s="1797">
        <v>0</v>
      </c>
      <c r="G344" s="1999" t="s">
        <v>4832</v>
      </c>
      <c r="H344" s="1794">
        <v>0</v>
      </c>
      <c r="I344" s="1794">
        <v>0</v>
      </c>
      <c r="J344" s="2000">
        <v>0</v>
      </c>
      <c r="K344" s="1798"/>
      <c r="L344" s="1792">
        <v>13001950400</v>
      </c>
      <c r="M344" s="1793">
        <v>0</v>
      </c>
      <c r="N344" s="1793">
        <v>0</v>
      </c>
      <c r="O344" s="1793">
        <v>0</v>
      </c>
      <c r="P344" s="530" t="s">
        <v>1875</v>
      </c>
      <c r="Q344" s="291"/>
      <c r="R344" s="170"/>
      <c r="S344" s="387"/>
      <c r="T344" s="491" t="s">
        <v>2502</v>
      </c>
      <c r="U344" s="491" t="s">
        <v>648</v>
      </c>
      <c r="W344" s="427" t="s">
        <v>3275</v>
      </c>
      <c r="X344" s="427" t="s">
        <v>3277</v>
      </c>
      <c r="AA344" s="27"/>
      <c r="AB344" s="27"/>
      <c r="AC344" s="889"/>
      <c r="AD344" s="502"/>
    </row>
    <row r="345" spans="3:30" ht="10.5" customHeight="1">
      <c r="C345" s="1799" t="s">
        <v>4833</v>
      </c>
      <c r="D345" s="1796">
        <v>0</v>
      </c>
      <c r="E345" s="1796">
        <v>0</v>
      </c>
      <c r="F345" s="1797">
        <v>0</v>
      </c>
      <c r="G345" s="1999" t="s">
        <v>4833</v>
      </c>
      <c r="H345" s="1794">
        <v>0</v>
      </c>
      <c r="I345" s="1794">
        <v>0</v>
      </c>
      <c r="J345" s="2000">
        <v>0</v>
      </c>
      <c r="K345" s="1798"/>
      <c r="L345" s="1792">
        <v>13001950500</v>
      </c>
      <c r="M345" s="1793">
        <v>0</v>
      </c>
      <c r="N345" s="1793">
        <v>0</v>
      </c>
      <c r="O345" s="1793">
        <v>0</v>
      </c>
      <c r="P345" s="530" t="s">
        <v>1877</v>
      </c>
      <c r="Q345" s="291"/>
      <c r="R345" s="170"/>
      <c r="S345" s="387"/>
      <c r="T345" s="533" t="s">
        <v>374</v>
      </c>
      <c r="U345" s="491" t="s">
        <v>2424</v>
      </c>
      <c r="W345" s="427" t="s">
        <v>2093</v>
      </c>
      <c r="X345" s="427" t="s">
        <v>3277</v>
      </c>
      <c r="AA345" s="27"/>
      <c r="AB345" s="27"/>
      <c r="AC345" s="889"/>
      <c r="AD345" s="502"/>
    </row>
    <row r="346" spans="3:30" ht="10.5" customHeight="1">
      <c r="C346" s="1799" t="s">
        <v>4834</v>
      </c>
      <c r="D346" s="1796">
        <v>0</v>
      </c>
      <c r="E346" s="1796">
        <v>0</v>
      </c>
      <c r="F346" s="1797">
        <v>0</v>
      </c>
      <c r="G346" s="1999" t="s">
        <v>4834</v>
      </c>
      <c r="H346" s="1794">
        <v>0</v>
      </c>
      <c r="I346" s="1794">
        <v>0</v>
      </c>
      <c r="J346" s="2000">
        <v>0</v>
      </c>
      <c r="K346" s="1798"/>
      <c r="L346" s="1792">
        <v>13003960100</v>
      </c>
      <c r="M346" s="1793">
        <v>0</v>
      </c>
      <c r="N346" s="1793">
        <v>0</v>
      </c>
      <c r="O346" s="1793">
        <v>0</v>
      </c>
      <c r="P346" s="530" t="s">
        <v>1878</v>
      </c>
      <c r="Q346" s="291"/>
      <c r="R346" s="170"/>
      <c r="S346" s="387"/>
      <c r="T346" s="491" t="s">
        <v>376</v>
      </c>
      <c r="U346" s="491" t="s">
        <v>2119</v>
      </c>
      <c r="W346" s="427" t="s">
        <v>1487</v>
      </c>
      <c r="X346" s="427" t="s">
        <v>3277</v>
      </c>
      <c r="AA346" s="27"/>
      <c r="AB346" s="27"/>
      <c r="AC346" s="891"/>
      <c r="AD346" s="502"/>
    </row>
    <row r="347" spans="3:30" ht="10.5" customHeight="1">
      <c r="C347" s="1799" t="s">
        <v>4835</v>
      </c>
      <c r="D347" s="1796">
        <v>0</v>
      </c>
      <c r="E347" s="1796">
        <v>0</v>
      </c>
      <c r="F347" s="1797">
        <v>0</v>
      </c>
      <c r="G347" s="1999" t="s">
        <v>4835</v>
      </c>
      <c r="H347" s="1794">
        <v>0</v>
      </c>
      <c r="I347" s="1794">
        <v>0</v>
      </c>
      <c r="J347" s="2000">
        <v>0</v>
      </c>
      <c r="K347" s="1798"/>
      <c r="L347" s="1792">
        <v>13003960200</v>
      </c>
      <c r="M347" s="1793">
        <v>0</v>
      </c>
      <c r="N347" s="1793">
        <v>0</v>
      </c>
      <c r="O347" s="1793">
        <v>0</v>
      </c>
      <c r="P347" s="530" t="s">
        <v>1879</v>
      </c>
      <c r="Q347" s="291"/>
      <c r="R347" s="170"/>
      <c r="S347" s="387"/>
      <c r="T347" s="491" t="s">
        <v>46</v>
      </c>
      <c r="U347" s="491" t="s">
        <v>931</v>
      </c>
      <c r="W347" s="427" t="s">
        <v>61</v>
      </c>
      <c r="X347" s="427" t="s">
        <v>3277</v>
      </c>
      <c r="AA347" s="27"/>
      <c r="AB347" s="27"/>
      <c r="AC347" s="889"/>
      <c r="AD347" s="502"/>
    </row>
    <row r="348" spans="3:30" ht="10.5" customHeight="1">
      <c r="C348" s="1799" t="s">
        <v>4836</v>
      </c>
      <c r="D348" s="1796">
        <v>0</v>
      </c>
      <c r="E348" s="1796">
        <v>0</v>
      </c>
      <c r="F348" s="1797">
        <v>0</v>
      </c>
      <c r="G348" s="1999" t="s">
        <v>4836</v>
      </c>
      <c r="H348" s="1794">
        <v>0</v>
      </c>
      <c r="I348" s="1794">
        <v>0</v>
      </c>
      <c r="J348" s="2000">
        <v>0</v>
      </c>
      <c r="K348" s="1798"/>
      <c r="L348" s="1792">
        <v>13003960300</v>
      </c>
      <c r="M348" s="1793">
        <v>0</v>
      </c>
      <c r="N348" s="1793">
        <v>0</v>
      </c>
      <c r="O348" s="1793">
        <v>0</v>
      </c>
      <c r="P348" s="530" t="s">
        <v>1881</v>
      </c>
      <c r="Q348" s="291"/>
      <c r="R348" s="170"/>
      <c r="S348" s="387"/>
      <c r="T348" s="491" t="s">
        <v>48</v>
      </c>
      <c r="U348" s="491" t="s">
        <v>610</v>
      </c>
      <c r="W348" s="427" t="s">
        <v>65</v>
      </c>
      <c r="X348" s="427" t="s">
        <v>3277</v>
      </c>
      <c r="AA348" s="27"/>
      <c r="AB348" s="27"/>
      <c r="AC348" s="889"/>
      <c r="AD348" s="502"/>
    </row>
    <row r="349" spans="3:30" ht="10.5" customHeight="1">
      <c r="C349" s="1799" t="s">
        <v>4837</v>
      </c>
      <c r="D349" s="1796">
        <v>1</v>
      </c>
      <c r="E349" s="1796">
        <v>0</v>
      </c>
      <c r="F349" s="1797">
        <v>1</v>
      </c>
      <c r="G349" s="1999" t="s">
        <v>4837</v>
      </c>
      <c r="H349" s="1794">
        <v>0</v>
      </c>
      <c r="I349" s="1794">
        <v>0</v>
      </c>
      <c r="J349" s="2000">
        <v>0</v>
      </c>
      <c r="K349" s="1798"/>
      <c r="L349" s="1792">
        <v>13005970100</v>
      </c>
      <c r="M349" s="1793">
        <v>1</v>
      </c>
      <c r="N349" s="1793">
        <v>0</v>
      </c>
      <c r="O349" s="1793">
        <v>1</v>
      </c>
      <c r="P349" s="530" t="s">
        <v>698</v>
      </c>
      <c r="Q349" s="291"/>
      <c r="R349" s="170"/>
      <c r="S349" s="387"/>
      <c r="T349" s="531" t="s">
        <v>852</v>
      </c>
      <c r="U349" s="531" t="s">
        <v>2422</v>
      </c>
      <c r="W349" s="427" t="s">
        <v>67</v>
      </c>
      <c r="X349" s="427" t="s">
        <v>3277</v>
      </c>
      <c r="AA349" s="27"/>
      <c r="AB349" s="27"/>
      <c r="AC349" s="889"/>
      <c r="AD349" s="502"/>
    </row>
    <row r="350" spans="3:30" ht="10.5" customHeight="1">
      <c r="C350" s="1799" t="s">
        <v>4838</v>
      </c>
      <c r="D350" s="1796">
        <v>0</v>
      </c>
      <c r="E350" s="1796">
        <v>0</v>
      </c>
      <c r="F350" s="1797">
        <v>0</v>
      </c>
      <c r="G350" s="1999" t="s">
        <v>4838</v>
      </c>
      <c r="H350" s="1794">
        <v>0</v>
      </c>
      <c r="I350" s="1794">
        <v>0</v>
      </c>
      <c r="J350" s="2000">
        <v>0</v>
      </c>
      <c r="K350" s="1798"/>
      <c r="L350" s="1792">
        <v>13005970201</v>
      </c>
      <c r="M350" s="1793">
        <v>0</v>
      </c>
      <c r="N350" s="1793">
        <v>0</v>
      </c>
      <c r="O350" s="1793">
        <v>0</v>
      </c>
      <c r="P350" s="530" t="s">
        <v>1117</v>
      </c>
      <c r="Q350" s="291"/>
      <c r="R350" s="170"/>
      <c r="S350" s="387"/>
      <c r="T350" s="531" t="s">
        <v>1876</v>
      </c>
      <c r="U350" s="531" t="s">
        <v>852</v>
      </c>
      <c r="W350" s="427" t="s">
        <v>757</v>
      </c>
      <c r="X350" s="427" t="s">
        <v>3277</v>
      </c>
      <c r="AA350" s="27"/>
      <c r="AB350" s="27"/>
      <c r="AC350" s="890"/>
      <c r="AD350" s="502"/>
    </row>
    <row r="351" spans="3:30" ht="10.5" customHeight="1">
      <c r="C351" s="1799" t="s">
        <v>4839</v>
      </c>
      <c r="D351" s="1796">
        <v>0</v>
      </c>
      <c r="E351" s="1796">
        <v>0</v>
      </c>
      <c r="F351" s="1797">
        <v>0</v>
      </c>
      <c r="G351" s="1999" t="s">
        <v>4839</v>
      </c>
      <c r="H351" s="1794">
        <v>0</v>
      </c>
      <c r="I351" s="1794">
        <v>0</v>
      </c>
      <c r="J351" s="2000">
        <v>0</v>
      </c>
      <c r="K351" s="1798"/>
      <c r="L351" s="1792">
        <v>13005970202</v>
      </c>
      <c r="M351" s="1793">
        <v>0</v>
      </c>
      <c r="N351" s="1793">
        <v>0</v>
      </c>
      <c r="O351" s="1793">
        <v>0</v>
      </c>
      <c r="P351" s="530" t="s">
        <v>1119</v>
      </c>
      <c r="Q351" s="291"/>
      <c r="R351" s="170"/>
      <c r="S351" s="387"/>
      <c r="T351" s="491" t="s">
        <v>2503</v>
      </c>
      <c r="U351" s="491" t="s">
        <v>610</v>
      </c>
      <c r="W351" s="427" t="s">
        <v>919</v>
      </c>
      <c r="X351" s="427" t="s">
        <v>3277</v>
      </c>
      <c r="AA351" s="27"/>
      <c r="AB351" s="27"/>
      <c r="AC351" s="890"/>
      <c r="AD351" s="502"/>
    </row>
    <row r="352" spans="3:30" ht="10.5" customHeight="1">
      <c r="C352" s="1799" t="s">
        <v>4840</v>
      </c>
      <c r="D352" s="1796">
        <v>0</v>
      </c>
      <c r="E352" s="1796">
        <v>0</v>
      </c>
      <c r="F352" s="1797">
        <v>0</v>
      </c>
      <c r="G352" s="1999" t="s">
        <v>4840</v>
      </c>
      <c r="H352" s="1794">
        <v>0</v>
      </c>
      <c r="I352" s="1794">
        <v>1</v>
      </c>
      <c r="J352" s="2000">
        <v>1</v>
      </c>
      <c r="K352" s="1798"/>
      <c r="L352" s="1792">
        <v>13007960100</v>
      </c>
      <c r="M352" s="1793">
        <v>0</v>
      </c>
      <c r="N352" s="1793">
        <v>1</v>
      </c>
      <c r="O352" s="1793">
        <v>1</v>
      </c>
      <c r="P352" s="530" t="s">
        <v>1121</v>
      </c>
      <c r="Q352" s="291"/>
      <c r="R352" s="170"/>
      <c r="S352" s="387"/>
      <c r="T352" s="491" t="s">
        <v>2753</v>
      </c>
      <c r="U352" s="491" t="s">
        <v>2419</v>
      </c>
      <c r="W352" s="427" t="s">
        <v>1021</v>
      </c>
      <c r="X352" s="427" t="s">
        <v>3277</v>
      </c>
      <c r="AA352" s="27"/>
      <c r="AB352" s="27"/>
      <c r="AC352" s="889"/>
      <c r="AD352" s="502"/>
    </row>
    <row r="353" spans="3:30" ht="10.5" customHeight="1">
      <c r="C353" s="1799" t="s">
        <v>4841</v>
      </c>
      <c r="D353" s="1796">
        <v>1</v>
      </c>
      <c r="E353" s="1796">
        <v>0</v>
      </c>
      <c r="F353" s="1797">
        <v>1</v>
      </c>
      <c r="G353" s="1999" t="s">
        <v>4841</v>
      </c>
      <c r="H353" s="1794">
        <v>0</v>
      </c>
      <c r="I353" s="1794">
        <v>0</v>
      </c>
      <c r="J353" s="2000">
        <v>0</v>
      </c>
      <c r="K353" s="1798"/>
      <c r="L353" s="1792">
        <v>13007960200</v>
      </c>
      <c r="M353" s="1793">
        <v>1</v>
      </c>
      <c r="N353" s="1793">
        <v>0</v>
      </c>
      <c r="O353" s="1793">
        <v>1</v>
      </c>
      <c r="P353" s="530" t="s">
        <v>2446</v>
      </c>
      <c r="Q353" s="291"/>
      <c r="R353" s="170"/>
      <c r="S353" s="387"/>
      <c r="T353" s="491" t="s">
        <v>1880</v>
      </c>
      <c r="U353" s="491" t="s">
        <v>1424</v>
      </c>
      <c r="W353" s="427" t="s">
        <v>2209</v>
      </c>
      <c r="X353" s="427" t="s">
        <v>3277</v>
      </c>
      <c r="AA353" s="27"/>
      <c r="AB353" s="27"/>
      <c r="AC353" s="889"/>
      <c r="AD353" s="502"/>
    </row>
    <row r="354" spans="3:30" ht="10.5" customHeight="1">
      <c r="C354" s="1799" t="s">
        <v>4842</v>
      </c>
      <c r="D354" s="1796">
        <v>0</v>
      </c>
      <c r="E354" s="1796">
        <v>0</v>
      </c>
      <c r="F354" s="1797">
        <v>0</v>
      </c>
      <c r="G354" s="1999" t="s">
        <v>4842</v>
      </c>
      <c r="H354" s="1794">
        <v>1</v>
      </c>
      <c r="I354" s="1794">
        <v>0</v>
      </c>
      <c r="J354" s="2000">
        <v>1</v>
      </c>
      <c r="K354" s="1798"/>
      <c r="L354" s="1792">
        <v>13009970100</v>
      </c>
      <c r="M354" s="1793">
        <v>1</v>
      </c>
      <c r="N354" s="1793">
        <v>0</v>
      </c>
      <c r="O354" s="1793">
        <v>1</v>
      </c>
      <c r="P354" s="530" t="s">
        <v>2448</v>
      </c>
      <c r="Q354" s="291"/>
      <c r="R354" s="170"/>
      <c r="S354" s="387"/>
      <c r="T354" s="491" t="s">
        <v>1882</v>
      </c>
      <c r="U354" s="491" t="s">
        <v>1424</v>
      </c>
      <c r="W354" s="427" t="s">
        <v>2454</v>
      </c>
      <c r="X354" s="427" t="s">
        <v>3277</v>
      </c>
      <c r="AA354" s="27"/>
      <c r="AB354" s="27"/>
      <c r="AC354" s="889"/>
      <c r="AD354" s="502"/>
    </row>
    <row r="355" spans="3:30" ht="10.5" customHeight="1">
      <c r="C355" s="1799" t="s">
        <v>4843</v>
      </c>
      <c r="D355" s="1796">
        <v>0</v>
      </c>
      <c r="E355" s="1796">
        <v>0</v>
      </c>
      <c r="F355" s="1797">
        <v>0</v>
      </c>
      <c r="G355" s="1999" t="s">
        <v>4843</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2113</v>
      </c>
      <c r="X355" s="427" t="s">
        <v>3277</v>
      </c>
      <c r="AA355" s="27"/>
      <c r="AB355" s="27"/>
      <c r="AC355" s="889"/>
      <c r="AD355" s="502"/>
    </row>
    <row r="356" spans="3:30" ht="10.5" customHeight="1">
      <c r="C356" s="1799" t="s">
        <v>4844</v>
      </c>
      <c r="D356" s="1796">
        <v>1</v>
      </c>
      <c r="E356" s="1796">
        <v>1</v>
      </c>
      <c r="F356" s="1797">
        <v>2</v>
      </c>
      <c r="G356" s="1999" t="s">
        <v>4844</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3277</v>
      </c>
      <c r="AA356" s="27"/>
      <c r="AB356" s="27"/>
      <c r="AC356" s="889"/>
      <c r="AD356" s="502"/>
    </row>
    <row r="357" spans="3:30" ht="10.5" customHeight="1">
      <c r="C357" s="1799" t="s">
        <v>4845</v>
      </c>
      <c r="D357" s="1796">
        <v>0</v>
      </c>
      <c r="E357" s="1796">
        <v>0</v>
      </c>
      <c r="F357" s="1797">
        <v>0</v>
      </c>
      <c r="G357" s="1999" t="s">
        <v>4845</v>
      </c>
      <c r="H357" s="1794">
        <v>0</v>
      </c>
      <c r="I357" s="1794">
        <v>1</v>
      </c>
      <c r="J357" s="2000">
        <v>1</v>
      </c>
      <c r="K357" s="1798"/>
      <c r="L357" s="1792">
        <v>13009970400</v>
      </c>
      <c r="M357" s="1793">
        <v>0</v>
      </c>
      <c r="N357" s="1793">
        <v>1</v>
      </c>
      <c r="O357" s="1793">
        <v>1</v>
      </c>
      <c r="P357" s="530" t="s">
        <v>1777</v>
      </c>
      <c r="Q357" s="291"/>
      <c r="R357" s="170"/>
      <c r="S357" s="387"/>
      <c r="T357" s="491" t="s">
        <v>2754</v>
      </c>
      <c r="U357" s="491" t="s">
        <v>155</v>
      </c>
      <c r="W357" s="427" t="s">
        <v>2353</v>
      </c>
      <c r="X357" s="427" t="s">
        <v>3277</v>
      </c>
      <c r="AA357" s="27"/>
      <c r="AB357" s="27"/>
      <c r="AC357" s="889"/>
      <c r="AD357" s="502"/>
    </row>
    <row r="358" spans="3:30" ht="10.5" customHeight="1">
      <c r="C358" s="1799" t="s">
        <v>4846</v>
      </c>
      <c r="D358" s="1796">
        <v>0</v>
      </c>
      <c r="E358" s="1796">
        <v>0</v>
      </c>
      <c r="F358" s="1797">
        <v>0</v>
      </c>
      <c r="G358" s="1999" t="s">
        <v>4846</v>
      </c>
      <c r="H358" s="1794">
        <v>0</v>
      </c>
      <c r="I358" s="1794">
        <v>0</v>
      </c>
      <c r="J358" s="2000">
        <v>0</v>
      </c>
      <c r="K358" s="1798"/>
      <c r="L358" s="1792">
        <v>13009970500</v>
      </c>
      <c r="M358" s="1793">
        <v>0</v>
      </c>
      <c r="N358" s="1793">
        <v>0</v>
      </c>
      <c r="O358" s="1793">
        <v>0</v>
      </c>
      <c r="P358" s="530" t="s">
        <v>1779</v>
      </c>
      <c r="Q358" s="291"/>
      <c r="R358" s="170"/>
      <c r="S358" s="387"/>
      <c r="T358" s="491" t="s">
        <v>2755</v>
      </c>
      <c r="U358" s="491" t="s">
        <v>311</v>
      </c>
      <c r="W358" s="427" t="s">
        <v>795</v>
      </c>
      <c r="X358" s="427" t="s">
        <v>3277</v>
      </c>
      <c r="AA358" s="27"/>
      <c r="AB358" s="27"/>
      <c r="AC358" s="889"/>
      <c r="AD358" s="502"/>
    </row>
    <row r="359" spans="3:30" ht="10.5" customHeight="1">
      <c r="C359" s="1799" t="s">
        <v>4847</v>
      </c>
      <c r="D359" s="1796">
        <v>0</v>
      </c>
      <c r="E359" s="1796">
        <v>0</v>
      </c>
      <c r="F359" s="1797">
        <v>0</v>
      </c>
      <c r="G359" s="1999" t="s">
        <v>4847</v>
      </c>
      <c r="H359" s="1794">
        <v>0</v>
      </c>
      <c r="I359" s="1794">
        <v>0</v>
      </c>
      <c r="J359" s="2000">
        <v>0</v>
      </c>
      <c r="K359" s="1798"/>
      <c r="L359" s="1792">
        <v>13009970600</v>
      </c>
      <c r="M359" s="1793">
        <v>0</v>
      </c>
      <c r="N359" s="1793">
        <v>0</v>
      </c>
      <c r="O359" s="1793">
        <v>0</v>
      </c>
      <c r="P359" s="530" t="s">
        <v>1843</v>
      </c>
      <c r="Q359" s="291"/>
      <c r="R359" s="170"/>
      <c r="S359" s="387"/>
      <c r="T359" s="491" t="s">
        <v>1118</v>
      </c>
      <c r="U359" s="491" t="s">
        <v>1424</v>
      </c>
      <c r="W359" s="427" t="s">
        <v>164</v>
      </c>
      <c r="X359" s="427" t="s">
        <v>3277</v>
      </c>
      <c r="AA359" s="27"/>
      <c r="AB359" s="27"/>
      <c r="AC359" s="889"/>
      <c r="AD359" s="502"/>
    </row>
    <row r="360" spans="3:30" ht="10.5" customHeight="1">
      <c r="C360" s="1799" t="s">
        <v>4848</v>
      </c>
      <c r="D360" s="1796">
        <v>0</v>
      </c>
      <c r="E360" s="1796">
        <v>0</v>
      </c>
      <c r="F360" s="1797">
        <v>0</v>
      </c>
      <c r="G360" s="1999" t="s">
        <v>4848</v>
      </c>
      <c r="H360" s="1794">
        <v>0</v>
      </c>
      <c r="I360" s="1794">
        <v>0</v>
      </c>
      <c r="J360" s="2000">
        <v>0</v>
      </c>
      <c r="K360" s="1798"/>
      <c r="L360" s="1792">
        <v>13009970701</v>
      </c>
      <c r="M360" s="1793">
        <v>0</v>
      </c>
      <c r="N360" s="1793">
        <v>0</v>
      </c>
      <c r="O360" s="1793">
        <v>0</v>
      </c>
      <c r="P360" s="530" t="s">
        <v>1845</v>
      </c>
      <c r="Q360" s="291"/>
      <c r="R360" s="170"/>
      <c r="S360" s="387"/>
      <c r="T360" s="491" t="s">
        <v>1120</v>
      </c>
      <c r="U360" s="491" t="s">
        <v>644</v>
      </c>
      <c r="W360" s="427" t="s">
        <v>1299</v>
      </c>
      <c r="X360" s="427" t="s">
        <v>3277</v>
      </c>
      <c r="AA360" s="27"/>
      <c r="AB360" s="27"/>
      <c r="AC360" s="889"/>
      <c r="AD360" s="502"/>
    </row>
    <row r="361" spans="3:30" ht="10.5" customHeight="1">
      <c r="C361" s="1799" t="s">
        <v>4849</v>
      </c>
      <c r="D361" s="1796">
        <v>0</v>
      </c>
      <c r="E361" s="1796">
        <v>0</v>
      </c>
      <c r="F361" s="1797">
        <v>0</v>
      </c>
      <c r="G361" s="1999" t="s">
        <v>4849</v>
      </c>
      <c r="H361" s="1794">
        <v>0</v>
      </c>
      <c r="I361" s="1794">
        <v>0</v>
      </c>
      <c r="J361" s="2000">
        <v>0</v>
      </c>
      <c r="K361" s="1798"/>
      <c r="L361" s="1792">
        <v>13009970702</v>
      </c>
      <c r="M361" s="1793">
        <v>0</v>
      </c>
      <c r="N361" s="1793">
        <v>0</v>
      </c>
      <c r="O361" s="1793">
        <v>0</v>
      </c>
      <c r="P361" s="530" t="s">
        <v>1846</v>
      </c>
      <c r="Q361" s="291"/>
      <c r="R361" s="170"/>
      <c r="S361" s="387"/>
      <c r="T361" s="491" t="s">
        <v>2504</v>
      </c>
      <c r="U361" s="491" t="s">
        <v>2121</v>
      </c>
      <c r="W361" s="427" t="s">
        <v>1050</v>
      </c>
      <c r="X361" s="427" t="s">
        <v>3277</v>
      </c>
      <c r="AA361" s="27"/>
      <c r="AB361" s="27"/>
      <c r="AC361" s="889"/>
      <c r="AD361" s="502"/>
    </row>
    <row r="362" spans="3:30" ht="10.5" customHeight="1">
      <c r="C362" s="1799" t="s">
        <v>4850</v>
      </c>
      <c r="D362" s="1796">
        <v>0</v>
      </c>
      <c r="E362" s="1796">
        <v>0</v>
      </c>
      <c r="F362" s="1797">
        <v>0</v>
      </c>
      <c r="G362" s="1999" t="s">
        <v>4850</v>
      </c>
      <c r="H362" s="1794">
        <v>0</v>
      </c>
      <c r="I362" s="1794">
        <v>0</v>
      </c>
      <c r="J362" s="2000">
        <v>0</v>
      </c>
      <c r="K362" s="1798"/>
      <c r="L362" s="1792">
        <v>13009970800</v>
      </c>
      <c r="M362" s="1793">
        <v>0</v>
      </c>
      <c r="N362" s="1793">
        <v>0</v>
      </c>
      <c r="O362" s="1793">
        <v>0</v>
      </c>
      <c r="P362" s="530" t="s">
        <v>1848</v>
      </c>
      <c r="Q362" s="291"/>
      <c r="R362" s="170"/>
      <c r="S362" s="387"/>
      <c r="T362" s="491" t="s">
        <v>2505</v>
      </c>
      <c r="U362" s="491" t="s">
        <v>2464</v>
      </c>
      <c r="W362" s="427" t="s">
        <v>1944</v>
      </c>
      <c r="X362" s="427" t="s">
        <v>3277</v>
      </c>
      <c r="AA362" s="27"/>
      <c r="AB362" s="27"/>
      <c r="AC362" s="889"/>
      <c r="AD362" s="502"/>
    </row>
    <row r="363" spans="3:30" ht="10.5" customHeight="1">
      <c r="C363" s="1799" t="s">
        <v>4851</v>
      </c>
      <c r="D363" s="1796">
        <v>0</v>
      </c>
      <c r="E363" s="1796">
        <v>0</v>
      </c>
      <c r="F363" s="1797">
        <v>0</v>
      </c>
      <c r="G363" s="1999" t="s">
        <v>4851</v>
      </c>
      <c r="H363" s="1794">
        <v>0</v>
      </c>
      <c r="I363" s="1794">
        <v>0</v>
      </c>
      <c r="J363" s="2000">
        <v>0</v>
      </c>
      <c r="K363" s="1798"/>
      <c r="L363" s="1792">
        <v>13011970100</v>
      </c>
      <c r="M363" s="1793">
        <v>0</v>
      </c>
      <c r="N363" s="1793">
        <v>0</v>
      </c>
      <c r="O363" s="1793">
        <v>0</v>
      </c>
      <c r="P363" s="530" t="s">
        <v>1850</v>
      </c>
      <c r="Q363" s="291"/>
      <c r="R363" s="170"/>
      <c r="S363" s="387"/>
      <c r="T363" s="491" t="s">
        <v>1122</v>
      </c>
      <c r="U363" s="491" t="s">
        <v>1180</v>
      </c>
      <c r="W363" s="427" t="s">
        <v>1840</v>
      </c>
      <c r="X363" s="427" t="s">
        <v>3277</v>
      </c>
      <c r="AA363" s="27"/>
      <c r="AB363" s="27"/>
      <c r="AC363" s="889"/>
      <c r="AD363" s="502"/>
    </row>
    <row r="364" spans="3:30" ht="10.5" customHeight="1">
      <c r="C364" s="1799" t="s">
        <v>4852</v>
      </c>
      <c r="D364" s="1796">
        <v>0</v>
      </c>
      <c r="E364" s="1796">
        <v>0</v>
      </c>
      <c r="F364" s="1797">
        <v>0</v>
      </c>
      <c r="G364" s="1999" t="s">
        <v>4852</v>
      </c>
      <c r="H364" s="1794">
        <v>0</v>
      </c>
      <c r="I364" s="1794">
        <v>0</v>
      </c>
      <c r="J364" s="2000">
        <v>0</v>
      </c>
      <c r="K364" s="1798"/>
      <c r="L364" s="1792">
        <v>13011970200</v>
      </c>
      <c r="M364" s="1793">
        <v>0</v>
      </c>
      <c r="N364" s="1793">
        <v>0</v>
      </c>
      <c r="O364" s="1793">
        <v>0</v>
      </c>
      <c r="P364" s="530" t="s">
        <v>1884</v>
      </c>
      <c r="Q364" s="291"/>
      <c r="R364" s="170"/>
      <c r="S364" s="387"/>
      <c r="T364" s="491" t="s">
        <v>2447</v>
      </c>
      <c r="U364" s="491" t="s">
        <v>195</v>
      </c>
      <c r="W364" s="427" t="s">
        <v>2469</v>
      </c>
      <c r="X364" s="427" t="s">
        <v>3277</v>
      </c>
      <c r="AA364" s="27"/>
      <c r="AB364" s="27"/>
      <c r="AC364" s="889"/>
      <c r="AD364" s="502"/>
    </row>
    <row r="365" spans="3:30" ht="10.5" customHeight="1">
      <c r="C365" s="1799" t="s">
        <v>4853</v>
      </c>
      <c r="D365" s="1796">
        <v>1</v>
      </c>
      <c r="E365" s="1796">
        <v>1</v>
      </c>
      <c r="F365" s="1797">
        <v>2</v>
      </c>
      <c r="G365" s="1999" t="s">
        <v>4853</v>
      </c>
      <c r="H365" s="1794">
        <v>0</v>
      </c>
      <c r="I365" s="1794">
        <v>0</v>
      </c>
      <c r="J365" s="2000">
        <v>0</v>
      </c>
      <c r="K365" s="1798"/>
      <c r="L365" s="1792">
        <v>13011970300</v>
      </c>
      <c r="M365" s="1793">
        <v>1</v>
      </c>
      <c r="N365" s="1793">
        <v>1</v>
      </c>
      <c r="O365" s="1793">
        <v>2</v>
      </c>
      <c r="P365" s="530" t="s">
        <v>1886</v>
      </c>
      <c r="Q365" s="291"/>
      <c r="R365" s="170"/>
      <c r="S365" s="387"/>
      <c r="T365" s="531" t="s">
        <v>446</v>
      </c>
      <c r="U365" s="531" t="s">
        <v>1079</v>
      </c>
      <c r="W365" s="427" t="s">
        <v>1133</v>
      </c>
      <c r="X365" s="427" t="s">
        <v>3277</v>
      </c>
      <c r="AA365" s="27"/>
      <c r="AB365" s="27"/>
      <c r="AC365" s="889"/>
      <c r="AD365" s="502"/>
    </row>
    <row r="366" spans="3:30" ht="10.5" customHeight="1">
      <c r="C366" s="1799" t="s">
        <v>4854</v>
      </c>
      <c r="D366" s="1796">
        <v>0</v>
      </c>
      <c r="E366" s="1796">
        <v>0</v>
      </c>
      <c r="F366" s="1797">
        <v>0</v>
      </c>
      <c r="G366" s="1999" t="s">
        <v>4854</v>
      </c>
      <c r="H366" s="1794">
        <v>0</v>
      </c>
      <c r="I366" s="1794">
        <v>0</v>
      </c>
      <c r="J366" s="2000">
        <v>0</v>
      </c>
      <c r="K366" s="1798"/>
      <c r="L366" s="1792">
        <v>13011970400</v>
      </c>
      <c r="M366" s="1793">
        <v>0</v>
      </c>
      <c r="N366" s="1793">
        <v>0</v>
      </c>
      <c r="O366" s="1793">
        <v>0</v>
      </c>
      <c r="P366" s="530" t="s">
        <v>1887</v>
      </c>
      <c r="Q366" s="291"/>
      <c r="R366" s="170"/>
      <c r="S366" s="387"/>
      <c r="T366" s="531" t="s">
        <v>4239</v>
      </c>
      <c r="U366" s="531" t="s">
        <v>646</v>
      </c>
      <c r="W366" s="427" t="s">
        <v>2450</v>
      </c>
      <c r="X366" s="427" t="s">
        <v>3277</v>
      </c>
      <c r="AA366" s="27"/>
      <c r="AB366" s="27"/>
      <c r="AC366" s="890"/>
      <c r="AD366" s="502"/>
    </row>
    <row r="367" spans="3:30" ht="10.5" customHeight="1">
      <c r="C367" s="1799" t="s">
        <v>4855</v>
      </c>
      <c r="D367" s="1796">
        <v>1</v>
      </c>
      <c r="E367" s="1796">
        <v>1</v>
      </c>
      <c r="F367" s="1797">
        <v>2</v>
      </c>
      <c r="G367" s="1999" t="s">
        <v>4855</v>
      </c>
      <c r="H367" s="1794">
        <v>1</v>
      </c>
      <c r="I367" s="1794">
        <v>1</v>
      </c>
      <c r="J367" s="2000">
        <v>2</v>
      </c>
      <c r="K367" s="1798"/>
      <c r="L367" s="1792">
        <v>13013180103</v>
      </c>
      <c r="M367" s="1793">
        <v>1</v>
      </c>
      <c r="N367" s="1793">
        <v>1</v>
      </c>
      <c r="O367" s="1793">
        <v>2</v>
      </c>
      <c r="P367" s="530" t="s">
        <v>1889</v>
      </c>
      <c r="Q367" s="291"/>
      <c r="R367" s="170"/>
      <c r="S367" s="387"/>
      <c r="T367" s="531" t="s">
        <v>296</v>
      </c>
      <c r="U367" s="531" t="s">
        <v>1305</v>
      </c>
      <c r="W367" s="427" t="s">
        <v>796</v>
      </c>
      <c r="X367" s="427" t="s">
        <v>3277</v>
      </c>
      <c r="AA367" s="27"/>
      <c r="AB367" s="27"/>
      <c r="AC367" s="890"/>
      <c r="AD367" s="502"/>
    </row>
    <row r="368" spans="3:30" ht="10.5" customHeight="1">
      <c r="C368" s="1799" t="s">
        <v>4856</v>
      </c>
      <c r="D368" s="1796">
        <v>0</v>
      </c>
      <c r="E368" s="1796">
        <v>1</v>
      </c>
      <c r="F368" s="1797">
        <v>1</v>
      </c>
      <c r="G368" s="1999" t="s">
        <v>4856</v>
      </c>
      <c r="H368" s="1794">
        <v>0</v>
      </c>
      <c r="I368" s="1794">
        <v>0</v>
      </c>
      <c r="J368" s="2000">
        <v>0</v>
      </c>
      <c r="K368" s="1798"/>
      <c r="L368" s="1792">
        <v>13013180104</v>
      </c>
      <c r="M368" s="1793">
        <v>0</v>
      </c>
      <c r="N368" s="1793">
        <v>1</v>
      </c>
      <c r="O368" s="1793">
        <v>1</v>
      </c>
      <c r="P368" s="530" t="s">
        <v>1891</v>
      </c>
      <c r="Q368" s="291"/>
      <c r="R368" s="170"/>
      <c r="S368" s="387"/>
      <c r="T368" s="491" t="s">
        <v>1778</v>
      </c>
      <c r="U368" s="491" t="s">
        <v>857</v>
      </c>
      <c r="W368" s="427" t="s">
        <v>2053</v>
      </c>
      <c r="X368" s="427" t="s">
        <v>3277</v>
      </c>
      <c r="AA368" s="27"/>
      <c r="AB368" s="27"/>
      <c r="AC368" s="890"/>
      <c r="AD368" s="502"/>
    </row>
    <row r="369" spans="3:30" ht="10.5" customHeight="1">
      <c r="C369" s="1799" t="s">
        <v>4857</v>
      </c>
      <c r="D369" s="1796">
        <v>0</v>
      </c>
      <c r="E369" s="1796">
        <v>1</v>
      </c>
      <c r="F369" s="1797">
        <v>1</v>
      </c>
      <c r="G369" s="1999" t="s">
        <v>4857</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3277</v>
      </c>
      <c r="AA369" s="27"/>
      <c r="AB369" s="27"/>
      <c r="AC369" s="889"/>
      <c r="AD369" s="502"/>
    </row>
    <row r="370" spans="3:30" ht="10.5" customHeight="1">
      <c r="C370" s="1799" t="s">
        <v>4858</v>
      </c>
      <c r="D370" s="1796">
        <v>0</v>
      </c>
      <c r="E370" s="1796">
        <v>1</v>
      </c>
      <c r="F370" s="1797">
        <v>1</v>
      </c>
      <c r="G370" s="1999" t="s">
        <v>4858</v>
      </c>
      <c r="H370" s="1794">
        <v>1</v>
      </c>
      <c r="I370" s="1794">
        <v>0</v>
      </c>
      <c r="J370" s="2000">
        <v>1</v>
      </c>
      <c r="K370" s="1798"/>
      <c r="L370" s="1792">
        <v>13013180106</v>
      </c>
      <c r="M370" s="1793">
        <v>1</v>
      </c>
      <c r="N370" s="1793">
        <v>1</v>
      </c>
      <c r="O370" s="1793">
        <v>1</v>
      </c>
      <c r="P370" s="530" t="s">
        <v>130</v>
      </c>
      <c r="Q370" s="291"/>
      <c r="R370" s="170"/>
      <c r="S370" s="387"/>
      <c r="T370" s="531" t="s">
        <v>1844</v>
      </c>
      <c r="U370" s="531" t="s">
        <v>2424</v>
      </c>
      <c r="W370" s="427" t="s">
        <v>2436</v>
      </c>
      <c r="X370" s="427" t="s">
        <v>3277</v>
      </c>
      <c r="AA370" s="27"/>
      <c r="AB370" s="27"/>
      <c r="AC370" s="889"/>
      <c r="AD370" s="502"/>
    </row>
    <row r="371" spans="3:30" ht="10.5" customHeight="1">
      <c r="C371" s="1799" t="s">
        <v>4859</v>
      </c>
      <c r="D371" s="1796">
        <v>0</v>
      </c>
      <c r="E371" s="1796">
        <v>0</v>
      </c>
      <c r="F371" s="1797">
        <v>0</v>
      </c>
      <c r="G371" s="1999" t="s">
        <v>4859</v>
      </c>
      <c r="H371" s="1794">
        <v>0</v>
      </c>
      <c r="I371" s="1794">
        <v>0</v>
      </c>
      <c r="J371" s="2000">
        <v>0</v>
      </c>
      <c r="K371" s="1798"/>
      <c r="L371" s="1792">
        <v>13013180107</v>
      </c>
      <c r="M371" s="1793">
        <v>0</v>
      </c>
      <c r="N371" s="1793">
        <v>0</v>
      </c>
      <c r="O371" s="1793">
        <v>0</v>
      </c>
      <c r="P371" s="530" t="s">
        <v>1632</v>
      </c>
      <c r="Q371" s="291"/>
      <c r="R371" s="170"/>
      <c r="S371" s="387"/>
      <c r="T371" s="491" t="s">
        <v>1847</v>
      </c>
      <c r="U371" s="491" t="s">
        <v>644</v>
      </c>
      <c r="W371" s="427" t="s">
        <v>1857</v>
      </c>
      <c r="X371" s="427" t="s">
        <v>3277</v>
      </c>
      <c r="AA371" s="27"/>
      <c r="AB371" s="27"/>
      <c r="AC371" s="890"/>
      <c r="AD371" s="502"/>
    </row>
    <row r="372" spans="3:30" ht="10.5" customHeight="1">
      <c r="C372" s="1799" t="s">
        <v>4860</v>
      </c>
      <c r="D372" s="1796">
        <v>0</v>
      </c>
      <c r="E372" s="1796">
        <v>1</v>
      </c>
      <c r="F372" s="1797">
        <v>1</v>
      </c>
      <c r="G372" s="1999" t="s">
        <v>4860</v>
      </c>
      <c r="H372" s="1794">
        <v>0</v>
      </c>
      <c r="I372" s="1794">
        <v>0</v>
      </c>
      <c r="J372" s="2000">
        <v>0</v>
      </c>
      <c r="K372" s="1798"/>
      <c r="L372" s="1792">
        <v>13013180108</v>
      </c>
      <c r="M372" s="1793">
        <v>0</v>
      </c>
      <c r="N372" s="1793">
        <v>1</v>
      </c>
      <c r="O372" s="1793">
        <v>1</v>
      </c>
      <c r="P372" s="530" t="s">
        <v>1705</v>
      </c>
      <c r="Q372" s="291"/>
      <c r="R372" s="170"/>
      <c r="S372" s="387"/>
      <c r="T372" s="491" t="s">
        <v>1849</v>
      </c>
      <c r="U372" s="491" t="s">
        <v>1287</v>
      </c>
      <c r="W372" s="427" t="s">
        <v>1386</v>
      </c>
      <c r="X372" s="427" t="s">
        <v>3277</v>
      </c>
      <c r="AA372" s="27"/>
      <c r="AB372" s="27"/>
      <c r="AC372" s="889"/>
      <c r="AD372" s="502"/>
    </row>
    <row r="373" spans="3:30" ht="10.5" customHeight="1">
      <c r="C373" s="1799" t="s">
        <v>4861</v>
      </c>
      <c r="D373" s="1796">
        <v>0</v>
      </c>
      <c r="E373" s="1796">
        <v>0</v>
      </c>
      <c r="F373" s="1797">
        <v>0</v>
      </c>
      <c r="G373" s="1999" t="s">
        <v>4861</v>
      </c>
      <c r="H373" s="1794">
        <v>0</v>
      </c>
      <c r="I373" s="1794">
        <v>0</v>
      </c>
      <c r="J373" s="2000">
        <v>0</v>
      </c>
      <c r="K373" s="1798"/>
      <c r="L373" s="1792">
        <v>13013180203</v>
      </c>
      <c r="M373" s="1793">
        <v>0</v>
      </c>
      <c r="N373" s="1793">
        <v>0</v>
      </c>
      <c r="O373" s="1793">
        <v>0</v>
      </c>
      <c r="P373" s="530" t="s">
        <v>2219</v>
      </c>
      <c r="Q373" s="291"/>
      <c r="R373" s="170"/>
      <c r="S373" s="387"/>
      <c r="T373" s="491" t="s">
        <v>2756</v>
      </c>
      <c r="U373" s="491" t="s">
        <v>195</v>
      </c>
      <c r="W373" s="427" t="s">
        <v>2199</v>
      </c>
      <c r="X373" s="427" t="s">
        <v>3277</v>
      </c>
      <c r="AA373" s="27"/>
      <c r="AB373" s="27"/>
      <c r="AC373" s="889"/>
      <c r="AD373" s="502"/>
    </row>
    <row r="374" spans="3:30" ht="10.5" customHeight="1">
      <c r="C374" s="1799" t="s">
        <v>4862</v>
      </c>
      <c r="D374" s="1796">
        <v>0</v>
      </c>
      <c r="E374" s="1796">
        <v>0</v>
      </c>
      <c r="F374" s="1797">
        <v>0</v>
      </c>
      <c r="G374" s="1999" t="s">
        <v>4862</v>
      </c>
      <c r="H374" s="1794">
        <v>0</v>
      </c>
      <c r="I374" s="1794">
        <v>0</v>
      </c>
      <c r="J374" s="2000">
        <v>0</v>
      </c>
      <c r="K374" s="1798"/>
      <c r="L374" s="1792">
        <v>13013180204</v>
      </c>
      <c r="M374" s="1793">
        <v>0</v>
      </c>
      <c r="N374" s="1793">
        <v>0</v>
      </c>
      <c r="O374" s="1793">
        <v>0</v>
      </c>
      <c r="P374" s="530" t="s">
        <v>2221</v>
      </c>
      <c r="Q374" s="291"/>
      <c r="R374" s="170"/>
      <c r="S374" s="387"/>
      <c r="T374" s="491" t="s">
        <v>1851</v>
      </c>
      <c r="U374" s="491" t="s">
        <v>1290</v>
      </c>
      <c r="W374" s="427" t="s">
        <v>2201</v>
      </c>
      <c r="X374" s="427" t="s">
        <v>3277</v>
      </c>
      <c r="AA374" s="27"/>
      <c r="AB374" s="27"/>
      <c r="AC374" s="889"/>
      <c r="AD374" s="502"/>
    </row>
    <row r="375" spans="3:30" ht="10.5" customHeight="1">
      <c r="C375" s="1799" t="s">
        <v>4863</v>
      </c>
      <c r="D375" s="1796">
        <v>0</v>
      </c>
      <c r="E375" s="1796">
        <v>0</v>
      </c>
      <c r="F375" s="1797">
        <v>0</v>
      </c>
      <c r="G375" s="1999" t="s">
        <v>4863</v>
      </c>
      <c r="H375" s="1794">
        <v>0</v>
      </c>
      <c r="I375" s="1794">
        <v>0</v>
      </c>
      <c r="J375" s="2000">
        <v>0</v>
      </c>
      <c r="K375" s="1798"/>
      <c r="L375" s="1792">
        <v>13013180205</v>
      </c>
      <c r="M375" s="1793">
        <v>0</v>
      </c>
      <c r="N375" s="1793">
        <v>0</v>
      </c>
      <c r="O375" s="1793">
        <v>0</v>
      </c>
      <c r="P375" s="530" t="s">
        <v>970</v>
      </c>
      <c r="Q375" s="291"/>
      <c r="R375" s="170"/>
      <c r="S375" s="387"/>
      <c r="T375" s="491" t="s">
        <v>1885</v>
      </c>
      <c r="U375" s="491" t="s">
        <v>313</v>
      </c>
      <c r="W375" s="427" t="s">
        <v>1094</v>
      </c>
      <c r="X375" s="427" t="s">
        <v>3277</v>
      </c>
      <c r="AA375" s="27"/>
      <c r="AB375" s="27"/>
      <c r="AC375" s="889"/>
      <c r="AD375" s="502"/>
    </row>
    <row r="376" spans="3:30" ht="10.5" customHeight="1">
      <c r="C376" s="1799" t="s">
        <v>4864</v>
      </c>
      <c r="D376" s="1796">
        <v>1</v>
      </c>
      <c r="E376" s="1796">
        <v>1</v>
      </c>
      <c r="F376" s="1797">
        <v>2</v>
      </c>
      <c r="G376" s="1999" t="s">
        <v>4864</v>
      </c>
      <c r="H376" s="1794">
        <v>1</v>
      </c>
      <c r="I376" s="1794">
        <v>0</v>
      </c>
      <c r="J376" s="2000">
        <v>1</v>
      </c>
      <c r="K376" s="1798"/>
      <c r="L376" s="1792">
        <v>13013180206</v>
      </c>
      <c r="M376" s="1793">
        <v>1</v>
      </c>
      <c r="N376" s="1793">
        <v>1</v>
      </c>
      <c r="O376" s="1793">
        <v>2</v>
      </c>
      <c r="P376" s="530" t="s">
        <v>659</v>
      </c>
      <c r="Q376" s="291"/>
      <c r="R376" s="170"/>
      <c r="S376" s="387"/>
      <c r="T376" s="491" t="s">
        <v>2757</v>
      </c>
      <c r="U376" s="491" t="s">
        <v>637</v>
      </c>
      <c r="W376" s="427" t="s">
        <v>2074</v>
      </c>
      <c r="X376" s="427" t="s">
        <v>3277</v>
      </c>
      <c r="AA376" s="27"/>
      <c r="AB376" s="27"/>
      <c r="AC376" s="889"/>
      <c r="AD376" s="502"/>
    </row>
    <row r="377" spans="3:30" ht="10.5" customHeight="1">
      <c r="C377" s="1799" t="s">
        <v>4865</v>
      </c>
      <c r="D377" s="1796">
        <v>1</v>
      </c>
      <c r="E377" s="1796">
        <v>1</v>
      </c>
      <c r="F377" s="1797">
        <v>2</v>
      </c>
      <c r="G377" s="1999" t="s">
        <v>4865</v>
      </c>
      <c r="H377" s="1794">
        <v>1</v>
      </c>
      <c r="I377" s="1794">
        <v>0</v>
      </c>
      <c r="J377" s="2000">
        <v>1</v>
      </c>
      <c r="K377" s="1798"/>
      <c r="L377" s="1792">
        <v>13013180301</v>
      </c>
      <c r="M377" s="1793">
        <v>1</v>
      </c>
      <c r="N377" s="1793">
        <v>1</v>
      </c>
      <c r="O377" s="1793">
        <v>2</v>
      </c>
      <c r="P377" s="530" t="s">
        <v>552</v>
      </c>
      <c r="Q377" s="291"/>
      <c r="R377" s="170"/>
      <c r="S377" s="387"/>
      <c r="T377" s="491" t="s">
        <v>1888</v>
      </c>
      <c r="U377" s="491" t="s">
        <v>2518</v>
      </c>
      <c r="W377" s="427" t="s">
        <v>2075</v>
      </c>
      <c r="X377" s="427" t="s">
        <v>3277</v>
      </c>
      <c r="AA377" s="27"/>
      <c r="AB377" s="27"/>
      <c r="AC377" s="889"/>
      <c r="AD377" s="502"/>
    </row>
    <row r="378" spans="3:30" ht="10.5" customHeight="1">
      <c r="C378" s="1799" t="s">
        <v>4866</v>
      </c>
      <c r="D378" s="1796">
        <v>1</v>
      </c>
      <c r="E378" s="1796">
        <v>1</v>
      </c>
      <c r="F378" s="1797">
        <v>2</v>
      </c>
      <c r="G378" s="1999" t="s">
        <v>4866</v>
      </c>
      <c r="H378" s="1794">
        <v>1</v>
      </c>
      <c r="I378" s="1794">
        <v>1</v>
      </c>
      <c r="J378" s="2000">
        <v>2</v>
      </c>
      <c r="K378" s="1798"/>
      <c r="L378" s="1792">
        <v>13013180302</v>
      </c>
      <c r="M378" s="1793">
        <v>1</v>
      </c>
      <c r="N378" s="1793">
        <v>1</v>
      </c>
      <c r="O378" s="1793">
        <v>2</v>
      </c>
      <c r="P378" s="530" t="s">
        <v>655</v>
      </c>
      <c r="Q378" s="291"/>
      <c r="R378" s="170"/>
      <c r="S378" s="387"/>
      <c r="T378" s="491" t="s">
        <v>1890</v>
      </c>
      <c r="U378" s="491" t="s">
        <v>1287</v>
      </c>
      <c r="W378" s="427" t="s">
        <v>2076</v>
      </c>
      <c r="X378" s="427" t="s">
        <v>3277</v>
      </c>
      <c r="AA378" s="27"/>
      <c r="AB378" s="27"/>
      <c r="AC378" s="889"/>
      <c r="AD378" s="502"/>
    </row>
    <row r="379" spans="3:30" ht="10.5" customHeight="1">
      <c r="C379" s="1799" t="s">
        <v>4867</v>
      </c>
      <c r="D379" s="1796">
        <v>1</v>
      </c>
      <c r="E379" s="1796">
        <v>1</v>
      </c>
      <c r="F379" s="1797">
        <v>2</v>
      </c>
      <c r="G379" s="1999" t="s">
        <v>4867</v>
      </c>
      <c r="H379" s="1794">
        <v>0</v>
      </c>
      <c r="I379" s="1794">
        <v>0</v>
      </c>
      <c r="J379" s="2000">
        <v>0</v>
      </c>
      <c r="K379" s="1798"/>
      <c r="L379" s="1792">
        <v>13013180303</v>
      </c>
      <c r="M379" s="1793">
        <v>1</v>
      </c>
      <c r="N379" s="1793">
        <v>1</v>
      </c>
      <c r="O379" s="1793">
        <v>2</v>
      </c>
      <c r="P379" s="530" t="s">
        <v>2324</v>
      </c>
      <c r="Q379" s="291"/>
      <c r="R379" s="170"/>
      <c r="S379" s="387"/>
      <c r="T379" s="491" t="s">
        <v>2186</v>
      </c>
      <c r="U379" s="491" t="s">
        <v>2461</v>
      </c>
      <c r="W379" s="427" t="s">
        <v>2272</v>
      </c>
      <c r="X379" s="427" t="s">
        <v>3277</v>
      </c>
      <c r="AA379" s="27"/>
      <c r="AB379" s="27"/>
      <c r="AC379" s="889"/>
      <c r="AD379" s="502"/>
    </row>
    <row r="380" spans="3:30" ht="10.5" customHeight="1">
      <c r="C380" s="1799" t="s">
        <v>4868</v>
      </c>
      <c r="D380" s="1796">
        <v>1</v>
      </c>
      <c r="E380" s="1796">
        <v>1</v>
      </c>
      <c r="F380" s="1797">
        <v>2</v>
      </c>
      <c r="G380" s="1999" t="s">
        <v>4868</v>
      </c>
      <c r="H380" s="1794">
        <v>0</v>
      </c>
      <c r="I380" s="1794">
        <v>1</v>
      </c>
      <c r="J380" s="2000">
        <v>1</v>
      </c>
      <c r="K380" s="1798"/>
      <c r="L380" s="1792">
        <v>13013180401</v>
      </c>
      <c r="M380" s="1793">
        <v>1</v>
      </c>
      <c r="N380" s="1793">
        <v>1</v>
      </c>
      <c r="O380" s="1793">
        <v>2</v>
      </c>
      <c r="P380" s="530" t="s">
        <v>214</v>
      </c>
      <c r="Q380" s="291"/>
      <c r="R380" s="170"/>
      <c r="S380" s="387"/>
      <c r="T380" s="491" t="s">
        <v>2506</v>
      </c>
      <c r="U380" s="491" t="s">
        <v>2121</v>
      </c>
      <c r="W380" s="427" t="s">
        <v>2274</v>
      </c>
      <c r="X380" s="427" t="s">
        <v>3277</v>
      </c>
      <c r="AA380" s="27"/>
      <c r="AB380" s="27"/>
      <c r="AC380" s="889"/>
      <c r="AD380" s="502"/>
    </row>
    <row r="381" spans="3:30" ht="10.5" customHeight="1">
      <c r="C381" s="1799" t="s">
        <v>4869</v>
      </c>
      <c r="D381" s="1796">
        <v>0</v>
      </c>
      <c r="E381" s="1796">
        <v>0</v>
      </c>
      <c r="F381" s="1797">
        <v>0</v>
      </c>
      <c r="G381" s="1999" t="s">
        <v>4869</v>
      </c>
      <c r="H381" s="1794">
        <v>0</v>
      </c>
      <c r="I381" s="1794">
        <v>0</v>
      </c>
      <c r="J381" s="2000">
        <v>0</v>
      </c>
      <c r="K381" s="1798"/>
      <c r="L381" s="1792">
        <v>13013180402</v>
      </c>
      <c r="M381" s="1793">
        <v>0</v>
      </c>
      <c r="N381" s="1793">
        <v>0</v>
      </c>
      <c r="O381" s="1793">
        <v>0</v>
      </c>
      <c r="P381" s="530" t="s">
        <v>761</v>
      </c>
      <c r="Q381" s="291"/>
      <c r="R381" s="170"/>
      <c r="S381" s="387"/>
      <c r="T381" s="491" t="s">
        <v>2507</v>
      </c>
      <c r="U381" s="491" t="s">
        <v>2421</v>
      </c>
      <c r="W381" s="427" t="s">
        <v>2202</v>
      </c>
      <c r="X381" s="427" t="s">
        <v>3277</v>
      </c>
      <c r="AA381" s="27"/>
      <c r="AB381" s="27"/>
      <c r="AC381" s="889"/>
      <c r="AD381" s="502"/>
    </row>
    <row r="382" spans="3:30" ht="10.5" customHeight="1">
      <c r="C382" s="1799" t="s">
        <v>4870</v>
      </c>
      <c r="D382" s="1796">
        <v>1</v>
      </c>
      <c r="E382" s="1796">
        <v>1</v>
      </c>
      <c r="F382" s="1797">
        <v>2</v>
      </c>
      <c r="G382" s="1999" t="s">
        <v>4870</v>
      </c>
      <c r="H382" s="1794">
        <v>1</v>
      </c>
      <c r="I382" s="1794" t="s">
        <v>4483</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3277</v>
      </c>
      <c r="AA382" s="27"/>
      <c r="AB382" s="27"/>
      <c r="AC382" s="889"/>
      <c r="AD382" s="502"/>
    </row>
    <row r="383" spans="3:30" ht="10.5" customHeight="1">
      <c r="C383" s="1799" t="s">
        <v>4871</v>
      </c>
      <c r="D383" s="1796">
        <v>1</v>
      </c>
      <c r="E383" s="1796">
        <v>1</v>
      </c>
      <c r="F383" s="1797">
        <v>2</v>
      </c>
      <c r="G383" s="1999" t="s">
        <v>4871</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3277</v>
      </c>
      <c r="AA383" s="27"/>
      <c r="AB383" s="27"/>
      <c r="AC383" s="890"/>
      <c r="AD383" s="502"/>
    </row>
    <row r="384" spans="3:30" ht="10.5" customHeight="1">
      <c r="C384" s="1799" t="s">
        <v>4872</v>
      </c>
      <c r="D384" s="1796">
        <v>1</v>
      </c>
      <c r="E384" s="1796">
        <v>1</v>
      </c>
      <c r="F384" s="1797">
        <v>2</v>
      </c>
      <c r="G384" s="1999" t="s">
        <v>4872</v>
      </c>
      <c r="H384" s="1794">
        <v>1</v>
      </c>
      <c r="I384" s="1794">
        <v>1</v>
      </c>
      <c r="J384" s="2000">
        <v>2</v>
      </c>
      <c r="K384" s="1798"/>
      <c r="L384" s="1792">
        <v>13013180503</v>
      </c>
      <c r="M384" s="1793">
        <v>1</v>
      </c>
      <c r="N384" s="1793">
        <v>1</v>
      </c>
      <c r="O384" s="1793">
        <v>2</v>
      </c>
      <c r="P384" s="530" t="s">
        <v>228</v>
      </c>
      <c r="Q384" s="291"/>
      <c r="R384" s="170"/>
      <c r="S384" s="387"/>
      <c r="T384" s="491" t="s">
        <v>2508</v>
      </c>
      <c r="U384" s="491" t="s">
        <v>1959</v>
      </c>
      <c r="W384" s="427" t="s">
        <v>1055</v>
      </c>
      <c r="X384" s="427" t="s">
        <v>3277</v>
      </c>
      <c r="AA384" s="27"/>
      <c r="AB384" s="27"/>
      <c r="AC384" s="889"/>
      <c r="AD384" s="502"/>
    </row>
    <row r="385" spans="3:30" ht="10.5" customHeight="1">
      <c r="C385" s="1799" t="s">
        <v>4873</v>
      </c>
      <c r="D385" s="1796">
        <v>1</v>
      </c>
      <c r="E385" s="1796">
        <v>1</v>
      </c>
      <c r="F385" s="1797">
        <v>2</v>
      </c>
      <c r="G385" s="1999" t="s">
        <v>4873</v>
      </c>
      <c r="H385" s="1794">
        <v>1</v>
      </c>
      <c r="I385" s="1794">
        <v>1</v>
      </c>
      <c r="J385" s="2000">
        <v>2</v>
      </c>
      <c r="K385" s="1798"/>
      <c r="L385" s="1792">
        <v>13015960101</v>
      </c>
      <c r="M385" s="1793">
        <v>1</v>
      </c>
      <c r="N385" s="1793">
        <v>1</v>
      </c>
      <c r="O385" s="1793">
        <v>2</v>
      </c>
      <c r="P385" s="530" t="s">
        <v>230</v>
      </c>
      <c r="Q385" s="291"/>
      <c r="R385" s="170"/>
      <c r="S385" s="387"/>
      <c r="T385" s="491" t="s">
        <v>1633</v>
      </c>
      <c r="U385" s="491" t="s">
        <v>2419</v>
      </c>
      <c r="W385" s="427" t="s">
        <v>1651</v>
      </c>
      <c r="X385" s="427" t="s">
        <v>3277</v>
      </c>
      <c r="AA385" s="27"/>
      <c r="AB385" s="27"/>
      <c r="AC385" s="889"/>
      <c r="AD385" s="502"/>
    </row>
    <row r="386" spans="3:30" ht="10.5" customHeight="1">
      <c r="C386" s="1799" t="s">
        <v>4874</v>
      </c>
      <c r="D386" s="1796">
        <v>1</v>
      </c>
      <c r="E386" s="1796">
        <v>1</v>
      </c>
      <c r="F386" s="1797">
        <v>2</v>
      </c>
      <c r="G386" s="1999" t="s">
        <v>4874</v>
      </c>
      <c r="H386" s="1794">
        <v>1</v>
      </c>
      <c r="I386" s="1794">
        <v>1</v>
      </c>
      <c r="J386" s="2000">
        <v>2</v>
      </c>
      <c r="K386" s="1798"/>
      <c r="L386" s="1792">
        <v>13015960102</v>
      </c>
      <c r="M386" s="1793">
        <v>1</v>
      </c>
      <c r="N386" s="1793">
        <v>1</v>
      </c>
      <c r="O386" s="1793">
        <v>2</v>
      </c>
      <c r="P386" s="530" t="s">
        <v>765</v>
      </c>
      <c r="Q386" s="291"/>
      <c r="R386" s="170"/>
      <c r="S386" s="387"/>
      <c r="T386" s="491" t="s">
        <v>2220</v>
      </c>
      <c r="U386" s="491" t="s">
        <v>639</v>
      </c>
      <c r="W386" s="427" t="s">
        <v>1652</v>
      </c>
      <c r="X386" s="427" t="s">
        <v>3277</v>
      </c>
      <c r="AA386" s="27"/>
      <c r="AB386" s="27"/>
      <c r="AC386" s="889"/>
      <c r="AD386" s="502"/>
    </row>
    <row r="387" spans="3:30" ht="10.5" customHeight="1">
      <c r="C387" s="1799" t="s">
        <v>4875</v>
      </c>
      <c r="D387" s="1796">
        <v>0</v>
      </c>
      <c r="E387" s="1796">
        <v>1</v>
      </c>
      <c r="F387" s="1797">
        <v>1</v>
      </c>
      <c r="G387" s="1999" t="s">
        <v>4875</v>
      </c>
      <c r="H387" s="1794">
        <v>1</v>
      </c>
      <c r="I387" s="1794">
        <v>0</v>
      </c>
      <c r="J387" s="2000">
        <v>1</v>
      </c>
      <c r="K387" s="1798"/>
      <c r="L387" s="1792">
        <v>13015960200</v>
      </c>
      <c r="M387" s="1793">
        <v>1</v>
      </c>
      <c r="N387" s="1793">
        <v>1</v>
      </c>
      <c r="O387" s="1793">
        <v>1</v>
      </c>
      <c r="P387" s="530" t="s">
        <v>766</v>
      </c>
      <c r="Q387" s="291"/>
      <c r="R387" s="170"/>
      <c r="S387" s="387"/>
      <c r="T387" s="491" t="s">
        <v>2222</v>
      </c>
      <c r="U387" s="491" t="s">
        <v>1288</v>
      </c>
      <c r="W387" s="427" t="s">
        <v>1654</v>
      </c>
      <c r="X387" s="427" t="s">
        <v>3277</v>
      </c>
      <c r="AA387" s="27"/>
      <c r="AB387" s="27"/>
      <c r="AC387" s="889"/>
      <c r="AD387" s="502"/>
    </row>
    <row r="388" spans="3:30" ht="10.5" customHeight="1">
      <c r="C388" s="1799" t="s">
        <v>4876</v>
      </c>
      <c r="D388" s="1796">
        <v>1</v>
      </c>
      <c r="E388" s="1796">
        <v>1</v>
      </c>
      <c r="F388" s="1797">
        <v>2</v>
      </c>
      <c r="G388" s="1999" t="s">
        <v>4876</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3277</v>
      </c>
      <c r="AA388" s="27"/>
      <c r="AB388" s="27"/>
      <c r="AC388" s="889"/>
      <c r="AD388" s="502"/>
    </row>
    <row r="389" spans="3:30" ht="10.5" customHeight="1">
      <c r="C389" s="1799" t="s">
        <v>4877</v>
      </c>
      <c r="D389" s="1796">
        <v>1</v>
      </c>
      <c r="E389" s="1796">
        <v>1</v>
      </c>
      <c r="F389" s="1797">
        <v>2</v>
      </c>
      <c r="G389" s="1999" t="s">
        <v>4877</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3277</v>
      </c>
      <c r="AA389" s="27"/>
      <c r="AB389" s="27"/>
      <c r="AC389" s="889"/>
      <c r="AD389" s="502"/>
    </row>
    <row r="390" spans="3:30" ht="10.5" customHeight="1">
      <c r="C390" s="1799" t="s">
        <v>4878</v>
      </c>
      <c r="D390" s="1796">
        <v>0</v>
      </c>
      <c r="E390" s="1796">
        <v>1</v>
      </c>
      <c r="F390" s="1797">
        <v>1</v>
      </c>
      <c r="G390" s="1999" t="s">
        <v>4878</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3277</v>
      </c>
      <c r="AA390" s="27"/>
      <c r="AB390" s="27"/>
      <c r="AC390" s="889"/>
      <c r="AD390" s="502"/>
    </row>
    <row r="391" spans="3:30" ht="10.5" customHeight="1">
      <c r="C391" s="1799" t="s">
        <v>4879</v>
      </c>
      <c r="D391" s="1796">
        <v>0</v>
      </c>
      <c r="E391" s="1796">
        <v>0</v>
      </c>
      <c r="F391" s="1797">
        <v>0</v>
      </c>
      <c r="G391" s="1999" t="s">
        <v>4879</v>
      </c>
      <c r="H391" s="1794">
        <v>0</v>
      </c>
      <c r="I391" s="1794">
        <v>0</v>
      </c>
      <c r="J391" s="2000">
        <v>0</v>
      </c>
      <c r="K391" s="1798"/>
      <c r="L391" s="1792">
        <v>13015960500</v>
      </c>
      <c r="M391" s="1793">
        <v>0</v>
      </c>
      <c r="N391" s="1793">
        <v>0</v>
      </c>
      <c r="O391" s="1793">
        <v>0</v>
      </c>
      <c r="P391" s="530" t="s">
        <v>1196</v>
      </c>
      <c r="Q391" s="291"/>
      <c r="R391" s="170"/>
      <c r="S391" s="387"/>
      <c r="T391" s="491" t="s">
        <v>2325</v>
      </c>
      <c r="U391" s="491" t="s">
        <v>153</v>
      </c>
      <c r="W391" s="427" t="s">
        <v>1662</v>
      </c>
      <c r="X391" s="427" t="s">
        <v>3277</v>
      </c>
      <c r="AA391" s="27"/>
      <c r="AB391" s="27"/>
      <c r="AC391" s="889"/>
      <c r="AD391" s="502"/>
    </row>
    <row r="392" spans="3:30" ht="10.5" customHeight="1">
      <c r="C392" s="1799" t="s">
        <v>4880</v>
      </c>
      <c r="D392" s="1796">
        <v>0</v>
      </c>
      <c r="E392" s="1796">
        <v>0</v>
      </c>
      <c r="F392" s="1797">
        <v>0</v>
      </c>
      <c r="G392" s="1999" t="s">
        <v>4880</v>
      </c>
      <c r="H392" s="1794">
        <v>1</v>
      </c>
      <c r="I392" s="1794">
        <v>0</v>
      </c>
      <c r="J392" s="2000">
        <v>0</v>
      </c>
      <c r="K392" s="1798"/>
      <c r="L392" s="1792">
        <v>13015960600</v>
      </c>
      <c r="M392" s="1793">
        <v>1</v>
      </c>
      <c r="N392" s="1793">
        <v>0</v>
      </c>
      <c r="O392" s="1793">
        <v>0</v>
      </c>
      <c r="P392" s="530" t="s">
        <v>877</v>
      </c>
      <c r="Q392" s="291"/>
      <c r="R392" s="170"/>
      <c r="S392" s="387"/>
      <c r="T392" s="491" t="s">
        <v>215</v>
      </c>
      <c r="U392" s="491" t="s">
        <v>2418</v>
      </c>
      <c r="W392" s="427" t="s">
        <v>1666</v>
      </c>
      <c r="X392" s="427" t="s">
        <v>3277</v>
      </c>
      <c r="AA392" s="27"/>
      <c r="AB392" s="27"/>
      <c r="AC392" s="889"/>
      <c r="AD392" s="502"/>
    </row>
    <row r="393" spans="3:30" ht="10.5" customHeight="1">
      <c r="C393" s="1799" t="s">
        <v>4881</v>
      </c>
      <c r="D393" s="1796">
        <v>0</v>
      </c>
      <c r="E393" s="1796">
        <v>0</v>
      </c>
      <c r="F393" s="1797">
        <v>0</v>
      </c>
      <c r="G393" s="1999" t="s">
        <v>4881</v>
      </c>
      <c r="H393" s="1794">
        <v>0</v>
      </c>
      <c r="I393" s="1794">
        <v>0</v>
      </c>
      <c r="J393" s="2000">
        <v>0</v>
      </c>
      <c r="K393" s="1798"/>
      <c r="L393" s="1792">
        <v>13015960700</v>
      </c>
      <c r="M393" s="1793">
        <v>0</v>
      </c>
      <c r="N393" s="1793">
        <v>0</v>
      </c>
      <c r="O393" s="1793">
        <v>0</v>
      </c>
      <c r="P393" s="530" t="s">
        <v>2396</v>
      </c>
      <c r="Q393" s="291"/>
      <c r="R393" s="170"/>
      <c r="S393" s="387"/>
      <c r="T393" s="491" t="s">
        <v>641</v>
      </c>
      <c r="U393" s="491" t="s">
        <v>1602</v>
      </c>
      <c r="W393" s="427" t="s">
        <v>1667</v>
      </c>
      <c r="X393" s="427" t="s">
        <v>3277</v>
      </c>
      <c r="AA393" s="27"/>
      <c r="AB393" s="27"/>
      <c r="AC393" s="889"/>
      <c r="AD393" s="502"/>
    </row>
    <row r="394" spans="3:30" ht="10.5" customHeight="1">
      <c r="C394" s="1799" t="s">
        <v>4882</v>
      </c>
      <c r="D394" s="1796">
        <v>0</v>
      </c>
      <c r="E394" s="1796">
        <v>0</v>
      </c>
      <c r="F394" s="1797">
        <v>0</v>
      </c>
      <c r="G394" s="1999" t="s">
        <v>4882</v>
      </c>
      <c r="H394" s="1794">
        <v>0</v>
      </c>
      <c r="I394" s="1794">
        <v>0</v>
      </c>
      <c r="J394" s="2000">
        <v>0</v>
      </c>
      <c r="K394" s="1798"/>
      <c r="L394" s="1792">
        <v>13015960801</v>
      </c>
      <c r="M394" s="1793">
        <v>0</v>
      </c>
      <c r="N394" s="1793">
        <v>0</v>
      </c>
      <c r="O394" s="1793">
        <v>0</v>
      </c>
      <c r="P394" s="530" t="s">
        <v>3544</v>
      </c>
      <c r="Q394" s="291"/>
      <c r="R394" s="170"/>
      <c r="S394" s="387"/>
      <c r="T394" s="491" t="s">
        <v>2302</v>
      </c>
      <c r="U394" s="491" t="s">
        <v>2416</v>
      </c>
      <c r="W394" s="427" t="s">
        <v>1668</v>
      </c>
      <c r="X394" s="427" t="s">
        <v>3277</v>
      </c>
      <c r="AA394" s="27"/>
      <c r="AB394" s="27"/>
      <c r="AC394" s="889"/>
      <c r="AD394" s="502"/>
    </row>
    <row r="395" spans="3:30" ht="10.5" customHeight="1">
      <c r="C395" s="1799" t="s">
        <v>4883</v>
      </c>
      <c r="D395" s="1796">
        <v>0</v>
      </c>
      <c r="E395" s="1796">
        <v>0</v>
      </c>
      <c r="F395" s="1797">
        <v>0</v>
      </c>
      <c r="G395" s="1999" t="s">
        <v>4883</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3277</v>
      </c>
      <c r="AA395" s="27"/>
      <c r="AB395" s="27"/>
      <c r="AC395" s="889"/>
      <c r="AD395" s="502"/>
    </row>
    <row r="396" spans="3:30" ht="10.5" customHeight="1">
      <c r="C396" s="1799" t="s">
        <v>4884</v>
      </c>
      <c r="D396" s="1796">
        <v>0</v>
      </c>
      <c r="E396" s="1796">
        <v>0</v>
      </c>
      <c r="F396" s="1797">
        <v>0</v>
      </c>
      <c r="G396" s="1999" t="s">
        <v>4884</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3277</v>
      </c>
      <c r="AA396" s="27"/>
      <c r="AB396" s="27"/>
      <c r="AC396" s="889"/>
      <c r="AD396" s="502"/>
    </row>
    <row r="397" spans="3:30" ht="10.5" customHeight="1">
      <c r="C397" s="1799" t="s">
        <v>4885</v>
      </c>
      <c r="D397" s="1796">
        <v>0</v>
      </c>
      <c r="E397" s="1796">
        <v>1</v>
      </c>
      <c r="F397" s="1797">
        <v>1</v>
      </c>
      <c r="G397" s="1999" t="s">
        <v>4885</v>
      </c>
      <c r="H397" s="1794">
        <v>1</v>
      </c>
      <c r="I397" s="1794" t="s">
        <v>4483</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3277</v>
      </c>
      <c r="AA397" s="27"/>
      <c r="AB397" s="27"/>
      <c r="AC397" s="889"/>
      <c r="AD397" s="502"/>
    </row>
    <row r="398" spans="3:30" ht="10.5" customHeight="1">
      <c r="C398" s="1799" t="s">
        <v>4886</v>
      </c>
      <c r="D398" s="1796">
        <v>1</v>
      </c>
      <c r="E398" s="1796">
        <v>1</v>
      </c>
      <c r="F398" s="1797">
        <v>2</v>
      </c>
      <c r="G398" s="1999" t="s">
        <v>4886</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3277</v>
      </c>
      <c r="AA398" s="27"/>
      <c r="AB398" s="27"/>
      <c r="AC398" s="889"/>
      <c r="AD398" s="502"/>
    </row>
    <row r="399" spans="3:30" ht="10.5" customHeight="1">
      <c r="C399" s="1799" t="s">
        <v>4887</v>
      </c>
      <c r="D399" s="1796">
        <v>1</v>
      </c>
      <c r="E399" s="1796">
        <v>1</v>
      </c>
      <c r="F399" s="1797">
        <v>2</v>
      </c>
      <c r="G399" s="1999" t="s">
        <v>4887</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3277</v>
      </c>
      <c r="AA399" s="27"/>
      <c r="AB399" s="27"/>
      <c r="AC399" s="889"/>
      <c r="AD399" s="502"/>
    </row>
    <row r="400" spans="3:30" ht="10.5" customHeight="1">
      <c r="C400" s="1799" t="s">
        <v>4888</v>
      </c>
      <c r="D400" s="1796">
        <v>0</v>
      </c>
      <c r="E400" s="1796">
        <v>0</v>
      </c>
      <c r="F400" s="1797">
        <v>0</v>
      </c>
      <c r="G400" s="1999" t="s">
        <v>4888</v>
      </c>
      <c r="H400" s="1794">
        <v>0</v>
      </c>
      <c r="I400" s="1794">
        <v>0</v>
      </c>
      <c r="J400" s="2000">
        <v>0</v>
      </c>
      <c r="K400" s="1798"/>
      <c r="L400" s="1792">
        <v>13017960100</v>
      </c>
      <c r="M400" s="1793">
        <v>0</v>
      </c>
      <c r="N400" s="1793">
        <v>0</v>
      </c>
      <c r="O400" s="1793">
        <v>0</v>
      </c>
      <c r="P400" s="530" t="s">
        <v>661</v>
      </c>
      <c r="Q400" s="291"/>
      <c r="R400" s="170"/>
      <c r="S400" s="387"/>
      <c r="T400" s="491" t="s">
        <v>1193</v>
      </c>
      <c r="U400" s="491" t="s">
        <v>2424</v>
      </c>
      <c r="W400" s="427" t="s">
        <v>1509</v>
      </c>
      <c r="X400" s="427" t="s">
        <v>3277</v>
      </c>
      <c r="AA400" s="27"/>
      <c r="AB400" s="27"/>
      <c r="AC400" s="889"/>
      <c r="AD400" s="502"/>
    </row>
    <row r="401" spans="3:30" ht="10.5" customHeight="1">
      <c r="C401" s="1799" t="s">
        <v>4889</v>
      </c>
      <c r="D401" s="1796">
        <v>0</v>
      </c>
      <c r="E401" s="1796">
        <v>0</v>
      </c>
      <c r="F401" s="1797">
        <v>0</v>
      </c>
      <c r="G401" s="1999" t="s">
        <v>4889</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3277</v>
      </c>
      <c r="AA401" s="27"/>
      <c r="AB401" s="27"/>
      <c r="AC401" s="889"/>
      <c r="AD401" s="502"/>
    </row>
    <row r="402" spans="3:30" ht="10.5" customHeight="1">
      <c r="C402" s="1799" t="s">
        <v>4890</v>
      </c>
      <c r="D402" s="1796">
        <v>0</v>
      </c>
      <c r="E402" s="1796">
        <v>0</v>
      </c>
      <c r="F402" s="1797">
        <v>0</v>
      </c>
      <c r="G402" s="1999" t="s">
        <v>4890</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3277</v>
      </c>
      <c r="AA402" s="27"/>
      <c r="AB402" s="27"/>
      <c r="AC402" s="889"/>
      <c r="AD402" s="502"/>
    </row>
    <row r="403" spans="3:30" ht="10.5" customHeight="1">
      <c r="C403" s="1799" t="s">
        <v>4891</v>
      </c>
      <c r="D403" s="1796">
        <v>0</v>
      </c>
      <c r="E403" s="1796">
        <v>0</v>
      </c>
      <c r="F403" s="1797">
        <v>0</v>
      </c>
      <c r="G403" s="1999" t="s">
        <v>4891</v>
      </c>
      <c r="H403" s="1794">
        <v>0</v>
      </c>
      <c r="I403" s="1794">
        <v>0</v>
      </c>
      <c r="J403" s="2000">
        <v>0</v>
      </c>
      <c r="K403" s="1798"/>
      <c r="L403" s="1792">
        <v>13017960400</v>
      </c>
      <c r="M403" s="1793">
        <v>0</v>
      </c>
      <c r="N403" s="1793">
        <v>0</v>
      </c>
      <c r="O403" s="1793">
        <v>0</v>
      </c>
      <c r="P403" s="530" t="s">
        <v>1698</v>
      </c>
      <c r="Q403" s="291"/>
      <c r="R403" s="170"/>
      <c r="S403" s="387"/>
      <c r="T403" s="491" t="s">
        <v>878</v>
      </c>
      <c r="U403" s="491" t="s">
        <v>2184</v>
      </c>
      <c r="W403" s="427" t="s">
        <v>2321</v>
      </c>
      <c r="X403" s="427" t="s">
        <v>3277</v>
      </c>
      <c r="AA403" s="27"/>
      <c r="AB403" s="27"/>
      <c r="AC403" s="889"/>
      <c r="AD403" s="502"/>
    </row>
    <row r="404" spans="3:30" ht="10.5" customHeight="1">
      <c r="C404" s="1799" t="s">
        <v>4892</v>
      </c>
      <c r="D404" s="1796">
        <v>0</v>
      </c>
      <c r="E404" s="1796">
        <v>0</v>
      </c>
      <c r="F404" s="1797">
        <v>0</v>
      </c>
      <c r="G404" s="1999" t="s">
        <v>4892</v>
      </c>
      <c r="H404" s="1794">
        <v>0</v>
      </c>
      <c r="I404" s="1794">
        <v>1</v>
      </c>
      <c r="J404" s="2000">
        <v>1</v>
      </c>
      <c r="K404" s="1798"/>
      <c r="L404" s="1792">
        <v>13017960500</v>
      </c>
      <c r="M404" s="1793">
        <v>0</v>
      </c>
      <c r="N404" s="1793">
        <v>1</v>
      </c>
      <c r="O404" s="1793">
        <v>1</v>
      </c>
      <c r="P404" s="530" t="s">
        <v>976</v>
      </c>
      <c r="Q404" s="291"/>
      <c r="R404" s="170"/>
      <c r="S404" s="387"/>
      <c r="T404" s="491" t="s">
        <v>2397</v>
      </c>
      <c r="U404" s="491" t="s">
        <v>1830</v>
      </c>
      <c r="W404" s="427" t="s">
        <v>814</v>
      </c>
      <c r="X404" s="427" t="s">
        <v>3277</v>
      </c>
      <c r="AA404" s="27"/>
      <c r="AB404" s="27"/>
      <c r="AC404" s="889"/>
      <c r="AD404" s="502"/>
    </row>
    <row r="405" spans="3:30" ht="10.5" customHeight="1">
      <c r="C405" s="1799" t="s">
        <v>4893</v>
      </c>
      <c r="D405" s="1796">
        <v>0</v>
      </c>
      <c r="E405" s="1796">
        <v>0</v>
      </c>
      <c r="F405" s="1797">
        <v>0</v>
      </c>
      <c r="G405" s="1999" t="s">
        <v>4893</v>
      </c>
      <c r="H405" s="1794">
        <v>0</v>
      </c>
      <c r="I405" s="1794" t="s">
        <v>4483</v>
      </c>
      <c r="J405" s="2000">
        <v>0</v>
      </c>
      <c r="K405" s="1798"/>
      <c r="L405" s="1792">
        <v>13019970100</v>
      </c>
      <c r="M405" s="1793">
        <v>0</v>
      </c>
      <c r="N405" s="1793">
        <v>0</v>
      </c>
      <c r="O405" s="1793">
        <v>0</v>
      </c>
      <c r="P405" s="530" t="s">
        <v>977</v>
      </c>
      <c r="Q405" s="291"/>
      <c r="R405" s="170"/>
      <c r="S405" s="387"/>
      <c r="T405" s="531" t="s">
        <v>881</v>
      </c>
      <c r="U405" s="531" t="s">
        <v>2128</v>
      </c>
      <c r="W405" s="427" t="s">
        <v>816</v>
      </c>
      <c r="X405" s="427" t="s">
        <v>3277</v>
      </c>
      <c r="AA405" s="27"/>
      <c r="AB405" s="27"/>
      <c r="AC405" s="889"/>
      <c r="AD405" s="502"/>
    </row>
    <row r="406" spans="3:30" ht="10.5" customHeight="1">
      <c r="C406" s="1799" t="s">
        <v>4894</v>
      </c>
      <c r="D406" s="1796">
        <v>0</v>
      </c>
      <c r="E406" s="1796">
        <v>0</v>
      </c>
      <c r="F406" s="1797">
        <v>0</v>
      </c>
      <c r="G406" s="1999" t="s">
        <v>4894</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4895</v>
      </c>
      <c r="D407" s="1796">
        <v>0</v>
      </c>
      <c r="E407" s="1796">
        <v>0</v>
      </c>
      <c r="F407" s="1797">
        <v>0</v>
      </c>
      <c r="G407" s="1999" t="s">
        <v>4895</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4896</v>
      </c>
      <c r="D408" s="1796">
        <v>0</v>
      </c>
      <c r="E408" s="1796">
        <v>0</v>
      </c>
      <c r="F408" s="1797">
        <v>0</v>
      </c>
      <c r="G408" s="1999" t="s">
        <v>4896</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4897</v>
      </c>
      <c r="D409" s="1796">
        <v>0</v>
      </c>
      <c r="E409" s="1796">
        <v>0</v>
      </c>
      <c r="F409" s="1797">
        <v>0</v>
      </c>
      <c r="G409" s="1999" t="s">
        <v>4897</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4898</v>
      </c>
      <c r="D410" s="1796">
        <v>0</v>
      </c>
      <c r="E410" s="1796">
        <v>0</v>
      </c>
      <c r="F410" s="1797">
        <v>0</v>
      </c>
      <c r="G410" s="1999" t="s">
        <v>4898</v>
      </c>
      <c r="H410" s="1794">
        <v>0</v>
      </c>
      <c r="I410" s="1794">
        <v>0</v>
      </c>
      <c r="J410" s="2000">
        <v>0</v>
      </c>
      <c r="K410" s="1798"/>
      <c r="L410" s="1792">
        <v>13019970600</v>
      </c>
      <c r="M410" s="1793">
        <v>0</v>
      </c>
      <c r="N410" s="1793">
        <v>0</v>
      </c>
      <c r="O410" s="1793">
        <v>0</v>
      </c>
      <c r="P410" s="530" t="s">
        <v>964</v>
      </c>
      <c r="Q410" s="291"/>
      <c r="R410" s="170"/>
      <c r="S410" s="387"/>
      <c r="T410" s="491" t="s">
        <v>662</v>
      </c>
      <c r="U410" s="491" t="s">
        <v>2132</v>
      </c>
      <c r="AA410" s="27"/>
      <c r="AB410" s="27"/>
      <c r="AC410" s="890"/>
      <c r="AD410" s="502"/>
    </row>
    <row r="411" spans="3:30" ht="10.5" customHeight="1">
      <c r="C411" s="1799" t="s">
        <v>4899</v>
      </c>
      <c r="D411" s="1796">
        <v>0</v>
      </c>
      <c r="E411" s="1796">
        <v>0</v>
      </c>
      <c r="F411" s="1797">
        <v>0</v>
      </c>
      <c r="G411" s="1999" t="s">
        <v>4899</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4900</v>
      </c>
      <c r="D412" s="1796">
        <v>0</v>
      </c>
      <c r="E412" s="1796">
        <v>0</v>
      </c>
      <c r="F412" s="1797">
        <v>0</v>
      </c>
      <c r="G412" s="1999" t="s">
        <v>4900</v>
      </c>
      <c r="H412" s="1794">
        <v>0</v>
      </c>
      <c r="I412" s="1794">
        <v>1</v>
      </c>
      <c r="J412" s="2000">
        <v>1</v>
      </c>
      <c r="K412" s="1798"/>
      <c r="L412" s="1792">
        <v>13021010200</v>
      </c>
      <c r="M412" s="1793">
        <v>0</v>
      </c>
      <c r="N412" s="1793">
        <v>1</v>
      </c>
      <c r="O412" s="1793">
        <v>1</v>
      </c>
      <c r="P412" s="530" t="s">
        <v>365</v>
      </c>
      <c r="Q412" s="291"/>
      <c r="R412" s="170"/>
      <c r="S412" s="387"/>
      <c r="T412" s="491" t="s">
        <v>940</v>
      </c>
      <c r="U412" s="491" t="s">
        <v>1960</v>
      </c>
      <c r="AA412" s="27"/>
      <c r="AB412" s="27"/>
      <c r="AC412" s="889"/>
      <c r="AD412" s="502"/>
    </row>
    <row r="413" spans="3:30" ht="10.5" customHeight="1">
      <c r="C413" s="1799" t="s">
        <v>4901</v>
      </c>
      <c r="D413" s="1796">
        <v>0</v>
      </c>
      <c r="E413" s="1796">
        <v>0</v>
      </c>
      <c r="F413" s="1797">
        <v>0</v>
      </c>
      <c r="G413" s="1999" t="s">
        <v>4901</v>
      </c>
      <c r="H413" s="1794">
        <v>0</v>
      </c>
      <c r="I413" s="1794" t="s">
        <v>4483</v>
      </c>
      <c r="J413" s="2000">
        <v>0</v>
      </c>
      <c r="K413" s="1798"/>
      <c r="L413" s="1792">
        <v>13021010300</v>
      </c>
      <c r="M413" s="1793">
        <v>0</v>
      </c>
      <c r="N413" s="1793">
        <v>0</v>
      </c>
      <c r="O413" s="1793">
        <v>0</v>
      </c>
      <c r="P413" s="530" t="s">
        <v>367</v>
      </c>
      <c r="Q413" s="291"/>
      <c r="R413" s="170"/>
      <c r="S413" s="387"/>
      <c r="T413" s="491" t="s">
        <v>649</v>
      </c>
      <c r="U413" s="491" t="s">
        <v>2336</v>
      </c>
      <c r="AA413" s="27"/>
      <c r="AB413" s="27"/>
      <c r="AC413" s="889"/>
      <c r="AD413" s="502"/>
    </row>
    <row r="414" spans="3:30" ht="10.5" customHeight="1">
      <c r="C414" s="1799" t="s">
        <v>4902</v>
      </c>
      <c r="D414" s="1796">
        <v>0</v>
      </c>
      <c r="E414" s="1796">
        <v>0</v>
      </c>
      <c r="F414" s="1797">
        <v>0</v>
      </c>
      <c r="G414" s="1999" t="s">
        <v>4902</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4903</v>
      </c>
      <c r="D415" s="1796">
        <v>0</v>
      </c>
      <c r="E415" s="1796">
        <v>0</v>
      </c>
      <c r="F415" s="1797">
        <v>0</v>
      </c>
      <c r="G415" s="1999" t="s">
        <v>4903</v>
      </c>
      <c r="H415" s="1794">
        <v>0</v>
      </c>
      <c r="I415" s="1794">
        <v>0</v>
      </c>
      <c r="J415" s="2000">
        <v>0</v>
      </c>
      <c r="K415" s="1798"/>
      <c r="L415" s="1792">
        <v>13021010500</v>
      </c>
      <c r="M415" s="1793">
        <v>0</v>
      </c>
      <c r="N415" s="1793">
        <v>0</v>
      </c>
      <c r="O415" s="1793">
        <v>0</v>
      </c>
      <c r="P415" s="530" t="s">
        <v>579</v>
      </c>
      <c r="Q415" s="291"/>
      <c r="R415" s="170"/>
      <c r="S415" s="387"/>
      <c r="T415" s="531" t="s">
        <v>980</v>
      </c>
      <c r="U415" s="531" t="s">
        <v>2464</v>
      </c>
      <c r="AA415" s="27"/>
      <c r="AB415" s="27"/>
      <c r="AC415" s="889"/>
      <c r="AD415" s="502"/>
    </row>
    <row r="416" spans="3:30" ht="10.5" customHeight="1">
      <c r="C416" s="1799" t="s">
        <v>4904</v>
      </c>
      <c r="D416" s="1796">
        <v>1</v>
      </c>
      <c r="E416" s="1796">
        <v>1</v>
      </c>
      <c r="F416" s="1797">
        <v>2</v>
      </c>
      <c r="G416" s="1999" t="s">
        <v>4904</v>
      </c>
      <c r="H416" s="1794">
        <v>0</v>
      </c>
      <c r="I416" s="1794" t="s">
        <v>4483</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4905</v>
      </c>
      <c r="D417" s="1796">
        <v>0</v>
      </c>
      <c r="E417" s="1796">
        <v>0</v>
      </c>
      <c r="F417" s="1797">
        <v>0</v>
      </c>
      <c r="G417" s="1999" t="s">
        <v>4905</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4906</v>
      </c>
      <c r="D418" s="1796">
        <v>0</v>
      </c>
      <c r="E418" s="1796">
        <v>0</v>
      </c>
      <c r="F418" s="1797">
        <v>0</v>
      </c>
      <c r="G418" s="1999" t="s">
        <v>4906</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4907</v>
      </c>
      <c r="D419" s="1796">
        <v>0</v>
      </c>
      <c r="E419" s="1796">
        <v>0</v>
      </c>
      <c r="F419" s="1797">
        <v>0</v>
      </c>
      <c r="G419" s="1999" t="s">
        <v>4907</v>
      </c>
      <c r="H419" s="1794">
        <v>0</v>
      </c>
      <c r="I419" s="1794">
        <v>0</v>
      </c>
      <c r="J419" s="2000">
        <v>0</v>
      </c>
      <c r="K419" s="1798"/>
      <c r="L419" s="1792">
        <v>13021011500</v>
      </c>
      <c r="M419" s="1793">
        <v>0</v>
      </c>
      <c r="N419" s="1793">
        <v>0</v>
      </c>
      <c r="O419" s="1793">
        <v>0</v>
      </c>
      <c r="P419" s="530" t="s">
        <v>988</v>
      </c>
      <c r="Q419" s="291"/>
      <c r="R419" s="170"/>
      <c r="S419" s="387"/>
      <c r="T419" s="491" t="s">
        <v>965</v>
      </c>
      <c r="U419" s="491" t="s">
        <v>1830</v>
      </c>
      <c r="AA419" s="27"/>
      <c r="AB419" s="27"/>
      <c r="AC419" s="889"/>
      <c r="AD419" s="502"/>
    </row>
    <row r="420" spans="3:30" ht="10.5" customHeight="1">
      <c r="C420" s="1799" t="s">
        <v>4908</v>
      </c>
      <c r="D420" s="1796">
        <v>0</v>
      </c>
      <c r="E420" s="1796">
        <v>0</v>
      </c>
      <c r="F420" s="1797">
        <v>0</v>
      </c>
      <c r="G420" s="1999" t="s">
        <v>4908</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4909</v>
      </c>
      <c r="D421" s="1796">
        <v>0</v>
      </c>
      <c r="E421" s="1796">
        <v>0</v>
      </c>
      <c r="F421" s="1797">
        <v>0</v>
      </c>
      <c r="G421" s="1999" t="s">
        <v>4909</v>
      </c>
      <c r="H421" s="1794">
        <v>0</v>
      </c>
      <c r="I421" s="1794">
        <v>0</v>
      </c>
      <c r="J421" s="2000">
        <v>0</v>
      </c>
      <c r="K421" s="1798"/>
      <c r="L421" s="1792">
        <v>13021011702</v>
      </c>
      <c r="M421" s="1793">
        <v>0</v>
      </c>
      <c r="N421" s="1793">
        <v>0</v>
      </c>
      <c r="O421" s="1793">
        <v>0</v>
      </c>
      <c r="P421" s="530" t="s">
        <v>1634</v>
      </c>
      <c r="Q421" s="291"/>
      <c r="R421" s="170"/>
      <c r="S421" s="387"/>
      <c r="T421" s="491" t="s">
        <v>557</v>
      </c>
      <c r="U421" s="491" t="s">
        <v>2121</v>
      </c>
      <c r="AA421" s="27"/>
      <c r="AB421" s="27"/>
      <c r="AC421" s="889"/>
      <c r="AD421" s="502"/>
    </row>
    <row r="422" spans="3:30" ht="10.5" customHeight="1">
      <c r="C422" s="1799" t="s">
        <v>4910</v>
      </c>
      <c r="D422" s="1796">
        <v>1</v>
      </c>
      <c r="E422" s="1796">
        <v>0</v>
      </c>
      <c r="F422" s="1797">
        <v>1</v>
      </c>
      <c r="G422" s="1999" t="s">
        <v>4910</v>
      </c>
      <c r="H422" s="1794">
        <v>1</v>
      </c>
      <c r="I422" s="1794">
        <v>1</v>
      </c>
      <c r="J422" s="2000">
        <v>2</v>
      </c>
      <c r="K422" s="1798"/>
      <c r="L422" s="1792">
        <v>13021011800</v>
      </c>
      <c r="M422" s="1793">
        <v>1</v>
      </c>
      <c r="N422" s="1793">
        <v>1</v>
      </c>
      <c r="O422" s="1793">
        <v>2</v>
      </c>
      <c r="P422" s="530" t="s">
        <v>1635</v>
      </c>
      <c r="Q422" s="291"/>
      <c r="R422" s="170"/>
      <c r="S422" s="387"/>
      <c r="T422" s="491" t="s">
        <v>366</v>
      </c>
      <c r="U422" s="491" t="s">
        <v>2461</v>
      </c>
      <c r="AA422" s="27"/>
      <c r="AB422" s="27"/>
      <c r="AC422" s="889"/>
      <c r="AD422" s="502"/>
    </row>
    <row r="423" spans="3:30" ht="10.5" customHeight="1">
      <c r="C423" s="1799" t="s">
        <v>4911</v>
      </c>
      <c r="D423" s="1796">
        <v>0</v>
      </c>
      <c r="E423" s="1796">
        <v>0</v>
      </c>
      <c r="F423" s="1797">
        <v>0</v>
      </c>
      <c r="G423" s="1999" t="s">
        <v>4911</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4912</v>
      </c>
      <c r="D424" s="1796">
        <v>1</v>
      </c>
      <c r="E424" s="1796">
        <v>1</v>
      </c>
      <c r="F424" s="1797">
        <v>2</v>
      </c>
      <c r="G424" s="1999" t="s">
        <v>4912</v>
      </c>
      <c r="H424" s="1794">
        <v>1</v>
      </c>
      <c r="I424" s="1794">
        <v>1</v>
      </c>
      <c r="J424" s="2000">
        <v>2</v>
      </c>
      <c r="K424" s="1798"/>
      <c r="L424" s="1792">
        <v>13021012000</v>
      </c>
      <c r="M424" s="1793">
        <v>1</v>
      </c>
      <c r="N424" s="1793">
        <v>1</v>
      </c>
      <c r="O424" s="1793">
        <v>2</v>
      </c>
      <c r="P424" s="530" t="s">
        <v>843</v>
      </c>
      <c r="Q424" s="291"/>
      <c r="R424" s="170"/>
      <c r="S424" s="387"/>
      <c r="T424" s="491" t="s">
        <v>1025</v>
      </c>
      <c r="U424" s="491" t="s">
        <v>1863</v>
      </c>
      <c r="AA424" s="27"/>
      <c r="AB424" s="27"/>
      <c r="AC424" s="889"/>
      <c r="AD424" s="502"/>
    </row>
    <row r="425" spans="3:30" ht="10.5" customHeight="1">
      <c r="C425" s="1799" t="s">
        <v>4913</v>
      </c>
      <c r="D425" s="1796">
        <v>1</v>
      </c>
      <c r="E425" s="1796">
        <v>1</v>
      </c>
      <c r="F425" s="1797">
        <v>2</v>
      </c>
      <c r="G425" s="1999" t="s">
        <v>4913</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4914</v>
      </c>
      <c r="D426" s="1796">
        <v>0</v>
      </c>
      <c r="E426" s="1796">
        <v>1</v>
      </c>
      <c r="F426" s="1797">
        <v>1</v>
      </c>
      <c r="G426" s="1999" t="s">
        <v>4914</v>
      </c>
      <c r="H426" s="1794">
        <v>0</v>
      </c>
      <c r="I426" s="1794">
        <v>1</v>
      </c>
      <c r="J426" s="2000">
        <v>1</v>
      </c>
      <c r="K426" s="1798"/>
      <c r="L426" s="1792">
        <v>13021012102</v>
      </c>
      <c r="M426" s="1793">
        <v>0</v>
      </c>
      <c r="N426" s="1793">
        <v>1</v>
      </c>
      <c r="O426" s="1793">
        <v>1</v>
      </c>
      <c r="P426" s="530" t="s">
        <v>847</v>
      </c>
      <c r="Q426" s="291"/>
      <c r="R426" s="170"/>
      <c r="S426" s="387"/>
      <c r="T426" s="491" t="s">
        <v>1389</v>
      </c>
      <c r="U426" s="491" t="s">
        <v>2186</v>
      </c>
      <c r="AA426" s="27"/>
      <c r="AB426" s="27"/>
      <c r="AC426" s="889"/>
      <c r="AD426" s="502"/>
    </row>
    <row r="427" spans="3:30" ht="10.5" customHeight="1">
      <c r="C427" s="1799" t="s">
        <v>4915</v>
      </c>
      <c r="D427" s="1796">
        <v>0</v>
      </c>
      <c r="E427" s="1796">
        <v>0</v>
      </c>
      <c r="F427" s="1797">
        <v>0</v>
      </c>
      <c r="G427" s="1999" t="s">
        <v>4915</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4916</v>
      </c>
      <c r="D428" s="1796">
        <v>0</v>
      </c>
      <c r="E428" s="1796">
        <v>0</v>
      </c>
      <c r="F428" s="1797">
        <v>0</v>
      </c>
      <c r="G428" s="1999" t="s">
        <v>4916</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4917</v>
      </c>
      <c r="D429" s="1796">
        <v>0</v>
      </c>
      <c r="E429" s="1796">
        <v>0</v>
      </c>
      <c r="F429" s="1797">
        <v>0</v>
      </c>
      <c r="G429" s="1999" t="s">
        <v>4917</v>
      </c>
      <c r="H429" s="1794">
        <v>0</v>
      </c>
      <c r="I429" s="1794">
        <v>0</v>
      </c>
      <c r="J429" s="2000">
        <v>0</v>
      </c>
      <c r="K429" s="1798"/>
      <c r="L429" s="1792">
        <v>13021012400</v>
      </c>
      <c r="M429" s="1793">
        <v>0</v>
      </c>
      <c r="N429" s="1793">
        <v>0</v>
      </c>
      <c r="O429" s="1793">
        <v>0</v>
      </c>
      <c r="P429" s="530" t="s">
        <v>2228</v>
      </c>
      <c r="Q429" s="291"/>
      <c r="R429" s="170"/>
      <c r="S429" s="387"/>
      <c r="T429" s="491" t="s">
        <v>989</v>
      </c>
      <c r="U429" s="491" t="s">
        <v>314</v>
      </c>
      <c r="AA429" s="27"/>
      <c r="AB429" s="27"/>
      <c r="AC429" s="890"/>
      <c r="AD429" s="502"/>
    </row>
    <row r="430" spans="3:30" ht="10.5" customHeight="1">
      <c r="C430" s="1799" t="s">
        <v>4918</v>
      </c>
      <c r="D430" s="1796">
        <v>0</v>
      </c>
      <c r="E430" s="1796">
        <v>0</v>
      </c>
      <c r="F430" s="1797">
        <v>0</v>
      </c>
      <c r="G430" s="1999" t="s">
        <v>4918</v>
      </c>
      <c r="H430" s="1794">
        <v>0</v>
      </c>
      <c r="I430" s="1794">
        <v>0</v>
      </c>
      <c r="J430" s="2000">
        <v>0</v>
      </c>
      <c r="K430" s="1798"/>
      <c r="L430" s="1792">
        <v>13021012500</v>
      </c>
      <c r="M430" s="1793">
        <v>0</v>
      </c>
      <c r="N430" s="1793">
        <v>0</v>
      </c>
      <c r="O430" s="1793">
        <v>0</v>
      </c>
      <c r="P430" s="530" t="s">
        <v>1955</v>
      </c>
      <c r="Q430" s="291"/>
      <c r="R430" s="170"/>
      <c r="S430" s="387"/>
      <c r="T430" s="491" t="s">
        <v>1026</v>
      </c>
      <c r="U430" s="491" t="s">
        <v>1957</v>
      </c>
      <c r="AA430" s="27"/>
      <c r="AB430" s="27"/>
      <c r="AC430" s="889"/>
      <c r="AD430" s="502"/>
    </row>
    <row r="431" spans="3:30" ht="10.5" customHeight="1">
      <c r="C431" s="1799" t="s">
        <v>4919</v>
      </c>
      <c r="D431" s="1796">
        <v>0</v>
      </c>
      <c r="E431" s="1796">
        <v>0</v>
      </c>
      <c r="F431" s="1797">
        <v>0</v>
      </c>
      <c r="G431" s="1999" t="s">
        <v>4919</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4920</v>
      </c>
      <c r="D432" s="1796">
        <v>0</v>
      </c>
      <c r="E432" s="1796">
        <v>0</v>
      </c>
      <c r="F432" s="1797">
        <v>0</v>
      </c>
      <c r="G432" s="1999" t="s">
        <v>4920</v>
      </c>
      <c r="H432" s="1794">
        <v>0</v>
      </c>
      <c r="I432" s="1794">
        <v>0</v>
      </c>
      <c r="J432" s="200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4921</v>
      </c>
      <c r="D433" s="1796">
        <v>0</v>
      </c>
      <c r="E433" s="1796">
        <v>0</v>
      </c>
      <c r="F433" s="1797">
        <v>0</v>
      </c>
      <c r="G433" s="1999" t="s">
        <v>4921</v>
      </c>
      <c r="H433" s="1794">
        <v>0</v>
      </c>
      <c r="I433" s="1794">
        <v>0</v>
      </c>
      <c r="J433" s="2000">
        <v>0</v>
      </c>
      <c r="K433" s="1798"/>
      <c r="L433" s="1792">
        <v>13021012800</v>
      </c>
      <c r="M433" s="1793">
        <v>0</v>
      </c>
      <c r="N433" s="1793">
        <v>0</v>
      </c>
      <c r="O433" s="1793">
        <v>0</v>
      </c>
      <c r="P433" s="530" t="s">
        <v>405</v>
      </c>
      <c r="Q433" s="291"/>
      <c r="R433" s="170"/>
      <c r="S433" s="387"/>
      <c r="T433" s="491" t="s">
        <v>2758</v>
      </c>
      <c r="U433" s="491" t="s">
        <v>1739</v>
      </c>
      <c r="AA433" s="27"/>
      <c r="AB433" s="27"/>
      <c r="AC433" s="889"/>
      <c r="AD433" s="502"/>
    </row>
    <row r="434" spans="3:30" ht="10.5" customHeight="1">
      <c r="C434" s="1799" t="s">
        <v>4922</v>
      </c>
      <c r="D434" s="1796">
        <v>0</v>
      </c>
      <c r="E434" s="1796">
        <v>0</v>
      </c>
      <c r="F434" s="1797">
        <v>0</v>
      </c>
      <c r="G434" s="1999" t="s">
        <v>4922</v>
      </c>
      <c r="H434" s="1794">
        <v>0</v>
      </c>
      <c r="I434" s="1794">
        <v>0</v>
      </c>
      <c r="J434" s="2000">
        <v>0</v>
      </c>
      <c r="K434" s="1798"/>
      <c r="L434" s="1792">
        <v>13021012900</v>
      </c>
      <c r="M434" s="1793">
        <v>0</v>
      </c>
      <c r="N434" s="1793">
        <v>0</v>
      </c>
      <c r="O434" s="1793">
        <v>0</v>
      </c>
      <c r="P434" s="530" t="s">
        <v>406</v>
      </c>
      <c r="Q434" s="291"/>
      <c r="R434" s="170"/>
      <c r="S434" s="387"/>
      <c r="T434" s="491" t="s">
        <v>1637</v>
      </c>
      <c r="U434" s="491" t="s">
        <v>2461</v>
      </c>
      <c r="AA434" s="27"/>
      <c r="AB434" s="27"/>
      <c r="AC434" s="889"/>
      <c r="AD434" s="502"/>
    </row>
    <row r="435" spans="3:30" ht="10.5" customHeight="1">
      <c r="C435" s="1799" t="s">
        <v>4923</v>
      </c>
      <c r="D435" s="1796">
        <v>0</v>
      </c>
      <c r="E435" s="1796">
        <v>0</v>
      </c>
      <c r="F435" s="1797">
        <v>0</v>
      </c>
      <c r="G435" s="1999" t="s">
        <v>4923</v>
      </c>
      <c r="H435" s="1794">
        <v>0</v>
      </c>
      <c r="I435" s="1794">
        <v>0</v>
      </c>
      <c r="J435" s="2000">
        <v>0</v>
      </c>
      <c r="K435" s="1798"/>
      <c r="L435" s="1792">
        <v>13021013101</v>
      </c>
      <c r="M435" s="1793">
        <v>0</v>
      </c>
      <c r="N435" s="1793">
        <v>0</v>
      </c>
      <c r="O435" s="1793">
        <v>0</v>
      </c>
      <c r="P435" s="530" t="s">
        <v>1895</v>
      </c>
      <c r="Q435" s="291"/>
      <c r="R435" s="170"/>
      <c r="S435" s="387"/>
      <c r="T435" s="491" t="s">
        <v>844</v>
      </c>
      <c r="U435" s="491" t="s">
        <v>103</v>
      </c>
      <c r="AA435" s="27"/>
      <c r="AB435" s="27"/>
      <c r="AC435" s="889"/>
      <c r="AD435" s="502"/>
    </row>
    <row r="436" spans="3:30" ht="10.5" customHeight="1">
      <c r="C436" s="1799" t="s">
        <v>4924</v>
      </c>
      <c r="D436" s="1796">
        <v>0</v>
      </c>
      <c r="E436" s="1796">
        <v>0</v>
      </c>
      <c r="F436" s="1797">
        <v>0</v>
      </c>
      <c r="G436" s="1999" t="s">
        <v>4924</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4925</v>
      </c>
      <c r="D437" s="1796">
        <v>0</v>
      </c>
      <c r="E437" s="1796">
        <v>0</v>
      </c>
      <c r="F437" s="1797">
        <v>0</v>
      </c>
      <c r="G437" s="1999" t="s">
        <v>4925</v>
      </c>
      <c r="H437" s="1794">
        <v>0</v>
      </c>
      <c r="I437" s="1794">
        <v>0</v>
      </c>
      <c r="J437" s="2000">
        <v>0</v>
      </c>
      <c r="K437" s="1798"/>
      <c r="L437" s="1792">
        <v>13021013201</v>
      </c>
      <c r="M437" s="1793">
        <v>0</v>
      </c>
      <c r="N437" s="1793">
        <v>0</v>
      </c>
      <c r="O437" s="1793">
        <v>0</v>
      </c>
      <c r="P437" s="530" t="s">
        <v>2110</v>
      </c>
      <c r="Q437" s="291"/>
      <c r="R437" s="170"/>
      <c r="S437" s="387"/>
      <c r="T437" s="491" t="s">
        <v>1697</v>
      </c>
      <c r="U437" s="491" t="s">
        <v>1077</v>
      </c>
      <c r="AA437" s="27"/>
      <c r="AB437" s="27"/>
      <c r="AC437" s="889"/>
      <c r="AD437" s="502"/>
    </row>
    <row r="438" spans="3:30" ht="10.5" customHeight="1">
      <c r="C438" s="1799" t="s">
        <v>4926</v>
      </c>
      <c r="D438" s="1796">
        <v>0</v>
      </c>
      <c r="E438" s="1796">
        <v>0</v>
      </c>
      <c r="F438" s="1797">
        <v>0</v>
      </c>
      <c r="G438" s="1999" t="s">
        <v>4926</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4927</v>
      </c>
      <c r="D439" s="1796">
        <v>0</v>
      </c>
      <c r="E439" s="1796">
        <v>0</v>
      </c>
      <c r="F439" s="1797">
        <v>0</v>
      </c>
      <c r="G439" s="1999" t="s">
        <v>4927</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4928</v>
      </c>
      <c r="D440" s="1796">
        <v>1</v>
      </c>
      <c r="E440" s="1796">
        <v>1</v>
      </c>
      <c r="F440" s="1797">
        <v>2</v>
      </c>
      <c r="G440" s="1999" t="s">
        <v>4928</v>
      </c>
      <c r="H440" s="1794">
        <v>0</v>
      </c>
      <c r="I440" s="1794">
        <v>1</v>
      </c>
      <c r="J440" s="2000">
        <v>1</v>
      </c>
      <c r="K440" s="1798"/>
      <c r="L440" s="1792">
        <v>13021013407</v>
      </c>
      <c r="M440" s="1793">
        <v>1</v>
      </c>
      <c r="N440" s="1793">
        <v>1</v>
      </c>
      <c r="O440" s="1793">
        <v>2</v>
      </c>
      <c r="P440" s="530" t="s">
        <v>301</v>
      </c>
      <c r="Q440" s="291"/>
      <c r="R440" s="170"/>
      <c r="S440" s="387"/>
      <c r="T440" s="491" t="s">
        <v>2759</v>
      </c>
      <c r="U440" s="491" t="s">
        <v>155</v>
      </c>
      <c r="AA440" s="27"/>
      <c r="AB440" s="27"/>
      <c r="AC440" s="889"/>
      <c r="AD440" s="502"/>
    </row>
    <row r="441" spans="3:30" ht="10.5" customHeight="1">
      <c r="C441" s="1799" t="s">
        <v>4929</v>
      </c>
      <c r="D441" s="1796">
        <v>1</v>
      </c>
      <c r="E441" s="1796">
        <v>1</v>
      </c>
      <c r="F441" s="1797">
        <v>2</v>
      </c>
      <c r="G441" s="1999" t="s">
        <v>4929</v>
      </c>
      <c r="H441" s="1794">
        <v>1</v>
      </c>
      <c r="I441" s="1794">
        <v>1</v>
      </c>
      <c r="J441" s="2000">
        <v>2</v>
      </c>
      <c r="K441" s="1798"/>
      <c r="L441" s="1792">
        <v>13021013408</v>
      </c>
      <c r="M441" s="1793">
        <v>1</v>
      </c>
      <c r="N441" s="1793">
        <v>1</v>
      </c>
      <c r="O441" s="1793">
        <v>2</v>
      </c>
      <c r="P441" s="530" t="s">
        <v>303</v>
      </c>
      <c r="Q441" s="291"/>
      <c r="R441" s="170"/>
      <c r="S441" s="387"/>
      <c r="T441" s="491" t="s">
        <v>1956</v>
      </c>
      <c r="U441" s="491" t="s">
        <v>1087</v>
      </c>
      <c r="AA441" s="27"/>
      <c r="AB441" s="27"/>
      <c r="AC441" s="889"/>
      <c r="AD441" s="502"/>
    </row>
    <row r="442" spans="3:30" ht="10.5" customHeight="1">
      <c r="C442" s="1799" t="s">
        <v>4930</v>
      </c>
      <c r="D442" s="1796">
        <v>1</v>
      </c>
      <c r="E442" s="1796">
        <v>1</v>
      </c>
      <c r="F442" s="1797">
        <v>2</v>
      </c>
      <c r="G442" s="1999" t="s">
        <v>4930</v>
      </c>
      <c r="H442" s="1794">
        <v>1</v>
      </c>
      <c r="I442" s="1794">
        <v>1</v>
      </c>
      <c r="J442" s="2000">
        <v>2</v>
      </c>
      <c r="K442" s="1798"/>
      <c r="L442" s="1792">
        <v>13021013409</v>
      </c>
      <c r="M442" s="1793">
        <v>1</v>
      </c>
      <c r="N442" s="1793">
        <v>1</v>
      </c>
      <c r="O442" s="1793">
        <v>2</v>
      </c>
      <c r="P442" s="530" t="s">
        <v>920</v>
      </c>
      <c r="Q442" s="291"/>
      <c r="R442" s="170"/>
      <c r="S442" s="387"/>
      <c r="T442" s="531" t="s">
        <v>2760</v>
      </c>
      <c r="U442" s="531" t="s">
        <v>314</v>
      </c>
      <c r="AA442" s="27"/>
      <c r="AB442" s="27"/>
      <c r="AC442" s="889"/>
      <c r="AD442" s="502"/>
    </row>
    <row r="443" spans="3:30" ht="10.5" customHeight="1">
      <c r="C443" s="1799" t="s">
        <v>4931</v>
      </c>
      <c r="D443" s="1796">
        <v>1</v>
      </c>
      <c r="E443" s="1796">
        <v>1</v>
      </c>
      <c r="F443" s="1797">
        <v>2</v>
      </c>
      <c r="G443" s="1999" t="s">
        <v>4931</v>
      </c>
      <c r="H443" s="1794">
        <v>1</v>
      </c>
      <c r="I443" s="1794">
        <v>1</v>
      </c>
      <c r="J443" s="2000">
        <v>2</v>
      </c>
      <c r="K443" s="1798"/>
      <c r="L443" s="1792">
        <v>13021013410</v>
      </c>
      <c r="M443" s="1793">
        <v>1</v>
      </c>
      <c r="N443" s="1793">
        <v>1</v>
      </c>
      <c r="O443" s="1793">
        <v>2</v>
      </c>
      <c r="P443" s="530" t="s">
        <v>2261</v>
      </c>
      <c r="Q443" s="291"/>
      <c r="R443" s="170"/>
      <c r="S443" s="387"/>
      <c r="T443" s="491" t="s">
        <v>1011</v>
      </c>
      <c r="U443" s="491" t="s">
        <v>1863</v>
      </c>
      <c r="AA443" s="27"/>
      <c r="AB443" s="27"/>
      <c r="AC443" s="890"/>
      <c r="AD443" s="502"/>
    </row>
    <row r="444" spans="3:30" ht="10.5" customHeight="1">
      <c r="C444" s="1799" t="s">
        <v>4932</v>
      </c>
      <c r="D444" s="1796">
        <v>1</v>
      </c>
      <c r="E444" s="1796">
        <v>1</v>
      </c>
      <c r="F444" s="1797">
        <v>2</v>
      </c>
      <c r="G444" s="1999" t="s">
        <v>4932</v>
      </c>
      <c r="H444" s="1794">
        <v>1</v>
      </c>
      <c r="I444" s="1794" t="s">
        <v>4483</v>
      </c>
      <c r="J444" s="200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4933</v>
      </c>
      <c r="D445" s="1796">
        <v>0</v>
      </c>
      <c r="E445" s="1796">
        <v>0</v>
      </c>
      <c r="F445" s="1797">
        <v>0</v>
      </c>
      <c r="G445" s="1999" t="s">
        <v>4933</v>
      </c>
      <c r="H445" s="1794">
        <v>0</v>
      </c>
      <c r="I445" s="1794">
        <v>0</v>
      </c>
      <c r="J445" s="2000">
        <v>0</v>
      </c>
      <c r="K445" s="1798"/>
      <c r="L445" s="1792">
        <v>13021013502</v>
      </c>
      <c r="M445" s="1793">
        <v>0</v>
      </c>
      <c r="N445" s="1793">
        <v>0</v>
      </c>
      <c r="O445" s="1793">
        <v>0</v>
      </c>
      <c r="P445" s="530" t="s">
        <v>2243</v>
      </c>
      <c r="Q445" s="291"/>
      <c r="R445" s="170"/>
      <c r="S445" s="387"/>
      <c r="T445" s="491" t="s">
        <v>1027</v>
      </c>
      <c r="U445" s="491" t="s">
        <v>1074</v>
      </c>
      <c r="AA445" s="27"/>
      <c r="AB445" s="27"/>
      <c r="AC445" s="890"/>
      <c r="AD445" s="502"/>
    </row>
    <row r="446" spans="3:30" ht="10.5" customHeight="1">
      <c r="C446" s="1799" t="s">
        <v>4934</v>
      </c>
      <c r="D446" s="1796">
        <v>0</v>
      </c>
      <c r="E446" s="1796">
        <v>0</v>
      </c>
      <c r="F446" s="1797">
        <v>0</v>
      </c>
      <c r="G446" s="1999" t="s">
        <v>4934</v>
      </c>
      <c r="H446" s="1794">
        <v>0</v>
      </c>
      <c r="I446" s="1794">
        <v>0</v>
      </c>
      <c r="J446" s="200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4935</v>
      </c>
      <c r="D447" s="1796">
        <v>1</v>
      </c>
      <c r="E447" s="1796">
        <v>1</v>
      </c>
      <c r="F447" s="1797">
        <v>2</v>
      </c>
      <c r="G447" s="1999" t="s">
        <v>4935</v>
      </c>
      <c r="H447" s="1794">
        <v>0</v>
      </c>
      <c r="I447" s="1794">
        <v>0</v>
      </c>
      <c r="J447" s="2000">
        <v>0</v>
      </c>
      <c r="K447" s="1798"/>
      <c r="L447" s="1792">
        <v>13021013504</v>
      </c>
      <c r="M447" s="1793">
        <v>1</v>
      </c>
      <c r="N447" s="1793">
        <v>1</v>
      </c>
      <c r="O447" s="1793">
        <v>2</v>
      </c>
      <c r="P447" s="530" t="s">
        <v>2246</v>
      </c>
      <c r="Q447" s="291"/>
      <c r="R447" s="170"/>
      <c r="S447" s="387"/>
      <c r="T447" s="491" t="s">
        <v>1896</v>
      </c>
      <c r="U447" s="491" t="s">
        <v>1427</v>
      </c>
      <c r="AA447" s="27"/>
      <c r="AB447" s="27"/>
      <c r="AC447" s="890"/>
      <c r="AD447" s="502"/>
    </row>
    <row r="448" spans="3:30" ht="10.5" customHeight="1">
      <c r="C448" s="1799" t="s">
        <v>4936</v>
      </c>
      <c r="D448" s="1796">
        <v>0</v>
      </c>
      <c r="E448" s="1796">
        <v>1</v>
      </c>
      <c r="F448" s="1797">
        <v>1</v>
      </c>
      <c r="G448" s="1999" t="s">
        <v>4936</v>
      </c>
      <c r="H448" s="1794">
        <v>0</v>
      </c>
      <c r="I448" s="1794">
        <v>1</v>
      </c>
      <c r="J448" s="2000">
        <v>1</v>
      </c>
      <c r="K448" s="1798"/>
      <c r="L448" s="1792">
        <v>13021013603</v>
      </c>
      <c r="M448" s="1793">
        <v>0</v>
      </c>
      <c r="N448" s="1793">
        <v>1</v>
      </c>
      <c r="O448" s="1793">
        <v>1</v>
      </c>
      <c r="P448" s="530" t="s">
        <v>498</v>
      </c>
      <c r="Q448" s="291"/>
      <c r="R448" s="170"/>
      <c r="S448" s="387"/>
      <c r="T448" s="491" t="s">
        <v>482</v>
      </c>
      <c r="U448" s="491" t="s">
        <v>2524</v>
      </c>
      <c r="AA448" s="27"/>
      <c r="AB448" s="27"/>
      <c r="AC448" s="889"/>
      <c r="AD448" s="502"/>
    </row>
    <row r="449" spans="3:30" ht="10.5" customHeight="1">
      <c r="C449" s="1799" t="s">
        <v>4937</v>
      </c>
      <c r="D449" s="1796">
        <v>1</v>
      </c>
      <c r="E449" s="1796">
        <v>1</v>
      </c>
      <c r="F449" s="1797">
        <v>2</v>
      </c>
      <c r="G449" s="1999" t="s">
        <v>4937</v>
      </c>
      <c r="H449" s="1794">
        <v>0</v>
      </c>
      <c r="I449" s="1794" t="s">
        <v>4483</v>
      </c>
      <c r="J449" s="2000">
        <v>0</v>
      </c>
      <c r="K449" s="1798"/>
      <c r="L449" s="1792">
        <v>13021013604</v>
      </c>
      <c r="M449" s="1793">
        <v>1</v>
      </c>
      <c r="N449" s="1793">
        <v>1</v>
      </c>
      <c r="O449" s="1793">
        <v>2</v>
      </c>
      <c r="P449" s="530" t="s">
        <v>182</v>
      </c>
      <c r="Q449" s="291"/>
      <c r="R449" s="170"/>
      <c r="S449" s="387"/>
      <c r="T449" s="491" t="s">
        <v>2111</v>
      </c>
      <c r="U449" s="491" t="s">
        <v>1296</v>
      </c>
      <c r="AA449" s="27"/>
      <c r="AB449" s="27"/>
      <c r="AC449" s="889"/>
      <c r="AD449" s="502"/>
    </row>
    <row r="450" spans="3:30" ht="10.5" customHeight="1">
      <c r="C450" s="1799" t="s">
        <v>4938</v>
      </c>
      <c r="D450" s="1796">
        <v>1</v>
      </c>
      <c r="E450" s="1796">
        <v>1</v>
      </c>
      <c r="F450" s="1797">
        <v>2</v>
      </c>
      <c r="G450" s="1999" t="s">
        <v>4938</v>
      </c>
      <c r="H450" s="1794">
        <v>1</v>
      </c>
      <c r="I450" s="1794" t="s">
        <v>4483</v>
      </c>
      <c r="J450" s="2000">
        <v>1</v>
      </c>
      <c r="K450" s="1798"/>
      <c r="L450" s="1792">
        <v>13021013605</v>
      </c>
      <c r="M450" s="1793">
        <v>1</v>
      </c>
      <c r="N450" s="1793">
        <v>1</v>
      </c>
      <c r="O450" s="1793">
        <v>2</v>
      </c>
      <c r="P450" s="530" t="s">
        <v>2063</v>
      </c>
      <c r="Q450" s="291"/>
      <c r="R450" s="170"/>
      <c r="S450" s="387"/>
      <c r="T450" s="491" t="s">
        <v>1608</v>
      </c>
      <c r="U450" s="491" t="s">
        <v>1867</v>
      </c>
      <c r="AA450" s="27"/>
      <c r="AB450" s="27"/>
      <c r="AC450" s="889"/>
      <c r="AD450" s="502"/>
    </row>
    <row r="451" spans="3:30" ht="10.5" customHeight="1">
      <c r="C451" s="1799" t="s">
        <v>4939</v>
      </c>
      <c r="D451" s="1796">
        <v>1</v>
      </c>
      <c r="E451" s="1796">
        <v>1</v>
      </c>
      <c r="F451" s="1797">
        <v>2</v>
      </c>
      <c r="G451" s="1999" t="s">
        <v>4939</v>
      </c>
      <c r="H451" s="1794">
        <v>1</v>
      </c>
      <c r="I451" s="1794">
        <v>1</v>
      </c>
      <c r="J451" s="2000">
        <v>2</v>
      </c>
      <c r="K451" s="1798"/>
      <c r="L451" s="1792">
        <v>13021013606</v>
      </c>
      <c r="M451" s="1793">
        <v>1</v>
      </c>
      <c r="N451" s="1793">
        <v>1</v>
      </c>
      <c r="O451" s="1793">
        <v>2</v>
      </c>
      <c r="P451" s="530" t="s">
        <v>1927</v>
      </c>
      <c r="Q451" s="291"/>
      <c r="R451" s="170"/>
      <c r="S451" s="387"/>
      <c r="T451" s="491" t="s">
        <v>1610</v>
      </c>
      <c r="U451" s="491" t="s">
        <v>160</v>
      </c>
      <c r="AA451" s="27"/>
      <c r="AB451" s="27"/>
      <c r="AC451" s="889"/>
      <c r="AD451" s="502"/>
    </row>
    <row r="452" spans="3:30" ht="10.5" customHeight="1">
      <c r="C452" s="1799" t="s">
        <v>4940</v>
      </c>
      <c r="D452" s="1796">
        <v>0</v>
      </c>
      <c r="E452" s="1796">
        <v>0</v>
      </c>
      <c r="F452" s="1797">
        <v>0</v>
      </c>
      <c r="G452" s="1999" t="s">
        <v>4940</v>
      </c>
      <c r="H452" s="1794">
        <v>0</v>
      </c>
      <c r="I452" s="1794">
        <v>1</v>
      </c>
      <c r="J452" s="200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4941</v>
      </c>
      <c r="D453" s="1796">
        <v>0</v>
      </c>
      <c r="E453" s="1796">
        <v>0</v>
      </c>
      <c r="F453" s="1797">
        <v>0</v>
      </c>
      <c r="G453" s="1999" t="s">
        <v>4941</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4942</v>
      </c>
      <c r="D454" s="1796">
        <v>0</v>
      </c>
      <c r="E454" s="1796">
        <v>0</v>
      </c>
      <c r="F454" s="1797">
        <v>0</v>
      </c>
      <c r="G454" s="1999" t="s">
        <v>4942</v>
      </c>
      <c r="H454" s="1794">
        <v>0</v>
      </c>
      <c r="I454" s="1794">
        <v>0</v>
      </c>
      <c r="J454" s="2000">
        <v>0</v>
      </c>
      <c r="K454" s="1798"/>
      <c r="L454" s="1792">
        <v>13021013900</v>
      </c>
      <c r="M454" s="1793">
        <v>0</v>
      </c>
      <c r="N454" s="1793">
        <v>0</v>
      </c>
      <c r="O454" s="1793">
        <v>0</v>
      </c>
      <c r="P454" s="530" t="s">
        <v>1125</v>
      </c>
      <c r="Q454" s="291"/>
      <c r="R454" s="170"/>
      <c r="S454" s="387"/>
      <c r="T454" s="491" t="s">
        <v>921</v>
      </c>
      <c r="U454" s="491" t="s">
        <v>2419</v>
      </c>
      <c r="AA454" s="27"/>
      <c r="AB454" s="27"/>
      <c r="AC454" s="889"/>
      <c r="AD454" s="502"/>
    </row>
    <row r="455" spans="3:30" ht="10.5" customHeight="1">
      <c r="C455" s="1799" t="s">
        <v>4943</v>
      </c>
      <c r="D455" s="1796">
        <v>1</v>
      </c>
      <c r="E455" s="1796">
        <v>0</v>
      </c>
      <c r="F455" s="1797">
        <v>1</v>
      </c>
      <c r="G455" s="1999" t="s">
        <v>4943</v>
      </c>
      <c r="H455" s="1794">
        <v>0</v>
      </c>
      <c r="I455" s="1794">
        <v>0</v>
      </c>
      <c r="J455" s="2000">
        <v>0</v>
      </c>
      <c r="K455" s="1798"/>
      <c r="L455" s="1792">
        <v>13023790100</v>
      </c>
      <c r="M455" s="1793">
        <v>1</v>
      </c>
      <c r="N455" s="1793">
        <v>0</v>
      </c>
      <c r="O455" s="1793">
        <v>1</v>
      </c>
      <c r="P455" s="530" t="s">
        <v>1091</v>
      </c>
      <c r="Q455" s="291"/>
      <c r="R455" s="170"/>
      <c r="S455" s="387"/>
      <c r="T455" s="491" t="s">
        <v>2263</v>
      </c>
      <c r="U455" s="491" t="s">
        <v>318</v>
      </c>
      <c r="AA455" s="27"/>
      <c r="AB455" s="27"/>
      <c r="AC455" s="889"/>
      <c r="AD455" s="502"/>
    </row>
    <row r="456" spans="3:30" ht="10.5" customHeight="1">
      <c r="C456" s="1799" t="s">
        <v>4944</v>
      </c>
      <c r="D456" s="1796">
        <v>0</v>
      </c>
      <c r="E456" s="1796">
        <v>0</v>
      </c>
      <c r="F456" s="1797">
        <v>0</v>
      </c>
      <c r="G456" s="1999" t="s">
        <v>4944</v>
      </c>
      <c r="H456" s="1794">
        <v>0</v>
      </c>
      <c r="I456" s="1794">
        <v>0</v>
      </c>
      <c r="J456" s="2000">
        <v>0</v>
      </c>
      <c r="K456" s="1798"/>
      <c r="L456" s="1792">
        <v>13023790200</v>
      </c>
      <c r="M456" s="1793">
        <v>0</v>
      </c>
      <c r="N456" s="1793">
        <v>0</v>
      </c>
      <c r="O456" s="1793">
        <v>0</v>
      </c>
      <c r="P456" s="530" t="s">
        <v>1092</v>
      </c>
      <c r="Q456" s="291"/>
      <c r="R456" s="170"/>
      <c r="S456" s="387"/>
      <c r="T456" s="491" t="s">
        <v>2761</v>
      </c>
      <c r="U456" s="491" t="s">
        <v>2134</v>
      </c>
      <c r="AA456" s="27"/>
      <c r="AB456" s="27"/>
      <c r="AC456" s="889"/>
      <c r="AD456" s="502"/>
    </row>
    <row r="457" spans="3:30" ht="10.5" customHeight="1">
      <c r="C457" s="1799" t="s">
        <v>4945</v>
      </c>
      <c r="D457" s="1796">
        <v>0</v>
      </c>
      <c r="E457" s="1796">
        <v>0</v>
      </c>
      <c r="F457" s="1797">
        <v>0</v>
      </c>
      <c r="G457" s="1999" t="s">
        <v>4945</v>
      </c>
      <c r="H457" s="1794">
        <v>0</v>
      </c>
      <c r="I457" s="1794">
        <v>1</v>
      </c>
      <c r="J457" s="200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4946</v>
      </c>
      <c r="D458" s="1796">
        <v>0</v>
      </c>
      <c r="E458" s="1796">
        <v>0</v>
      </c>
      <c r="F458" s="1797">
        <v>0</v>
      </c>
      <c r="G458" s="1999" t="s">
        <v>4946</v>
      </c>
      <c r="H458" s="1794">
        <v>0</v>
      </c>
      <c r="I458" s="1794">
        <v>0</v>
      </c>
      <c r="J458" s="2000">
        <v>0</v>
      </c>
      <c r="K458" s="1798"/>
      <c r="L458" s="1792">
        <v>13025960100</v>
      </c>
      <c r="M458" s="1793">
        <v>0</v>
      </c>
      <c r="N458" s="1793">
        <v>0</v>
      </c>
      <c r="O458" s="1793">
        <v>0</v>
      </c>
      <c r="P458" s="530" t="s">
        <v>361</v>
      </c>
      <c r="Q458" s="291"/>
      <c r="R458" s="170"/>
      <c r="S458" s="387"/>
      <c r="T458" s="491" t="s">
        <v>2247</v>
      </c>
      <c r="U458" s="491" t="s">
        <v>1293</v>
      </c>
      <c r="AA458" s="27"/>
      <c r="AB458" s="27"/>
      <c r="AC458" s="891"/>
      <c r="AD458" s="502"/>
    </row>
    <row r="459" spans="3:30" ht="10.5" customHeight="1">
      <c r="C459" s="1799" t="s">
        <v>4947</v>
      </c>
      <c r="D459" s="1796">
        <v>0</v>
      </c>
      <c r="E459" s="1796">
        <v>0</v>
      </c>
      <c r="F459" s="1797">
        <v>0</v>
      </c>
      <c r="G459" s="1999" t="s">
        <v>4947</v>
      </c>
      <c r="H459" s="1794">
        <v>0</v>
      </c>
      <c r="I459" s="1794">
        <v>0</v>
      </c>
      <c r="J459" s="2000">
        <v>0</v>
      </c>
      <c r="K459" s="1798"/>
      <c r="L459" s="1792">
        <v>13025960200</v>
      </c>
      <c r="M459" s="1793">
        <v>0</v>
      </c>
      <c r="N459" s="1793">
        <v>0</v>
      </c>
      <c r="O459" s="1793">
        <v>0</v>
      </c>
      <c r="P459" s="530" t="s">
        <v>2191</v>
      </c>
      <c r="Q459" s="291"/>
      <c r="R459" s="170"/>
      <c r="S459" s="387"/>
      <c r="T459" s="491" t="s">
        <v>499</v>
      </c>
      <c r="U459" s="491" t="s">
        <v>175</v>
      </c>
      <c r="AA459" s="27"/>
      <c r="AB459" s="27"/>
      <c r="AC459" s="889"/>
      <c r="AD459" s="502"/>
    </row>
    <row r="460" spans="3:30" ht="10.5" customHeight="1">
      <c r="C460" s="1799" t="s">
        <v>4948</v>
      </c>
      <c r="D460" s="1796">
        <v>0</v>
      </c>
      <c r="E460" s="1796">
        <v>0</v>
      </c>
      <c r="F460" s="1797">
        <v>0</v>
      </c>
      <c r="G460" s="1999" t="s">
        <v>4948</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4949</v>
      </c>
      <c r="D461" s="1796">
        <v>0</v>
      </c>
      <c r="E461" s="1796">
        <v>0</v>
      </c>
      <c r="F461" s="1797">
        <v>0</v>
      </c>
      <c r="G461" s="1999" t="s">
        <v>4949</v>
      </c>
      <c r="H461" s="1794">
        <v>0</v>
      </c>
      <c r="I461" s="1794">
        <v>0</v>
      </c>
      <c r="J461" s="2000">
        <v>0</v>
      </c>
      <c r="K461" s="1798"/>
      <c r="L461" s="1792">
        <v>13027960200</v>
      </c>
      <c r="M461" s="1793">
        <v>0</v>
      </c>
      <c r="N461" s="1793">
        <v>0</v>
      </c>
      <c r="O461" s="1793">
        <v>0</v>
      </c>
      <c r="P461" s="530" t="s">
        <v>1711</v>
      </c>
      <c r="Q461" s="291"/>
      <c r="R461" s="170"/>
      <c r="S461" s="387"/>
      <c r="T461" s="491" t="s">
        <v>183</v>
      </c>
      <c r="U461" s="491" t="s">
        <v>2119</v>
      </c>
      <c r="AA461" s="27"/>
      <c r="AB461" s="27"/>
      <c r="AC461" s="889"/>
      <c r="AD461" s="502"/>
    </row>
    <row r="462" spans="3:30" ht="10.5" customHeight="1">
      <c r="C462" s="1799" t="s">
        <v>4950</v>
      </c>
      <c r="D462" s="1796">
        <v>0</v>
      </c>
      <c r="E462" s="1796">
        <v>0</v>
      </c>
      <c r="F462" s="1797">
        <v>0</v>
      </c>
      <c r="G462" s="1999" t="s">
        <v>4950</v>
      </c>
      <c r="H462" s="1794">
        <v>0</v>
      </c>
      <c r="I462" s="1794">
        <v>0</v>
      </c>
      <c r="J462" s="2000">
        <v>0</v>
      </c>
      <c r="K462" s="1798"/>
      <c r="L462" s="1792">
        <v>13027960300</v>
      </c>
      <c r="M462" s="1793">
        <v>0</v>
      </c>
      <c r="N462" s="1793">
        <v>0</v>
      </c>
      <c r="O462" s="1793">
        <v>0</v>
      </c>
      <c r="P462" s="530" t="s">
        <v>269</v>
      </c>
      <c r="Q462" s="291"/>
      <c r="R462" s="170"/>
      <c r="S462" s="387"/>
      <c r="T462" s="531" t="s">
        <v>1029</v>
      </c>
      <c r="U462" s="531" t="s">
        <v>2418</v>
      </c>
      <c r="AA462" s="27"/>
      <c r="AB462" s="27"/>
      <c r="AC462" s="889"/>
      <c r="AD462" s="502"/>
    </row>
    <row r="463" spans="3:30" ht="10.5" customHeight="1">
      <c r="C463" s="1799" t="s">
        <v>4951</v>
      </c>
      <c r="D463" s="1796">
        <v>0</v>
      </c>
      <c r="E463" s="1796">
        <v>0</v>
      </c>
      <c r="F463" s="1797">
        <v>0</v>
      </c>
      <c r="G463" s="1999" t="s">
        <v>4951</v>
      </c>
      <c r="H463" s="1794">
        <v>0</v>
      </c>
      <c r="I463" s="1794">
        <v>0</v>
      </c>
      <c r="J463" s="200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4952</v>
      </c>
      <c r="D464" s="1796">
        <v>0</v>
      </c>
      <c r="E464" s="1796">
        <v>0</v>
      </c>
      <c r="F464" s="1797">
        <v>0</v>
      </c>
      <c r="G464" s="1999" t="s">
        <v>4952</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4953</v>
      </c>
      <c r="D465" s="1796">
        <v>0</v>
      </c>
      <c r="E465" s="1796">
        <v>0</v>
      </c>
      <c r="F465" s="1797">
        <v>0</v>
      </c>
      <c r="G465" s="1999" t="s">
        <v>4953</v>
      </c>
      <c r="H465" s="1794">
        <v>0</v>
      </c>
      <c r="I465" s="1794">
        <v>0</v>
      </c>
      <c r="J465" s="200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4954</v>
      </c>
      <c r="D466" s="1796">
        <v>0</v>
      </c>
      <c r="E466" s="1796">
        <v>0</v>
      </c>
      <c r="F466" s="1797">
        <v>0</v>
      </c>
      <c r="G466" s="1999" t="s">
        <v>4954</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4955</v>
      </c>
      <c r="D467" s="1796">
        <v>0</v>
      </c>
      <c r="E467" s="1796">
        <v>0</v>
      </c>
      <c r="F467" s="1797">
        <v>0</v>
      </c>
      <c r="G467" s="1999" t="s">
        <v>4955</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4956</v>
      </c>
      <c r="D468" s="1796">
        <v>1</v>
      </c>
      <c r="E468" s="1796">
        <v>1</v>
      </c>
      <c r="F468" s="1797">
        <v>2</v>
      </c>
      <c r="G468" s="1999" t="s">
        <v>4956</v>
      </c>
      <c r="H468" s="1794">
        <v>1</v>
      </c>
      <c r="I468" s="1794" t="s">
        <v>4483</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4957</v>
      </c>
      <c r="D469" s="1796">
        <v>1</v>
      </c>
      <c r="E469" s="1796">
        <v>1</v>
      </c>
      <c r="F469" s="1797">
        <v>2</v>
      </c>
      <c r="G469" s="1999" t="s">
        <v>4957</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4958</v>
      </c>
      <c r="D470" s="1796">
        <v>1</v>
      </c>
      <c r="E470" s="1796">
        <v>1</v>
      </c>
      <c r="F470" s="1797">
        <v>2</v>
      </c>
      <c r="G470" s="1999" t="s">
        <v>4958</v>
      </c>
      <c r="H470" s="1794">
        <v>1</v>
      </c>
      <c r="I470" s="1794">
        <v>1</v>
      </c>
      <c r="J470" s="200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4959</v>
      </c>
      <c r="D471" s="1796">
        <v>1</v>
      </c>
      <c r="E471" s="1796">
        <v>1</v>
      </c>
      <c r="F471" s="1797">
        <v>2</v>
      </c>
      <c r="G471" s="1999" t="s">
        <v>4959</v>
      </c>
      <c r="H471" s="1794">
        <v>1</v>
      </c>
      <c r="I471" s="1794">
        <v>1</v>
      </c>
      <c r="J471" s="200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4960</v>
      </c>
      <c r="D472" s="1796" t="s">
        <v>4483</v>
      </c>
      <c r="E472" s="1796" t="s">
        <v>4483</v>
      </c>
      <c r="F472" s="1797">
        <v>0</v>
      </c>
      <c r="G472" s="1999" t="s">
        <v>4960</v>
      </c>
      <c r="H472" s="1794" t="s">
        <v>4483</v>
      </c>
      <c r="I472" s="1794" t="s">
        <v>4483</v>
      </c>
      <c r="J472" s="2000">
        <v>0</v>
      </c>
      <c r="K472" s="1798"/>
      <c r="L472" s="1792">
        <v>13029980000</v>
      </c>
      <c r="M472" s="1793">
        <v>0</v>
      </c>
      <c r="N472" s="1793">
        <v>0</v>
      </c>
      <c r="O472" s="1793">
        <v>0</v>
      </c>
      <c r="P472" s="530" t="s">
        <v>73</v>
      </c>
      <c r="Q472" s="291"/>
      <c r="R472" s="170"/>
      <c r="S472" s="387"/>
      <c r="T472" s="531" t="s">
        <v>2192</v>
      </c>
      <c r="U472" s="531" t="s">
        <v>1304</v>
      </c>
      <c r="AA472" s="27"/>
      <c r="AB472" s="27"/>
      <c r="AC472" s="890"/>
      <c r="AD472" s="502"/>
    </row>
    <row r="473" spans="3:30" ht="10.5" customHeight="1">
      <c r="C473" s="1799" t="s">
        <v>4961</v>
      </c>
      <c r="D473" s="1796">
        <v>0</v>
      </c>
      <c r="E473" s="1796">
        <v>0</v>
      </c>
      <c r="F473" s="1797">
        <v>0</v>
      </c>
      <c r="G473" s="1999" t="s">
        <v>4961</v>
      </c>
      <c r="H473" s="1794">
        <v>0</v>
      </c>
      <c r="I473" s="1794">
        <v>0</v>
      </c>
      <c r="J473" s="2000">
        <v>0</v>
      </c>
      <c r="K473" s="1798"/>
      <c r="L473" s="1792">
        <v>13031110100</v>
      </c>
      <c r="M473" s="1793">
        <v>0</v>
      </c>
      <c r="N473" s="1793">
        <v>0</v>
      </c>
      <c r="O473" s="1793">
        <v>0</v>
      </c>
      <c r="P473" s="530" t="s">
        <v>75</v>
      </c>
      <c r="Q473" s="291"/>
      <c r="R473" s="170"/>
      <c r="S473" s="387"/>
      <c r="T473" s="491" t="s">
        <v>1710</v>
      </c>
      <c r="U473" s="491" t="s">
        <v>1960</v>
      </c>
      <c r="AA473" s="27"/>
      <c r="AB473" s="27"/>
      <c r="AC473" s="890"/>
      <c r="AD473" s="502"/>
    </row>
    <row r="474" spans="3:30" ht="10.5" customHeight="1">
      <c r="C474" s="1799" t="s">
        <v>4962</v>
      </c>
      <c r="D474" s="1796">
        <v>0</v>
      </c>
      <c r="E474" s="1796">
        <v>0</v>
      </c>
      <c r="F474" s="1797">
        <v>0</v>
      </c>
      <c r="G474" s="1999" t="s">
        <v>4962</v>
      </c>
      <c r="H474" s="1794">
        <v>1</v>
      </c>
      <c r="I474" s="1794">
        <v>0</v>
      </c>
      <c r="J474" s="2000">
        <v>1</v>
      </c>
      <c r="K474" s="1798"/>
      <c r="L474" s="1792">
        <v>13031110200</v>
      </c>
      <c r="M474" s="1793">
        <v>1</v>
      </c>
      <c r="N474" s="1793">
        <v>0</v>
      </c>
      <c r="O474" s="1793">
        <v>1</v>
      </c>
      <c r="P474" s="530" t="s">
        <v>2349</v>
      </c>
      <c r="Q474" s="291"/>
      <c r="R474" s="170"/>
      <c r="S474" s="387"/>
      <c r="T474" s="491" t="s">
        <v>1712</v>
      </c>
      <c r="U474" s="491" t="s">
        <v>105</v>
      </c>
      <c r="AA474" s="27"/>
      <c r="AB474" s="27"/>
      <c r="AC474" s="889"/>
      <c r="AD474" s="502"/>
    </row>
    <row r="475" spans="3:30" ht="10.5" customHeight="1">
      <c r="C475" s="1799" t="s">
        <v>4963</v>
      </c>
      <c r="D475" s="1796">
        <v>1</v>
      </c>
      <c r="E475" s="1796">
        <v>1</v>
      </c>
      <c r="F475" s="1797">
        <v>2</v>
      </c>
      <c r="G475" s="1999" t="s">
        <v>4963</v>
      </c>
      <c r="H475" s="1794">
        <v>1</v>
      </c>
      <c r="I475" s="1794">
        <v>1</v>
      </c>
      <c r="J475" s="2000">
        <v>2</v>
      </c>
      <c r="K475" s="1798"/>
      <c r="L475" s="1792">
        <v>13031110300</v>
      </c>
      <c r="M475" s="1793">
        <v>1</v>
      </c>
      <c r="N475" s="1793">
        <v>1</v>
      </c>
      <c r="O475" s="1793">
        <v>2</v>
      </c>
      <c r="P475" s="530" t="s">
        <v>2148</v>
      </c>
      <c r="Q475" s="291"/>
      <c r="R475" s="170"/>
      <c r="S475" s="387"/>
      <c r="T475" s="491" t="s">
        <v>673</v>
      </c>
      <c r="U475" s="491" t="s">
        <v>1180</v>
      </c>
      <c r="AA475" s="27"/>
      <c r="AB475" s="27"/>
      <c r="AC475" s="889"/>
      <c r="AD475" s="502"/>
    </row>
    <row r="476" spans="3:30" ht="10.5" customHeight="1">
      <c r="C476" s="1799" t="s">
        <v>4964</v>
      </c>
      <c r="D476" s="1796">
        <v>0</v>
      </c>
      <c r="E476" s="1796">
        <v>0</v>
      </c>
      <c r="F476" s="1797">
        <v>0</v>
      </c>
      <c r="G476" s="1999" t="s">
        <v>4964</v>
      </c>
      <c r="H476" s="1794">
        <v>0</v>
      </c>
      <c r="I476" s="1794">
        <v>0</v>
      </c>
      <c r="J476" s="200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4965</v>
      </c>
      <c r="D477" s="1796">
        <v>0</v>
      </c>
      <c r="E477" s="1796">
        <v>1</v>
      </c>
      <c r="F477" s="1797">
        <v>1</v>
      </c>
      <c r="G477" s="1999" t="s">
        <v>4965</v>
      </c>
      <c r="H477" s="1794">
        <v>0</v>
      </c>
      <c r="I477" s="1794" t="s">
        <v>4483</v>
      </c>
      <c r="J477" s="2000">
        <v>0</v>
      </c>
      <c r="K477" s="1798"/>
      <c r="L477" s="1792">
        <v>13031110403</v>
      </c>
      <c r="M477" s="1793">
        <v>0</v>
      </c>
      <c r="N477" s="1793">
        <v>1</v>
      </c>
      <c r="O477" s="1793">
        <v>1</v>
      </c>
      <c r="P477" s="530" t="s">
        <v>944</v>
      </c>
      <c r="Q477" s="291"/>
      <c r="R477" s="170"/>
      <c r="S477" s="387"/>
      <c r="T477" s="491" t="s">
        <v>2294</v>
      </c>
      <c r="U477" s="491" t="s">
        <v>2128</v>
      </c>
      <c r="AA477" s="27"/>
      <c r="AB477" s="27"/>
      <c r="AC477" s="889"/>
      <c r="AD477" s="502"/>
    </row>
    <row r="478" spans="3:30" ht="10.5" customHeight="1">
      <c r="C478" s="1799" t="s">
        <v>4966</v>
      </c>
      <c r="D478" s="1796">
        <v>0</v>
      </c>
      <c r="E478" s="1796">
        <v>1</v>
      </c>
      <c r="F478" s="1797">
        <v>1</v>
      </c>
      <c r="G478" s="1999" t="s">
        <v>4966</v>
      </c>
      <c r="H478" s="1794">
        <v>0</v>
      </c>
      <c r="I478" s="1794" t="s">
        <v>4483</v>
      </c>
      <c r="J478" s="2000">
        <v>0</v>
      </c>
      <c r="K478" s="1798"/>
      <c r="L478" s="1792">
        <v>13031110404</v>
      </c>
      <c r="M478" s="1793">
        <v>0</v>
      </c>
      <c r="N478" s="1793">
        <v>1</v>
      </c>
      <c r="O478" s="1793">
        <v>1</v>
      </c>
      <c r="P478" s="530" t="s">
        <v>946</v>
      </c>
      <c r="Q478" s="291"/>
      <c r="R478" s="170"/>
      <c r="S478" s="387"/>
      <c r="T478" s="491" t="s">
        <v>462</v>
      </c>
      <c r="U478" s="491" t="s">
        <v>2421</v>
      </c>
      <c r="AA478" s="27"/>
      <c r="AB478" s="27"/>
      <c r="AC478" s="889"/>
      <c r="AD478" s="502"/>
    </row>
    <row r="479" spans="3:30" ht="10.5" customHeight="1">
      <c r="C479" s="1799" t="s">
        <v>4967</v>
      </c>
      <c r="D479" s="1796">
        <v>0</v>
      </c>
      <c r="E479" s="1796">
        <v>0</v>
      </c>
      <c r="F479" s="1797">
        <v>0</v>
      </c>
      <c r="G479" s="1999" t="s">
        <v>4967</v>
      </c>
      <c r="H479" s="1794">
        <v>0</v>
      </c>
      <c r="I479" s="1794" t="s">
        <v>4483</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4968</v>
      </c>
      <c r="D480" s="1796">
        <v>1</v>
      </c>
      <c r="E480" s="1796">
        <v>0</v>
      </c>
      <c r="F480" s="1797">
        <v>1</v>
      </c>
      <c r="G480" s="1999" t="s">
        <v>4968</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4969</v>
      </c>
      <c r="D481" s="1796">
        <v>0</v>
      </c>
      <c r="E481" s="1796">
        <v>0</v>
      </c>
      <c r="F481" s="1797">
        <v>0</v>
      </c>
      <c r="G481" s="1999" t="s">
        <v>4969</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4970</v>
      </c>
      <c r="D482" s="1796">
        <v>1</v>
      </c>
      <c r="E482" s="1796">
        <v>1</v>
      </c>
      <c r="F482" s="1797">
        <v>2</v>
      </c>
      <c r="G482" s="1999" t="s">
        <v>4970</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4971</v>
      </c>
      <c r="D483" s="1796">
        <v>0</v>
      </c>
      <c r="E483" s="1796">
        <v>0</v>
      </c>
      <c r="F483" s="1797">
        <v>0</v>
      </c>
      <c r="G483" s="1999" t="s">
        <v>4971</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4972</v>
      </c>
      <c r="D484" s="1796">
        <v>0</v>
      </c>
      <c r="E484" s="1796">
        <v>0</v>
      </c>
      <c r="F484" s="1797">
        <v>0</v>
      </c>
      <c r="G484" s="1999" t="s">
        <v>4972</v>
      </c>
      <c r="H484" s="1794">
        <v>0</v>
      </c>
      <c r="I484" s="1794">
        <v>0</v>
      </c>
      <c r="J484" s="2000">
        <v>0</v>
      </c>
      <c r="K484" s="1798"/>
      <c r="L484" s="1792">
        <v>13031110900</v>
      </c>
      <c r="M484" s="1793">
        <v>0</v>
      </c>
      <c r="N484" s="1793">
        <v>0</v>
      </c>
      <c r="O484" s="1793">
        <v>0</v>
      </c>
      <c r="P484" s="530" t="s">
        <v>2278</v>
      </c>
      <c r="Q484" s="291"/>
      <c r="R484" s="170"/>
      <c r="S484" s="387"/>
      <c r="T484" s="491" t="s">
        <v>2762</v>
      </c>
      <c r="U484" s="491" t="s">
        <v>2465</v>
      </c>
      <c r="AA484" s="27"/>
      <c r="AB484" s="27"/>
      <c r="AC484" s="889"/>
      <c r="AD484" s="502"/>
    </row>
    <row r="485" spans="3:30" ht="10.5" customHeight="1">
      <c r="C485" s="1799" t="s">
        <v>4973</v>
      </c>
      <c r="D485" s="1796">
        <v>0</v>
      </c>
      <c r="E485" s="1796">
        <v>0</v>
      </c>
      <c r="F485" s="1797">
        <v>0</v>
      </c>
      <c r="G485" s="1999" t="s">
        <v>4973</v>
      </c>
      <c r="H485" s="1794">
        <v>0</v>
      </c>
      <c r="I485" s="1794">
        <v>0</v>
      </c>
      <c r="J485" s="200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4974</v>
      </c>
      <c r="D486" s="1796">
        <v>0</v>
      </c>
      <c r="E486" s="1796">
        <v>0</v>
      </c>
      <c r="F486" s="1797">
        <v>0</v>
      </c>
      <c r="G486" s="1999" t="s">
        <v>4974</v>
      </c>
      <c r="H486" s="1794">
        <v>0</v>
      </c>
      <c r="I486" s="1794" t="s">
        <v>4483</v>
      </c>
      <c r="J486" s="2000">
        <v>0</v>
      </c>
      <c r="K486" s="1798"/>
      <c r="L486" s="1792">
        <v>13033950200</v>
      </c>
      <c r="M486" s="1793">
        <v>0</v>
      </c>
      <c r="N486" s="1793">
        <v>0</v>
      </c>
      <c r="O486" s="1793">
        <v>0</v>
      </c>
      <c r="P486" s="530" t="s">
        <v>1255</v>
      </c>
      <c r="Q486" s="291"/>
      <c r="R486" s="170"/>
      <c r="S486" s="387"/>
      <c r="T486" s="491" t="s">
        <v>74</v>
      </c>
      <c r="U486" s="491" t="s">
        <v>1867</v>
      </c>
      <c r="AA486" s="27"/>
      <c r="AB486" s="27"/>
      <c r="AC486" s="889"/>
      <c r="AD486" s="502"/>
    </row>
    <row r="487" spans="3:30" ht="10.5" customHeight="1">
      <c r="C487" s="1799" t="s">
        <v>4975</v>
      </c>
      <c r="D487" s="1796">
        <v>0</v>
      </c>
      <c r="E487" s="1796">
        <v>0</v>
      </c>
      <c r="F487" s="1797">
        <v>0</v>
      </c>
      <c r="G487" s="1999" t="s">
        <v>4975</v>
      </c>
      <c r="H487" s="1794">
        <v>0</v>
      </c>
      <c r="I487" s="1794">
        <v>0</v>
      </c>
      <c r="J487" s="2000">
        <v>0</v>
      </c>
      <c r="K487" s="1798"/>
      <c r="L487" s="1792">
        <v>13033950400</v>
      </c>
      <c r="M487" s="1793">
        <v>0</v>
      </c>
      <c r="N487" s="1793">
        <v>0</v>
      </c>
      <c r="O487" s="1793">
        <v>0</v>
      </c>
      <c r="P487" s="530" t="s">
        <v>1476</v>
      </c>
      <c r="Q487" s="291"/>
      <c r="R487" s="170"/>
      <c r="S487" s="387"/>
      <c r="T487" s="491" t="s">
        <v>614</v>
      </c>
      <c r="U487" s="491" t="s">
        <v>2418</v>
      </c>
      <c r="AA487" s="27"/>
      <c r="AB487" s="27"/>
      <c r="AC487" s="889"/>
      <c r="AD487" s="502"/>
    </row>
    <row r="488" spans="3:30" ht="10.5" customHeight="1">
      <c r="C488" s="1799" t="s">
        <v>4976</v>
      </c>
      <c r="D488" s="1796">
        <v>0</v>
      </c>
      <c r="E488" s="1796">
        <v>0</v>
      </c>
      <c r="F488" s="1797">
        <v>0</v>
      </c>
      <c r="G488" s="1999" t="s">
        <v>4976</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4977</v>
      </c>
      <c r="D489" s="1796">
        <v>0</v>
      </c>
      <c r="E489" s="1796">
        <v>0</v>
      </c>
      <c r="F489" s="1797">
        <v>0</v>
      </c>
      <c r="G489" s="1999" t="s">
        <v>4977</v>
      </c>
      <c r="H489" s="1794">
        <v>0</v>
      </c>
      <c r="I489" s="1794">
        <v>0</v>
      </c>
      <c r="J489" s="2000">
        <v>0</v>
      </c>
      <c r="K489" s="1798"/>
      <c r="L489" s="1792">
        <v>13033950700</v>
      </c>
      <c r="M489" s="1793">
        <v>0</v>
      </c>
      <c r="N489" s="1793">
        <v>0</v>
      </c>
      <c r="O489" s="1793">
        <v>0</v>
      </c>
      <c r="P489" s="530" t="s">
        <v>800</v>
      </c>
      <c r="Q489" s="291"/>
      <c r="R489" s="170"/>
      <c r="S489" s="387"/>
      <c r="T489" s="491" t="s">
        <v>2350</v>
      </c>
      <c r="U489" s="491" t="s">
        <v>1423</v>
      </c>
      <c r="AA489" s="27"/>
      <c r="AB489" s="27"/>
      <c r="AC489" s="889"/>
      <c r="AD489" s="502"/>
    </row>
    <row r="490" spans="3:30" ht="10.5" customHeight="1">
      <c r="C490" s="1799" t="s">
        <v>4978</v>
      </c>
      <c r="D490" s="1796">
        <v>0</v>
      </c>
      <c r="E490" s="1796">
        <v>0</v>
      </c>
      <c r="F490" s="1797">
        <v>0</v>
      </c>
      <c r="G490" s="1999" t="s">
        <v>4978</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4979</v>
      </c>
      <c r="D491" s="1796">
        <v>0</v>
      </c>
      <c r="E491" s="1796">
        <v>1</v>
      </c>
      <c r="F491" s="1797">
        <v>1</v>
      </c>
      <c r="G491" s="1999" t="s">
        <v>4979</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4980</v>
      </c>
      <c r="D492" s="1796">
        <v>0</v>
      </c>
      <c r="E492" s="1796">
        <v>0</v>
      </c>
      <c r="F492" s="1797">
        <v>0</v>
      </c>
      <c r="G492" s="1999" t="s">
        <v>4980</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4981</v>
      </c>
      <c r="D493" s="1796">
        <v>0</v>
      </c>
      <c r="E493" s="1796">
        <v>1</v>
      </c>
      <c r="F493" s="1797">
        <v>1</v>
      </c>
      <c r="G493" s="1999" t="s">
        <v>4981</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4982</v>
      </c>
      <c r="D494" s="1796">
        <v>0</v>
      </c>
      <c r="E494" s="1796">
        <v>0</v>
      </c>
      <c r="F494" s="1797">
        <v>0</v>
      </c>
      <c r="G494" s="1999" t="s">
        <v>4982</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4983</v>
      </c>
      <c r="D495" s="1796">
        <v>0</v>
      </c>
      <c r="E495" s="1796">
        <v>0</v>
      </c>
      <c r="F495" s="1797">
        <v>0</v>
      </c>
      <c r="G495" s="1999" t="s">
        <v>4983</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4984</v>
      </c>
      <c r="D496" s="1796">
        <v>0</v>
      </c>
      <c r="E496" s="1796">
        <v>0</v>
      </c>
      <c r="F496" s="1797">
        <v>0</v>
      </c>
      <c r="G496" s="1999" t="s">
        <v>4984</v>
      </c>
      <c r="H496" s="1794">
        <v>0</v>
      </c>
      <c r="I496" s="1794">
        <v>1</v>
      </c>
      <c r="J496" s="2000">
        <v>1</v>
      </c>
      <c r="K496" s="1798"/>
      <c r="L496" s="1792">
        <v>13039010100</v>
      </c>
      <c r="M496" s="1793">
        <v>0</v>
      </c>
      <c r="N496" s="1793">
        <v>1</v>
      </c>
      <c r="O496" s="1793">
        <v>1</v>
      </c>
      <c r="P496" s="530" t="s">
        <v>1478</v>
      </c>
      <c r="Q496" s="291"/>
      <c r="R496" s="170"/>
      <c r="S496" s="387"/>
      <c r="T496" s="491" t="s">
        <v>1463</v>
      </c>
      <c r="U496" s="491" t="s">
        <v>2462</v>
      </c>
      <c r="AA496" s="27"/>
      <c r="AB496" s="27"/>
      <c r="AC496" s="889"/>
      <c r="AD496" s="502"/>
    </row>
    <row r="497" spans="3:30" ht="10.5" customHeight="1">
      <c r="C497" s="1799" t="s">
        <v>4985</v>
      </c>
      <c r="D497" s="1796">
        <v>0</v>
      </c>
      <c r="E497" s="1796">
        <v>1</v>
      </c>
      <c r="F497" s="1797">
        <v>1</v>
      </c>
      <c r="G497" s="1999" t="s">
        <v>4985</v>
      </c>
      <c r="H497" s="1794">
        <v>0</v>
      </c>
      <c r="I497" s="1794">
        <v>0</v>
      </c>
      <c r="J497" s="2000">
        <v>0</v>
      </c>
      <c r="K497" s="1798"/>
      <c r="L497" s="1792">
        <v>13039010200</v>
      </c>
      <c r="M497" s="1793">
        <v>0</v>
      </c>
      <c r="N497" s="1793">
        <v>1</v>
      </c>
      <c r="O497" s="1793">
        <v>1</v>
      </c>
      <c r="P497" s="530" t="s">
        <v>1480</v>
      </c>
      <c r="Q497" s="291"/>
      <c r="R497" s="170"/>
      <c r="S497" s="387"/>
      <c r="T497" s="491" t="s">
        <v>1465</v>
      </c>
      <c r="U497" s="491" t="s">
        <v>2126</v>
      </c>
      <c r="AA497" s="27"/>
      <c r="AB497" s="27"/>
      <c r="AC497" s="889"/>
      <c r="AD497" s="502"/>
    </row>
    <row r="498" spans="3:30" ht="10.5" customHeight="1">
      <c r="C498" s="1799" t="s">
        <v>4986</v>
      </c>
      <c r="D498" s="1796">
        <v>0</v>
      </c>
      <c r="E498" s="1796">
        <v>0</v>
      </c>
      <c r="F498" s="1797">
        <v>0</v>
      </c>
      <c r="G498" s="1999" t="s">
        <v>4986</v>
      </c>
      <c r="H498" s="1794">
        <v>0</v>
      </c>
      <c r="I498" s="1794">
        <v>0</v>
      </c>
      <c r="J498" s="2000">
        <v>0</v>
      </c>
      <c r="K498" s="1798"/>
      <c r="L498" s="1792">
        <v>13039010301</v>
      </c>
      <c r="M498" s="1793">
        <v>0</v>
      </c>
      <c r="N498" s="1793">
        <v>0</v>
      </c>
      <c r="O498" s="1793">
        <v>0</v>
      </c>
      <c r="P498" s="530" t="s">
        <v>1365</v>
      </c>
      <c r="Q498" s="291"/>
      <c r="R498" s="170"/>
      <c r="S498" s="387"/>
      <c r="T498" s="491" t="s">
        <v>2277</v>
      </c>
      <c r="U498" s="491" t="s">
        <v>2523</v>
      </c>
      <c r="AA498" s="27"/>
      <c r="AB498" s="27"/>
      <c r="AC498" s="889"/>
      <c r="AD498" s="502"/>
    </row>
    <row r="499" spans="3:30" ht="10.5" customHeight="1">
      <c r="C499" s="1799" t="s">
        <v>4987</v>
      </c>
      <c r="D499" s="1796">
        <v>0</v>
      </c>
      <c r="E499" s="1796">
        <v>0</v>
      </c>
      <c r="F499" s="1797">
        <v>0</v>
      </c>
      <c r="G499" s="1999" t="s">
        <v>4987</v>
      </c>
      <c r="H499" s="1794">
        <v>0</v>
      </c>
      <c r="I499" s="1794">
        <v>0</v>
      </c>
      <c r="J499" s="2000">
        <v>0</v>
      </c>
      <c r="K499" s="1798"/>
      <c r="L499" s="1792">
        <v>13039010302</v>
      </c>
      <c r="M499" s="1793">
        <v>0</v>
      </c>
      <c r="N499" s="1793">
        <v>0</v>
      </c>
      <c r="O499" s="1793">
        <v>0</v>
      </c>
      <c r="P499" s="530" t="s">
        <v>1367</v>
      </c>
      <c r="Q499" s="291"/>
      <c r="R499" s="170"/>
      <c r="S499" s="387"/>
      <c r="T499" s="491" t="s">
        <v>2279</v>
      </c>
      <c r="U499" s="491" t="s">
        <v>118</v>
      </c>
      <c r="AA499" s="27"/>
      <c r="AB499" s="27"/>
      <c r="AC499" s="889"/>
      <c r="AD499" s="502"/>
    </row>
    <row r="500" spans="3:30" ht="10.5" customHeight="1">
      <c r="C500" s="1799" t="s">
        <v>4988</v>
      </c>
      <c r="D500" s="1796">
        <v>1</v>
      </c>
      <c r="E500" s="1796">
        <v>1</v>
      </c>
      <c r="F500" s="1797">
        <v>2</v>
      </c>
      <c r="G500" s="1999" t="s">
        <v>4988</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4989</v>
      </c>
      <c r="D501" s="1796">
        <v>1</v>
      </c>
      <c r="E501" s="1796">
        <v>1</v>
      </c>
      <c r="F501" s="1797">
        <v>2</v>
      </c>
      <c r="G501" s="1999" t="s">
        <v>4989</v>
      </c>
      <c r="H501" s="1794">
        <v>1</v>
      </c>
      <c r="I501" s="1794">
        <v>1</v>
      </c>
      <c r="J501" s="2000">
        <v>2</v>
      </c>
      <c r="K501" s="1798"/>
      <c r="L501" s="1792">
        <v>13039010402</v>
      </c>
      <c r="M501" s="1793">
        <v>1</v>
      </c>
      <c r="N501" s="1793">
        <v>1</v>
      </c>
      <c r="O501" s="1793">
        <v>2</v>
      </c>
      <c r="P501" s="530" t="s">
        <v>1370</v>
      </c>
      <c r="Q501" s="291"/>
      <c r="R501" s="170"/>
      <c r="S501" s="387"/>
      <c r="T501" s="491" t="s">
        <v>1034</v>
      </c>
      <c r="U501" s="491" t="s">
        <v>1957</v>
      </c>
      <c r="AA501" s="27"/>
      <c r="AB501" s="27"/>
      <c r="AC501" s="890"/>
      <c r="AD501" s="502"/>
    </row>
    <row r="502" spans="3:30" ht="10.5" customHeight="1">
      <c r="C502" s="1799" t="s">
        <v>4990</v>
      </c>
      <c r="D502" s="1796">
        <v>1</v>
      </c>
      <c r="E502" s="1796">
        <v>1</v>
      </c>
      <c r="F502" s="1797">
        <v>2</v>
      </c>
      <c r="G502" s="1999" t="s">
        <v>4990</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4991</v>
      </c>
      <c r="D503" s="1796">
        <v>0</v>
      </c>
      <c r="E503" s="1796">
        <v>1</v>
      </c>
      <c r="F503" s="1797">
        <v>1</v>
      </c>
      <c r="G503" s="1999" t="s">
        <v>4991</v>
      </c>
      <c r="H503" s="1794">
        <v>0</v>
      </c>
      <c r="I503" s="1794" t="s">
        <v>4483</v>
      </c>
      <c r="J503" s="2000">
        <v>0</v>
      </c>
      <c r="K503" s="1798"/>
      <c r="L503" s="1792">
        <v>13039010500</v>
      </c>
      <c r="M503" s="1793">
        <v>0</v>
      </c>
      <c r="N503" s="1793">
        <v>1</v>
      </c>
      <c r="O503" s="1793">
        <v>1</v>
      </c>
      <c r="P503" s="530" t="s">
        <v>1374</v>
      </c>
      <c r="Q503" s="291"/>
      <c r="R503" s="170"/>
      <c r="S503" s="387"/>
      <c r="T503" s="491" t="s">
        <v>807</v>
      </c>
      <c r="U503" s="491" t="s">
        <v>1959</v>
      </c>
      <c r="AA503" s="27"/>
      <c r="AB503" s="27"/>
      <c r="AC503" s="889"/>
      <c r="AD503" s="502"/>
    </row>
    <row r="504" spans="3:30" ht="10.5" customHeight="1">
      <c r="C504" s="1799" t="s">
        <v>4992</v>
      </c>
      <c r="D504" s="1796">
        <v>0</v>
      </c>
      <c r="E504" s="1796">
        <v>0</v>
      </c>
      <c r="F504" s="1797">
        <v>0</v>
      </c>
      <c r="G504" s="1999" t="s">
        <v>4992</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4993</v>
      </c>
      <c r="D505" s="1796">
        <v>0</v>
      </c>
      <c r="E505" s="1796">
        <v>0</v>
      </c>
      <c r="F505" s="1797">
        <v>0</v>
      </c>
      <c r="G505" s="1999" t="s">
        <v>4993</v>
      </c>
      <c r="H505" s="1794">
        <v>0</v>
      </c>
      <c r="I505" s="1794" t="s">
        <v>4483</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4994</v>
      </c>
      <c r="D506" s="1796" t="s">
        <v>4483</v>
      </c>
      <c r="E506" s="1796" t="s">
        <v>4483</v>
      </c>
      <c r="F506" s="1797">
        <v>0</v>
      </c>
      <c r="G506" s="1999" t="s">
        <v>4994</v>
      </c>
      <c r="H506" s="1794" t="s">
        <v>4483</v>
      </c>
      <c r="I506" s="1794" t="s">
        <v>4483</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4995</v>
      </c>
      <c r="D507" s="1796">
        <v>0</v>
      </c>
      <c r="E507" s="1796">
        <v>0</v>
      </c>
      <c r="F507" s="1797">
        <v>0</v>
      </c>
      <c r="G507" s="1999" t="s">
        <v>4995</v>
      </c>
      <c r="H507" s="1794">
        <v>0</v>
      </c>
      <c r="I507" s="1794">
        <v>0</v>
      </c>
      <c r="J507" s="2000">
        <v>0</v>
      </c>
      <c r="K507" s="1798"/>
      <c r="L507" s="1792">
        <v>13043950100</v>
      </c>
      <c r="M507" s="1793">
        <v>0</v>
      </c>
      <c r="N507" s="1793">
        <v>0</v>
      </c>
      <c r="O507" s="1793">
        <v>0</v>
      </c>
      <c r="P507" s="530" t="s">
        <v>1539</v>
      </c>
      <c r="Q507" s="291"/>
      <c r="R507" s="170"/>
      <c r="S507" s="387"/>
      <c r="T507" s="491" t="s">
        <v>117</v>
      </c>
      <c r="U507" s="491" t="s">
        <v>1960</v>
      </c>
      <c r="AA507" s="27"/>
      <c r="AB507" s="27"/>
      <c r="AC507" s="889"/>
      <c r="AD507" s="502"/>
    </row>
    <row r="508" spans="3:30" ht="10.5" customHeight="1">
      <c r="C508" s="1799" t="s">
        <v>4996</v>
      </c>
      <c r="D508" s="1796">
        <v>0</v>
      </c>
      <c r="E508" s="1796">
        <v>0</v>
      </c>
      <c r="F508" s="1797">
        <v>0</v>
      </c>
      <c r="G508" s="1999" t="s">
        <v>4996</v>
      </c>
      <c r="H508" s="1794">
        <v>0</v>
      </c>
      <c r="I508" s="1794">
        <v>0</v>
      </c>
      <c r="J508" s="2000">
        <v>0</v>
      </c>
      <c r="K508" s="1798"/>
      <c r="L508" s="1792">
        <v>13043950200</v>
      </c>
      <c r="M508" s="1793">
        <v>0</v>
      </c>
      <c r="N508" s="1793">
        <v>0</v>
      </c>
      <c r="O508" s="1793">
        <v>0</v>
      </c>
      <c r="P508" s="530" t="s">
        <v>1541</v>
      </c>
      <c r="Q508" s="291"/>
      <c r="R508" s="170"/>
      <c r="S508" s="387"/>
      <c r="T508" s="491" t="s">
        <v>245</v>
      </c>
      <c r="U508" s="491" t="s">
        <v>1830</v>
      </c>
      <c r="AA508" s="27"/>
      <c r="AB508" s="27"/>
      <c r="AC508" s="889"/>
      <c r="AD508" s="502"/>
    </row>
    <row r="509" spans="3:30" ht="10.5" customHeight="1">
      <c r="C509" s="1799" t="s">
        <v>4997</v>
      </c>
      <c r="D509" s="1796">
        <v>0</v>
      </c>
      <c r="E509" s="1796">
        <v>0</v>
      </c>
      <c r="F509" s="1797">
        <v>0</v>
      </c>
      <c r="G509" s="1999" t="s">
        <v>4997</v>
      </c>
      <c r="H509" s="1794">
        <v>0</v>
      </c>
      <c r="I509" s="1794">
        <v>0</v>
      </c>
      <c r="J509" s="2000">
        <v>0</v>
      </c>
      <c r="K509" s="1798"/>
      <c r="L509" s="1792">
        <v>13043950300</v>
      </c>
      <c r="M509" s="1793">
        <v>0</v>
      </c>
      <c r="N509" s="1793">
        <v>0</v>
      </c>
      <c r="O509" s="1793">
        <v>0</v>
      </c>
      <c r="P509" s="530" t="s">
        <v>1543</v>
      </c>
      <c r="Q509" s="291"/>
      <c r="R509" s="170"/>
      <c r="S509" s="387"/>
      <c r="T509" s="531" t="s">
        <v>1474</v>
      </c>
      <c r="U509" s="531" t="s">
        <v>1959</v>
      </c>
      <c r="AA509" s="27"/>
      <c r="AB509" s="27"/>
      <c r="AC509" s="889"/>
      <c r="AD509" s="502"/>
    </row>
    <row r="510" spans="3:30" ht="10.5" customHeight="1">
      <c r="C510" s="1799" t="s">
        <v>4998</v>
      </c>
      <c r="D510" s="1796">
        <v>0</v>
      </c>
      <c r="E510" s="1796">
        <v>1</v>
      </c>
      <c r="F510" s="1797">
        <v>1</v>
      </c>
      <c r="G510" s="1999" t="s">
        <v>4998</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4999</v>
      </c>
      <c r="D511" s="1796">
        <v>1</v>
      </c>
      <c r="E511" s="1796">
        <v>1</v>
      </c>
      <c r="F511" s="1797">
        <v>2</v>
      </c>
      <c r="G511" s="1999" t="s">
        <v>4999</v>
      </c>
      <c r="H511" s="1794">
        <v>1</v>
      </c>
      <c r="I511" s="1794">
        <v>0</v>
      </c>
      <c r="J511" s="2000">
        <v>1</v>
      </c>
      <c r="K511" s="1798"/>
      <c r="L511" s="1792">
        <v>13045910103</v>
      </c>
      <c r="M511" s="1793">
        <v>1</v>
      </c>
      <c r="N511" s="1793">
        <v>1</v>
      </c>
      <c r="O511" s="1793">
        <v>2</v>
      </c>
      <c r="P511" s="530" t="s">
        <v>1546</v>
      </c>
      <c r="Q511" s="291"/>
      <c r="R511" s="170"/>
      <c r="S511" s="387"/>
      <c r="T511" s="491" t="s">
        <v>1479</v>
      </c>
      <c r="U511" s="491" t="s">
        <v>2418</v>
      </c>
      <c r="AA511" s="27"/>
      <c r="AB511" s="27"/>
      <c r="AC511" s="889"/>
      <c r="AD511" s="502"/>
    </row>
    <row r="512" spans="3:30" ht="10.5" customHeight="1">
      <c r="C512" s="1799" t="s">
        <v>5000</v>
      </c>
      <c r="D512" s="1796">
        <v>0</v>
      </c>
      <c r="E512" s="1796">
        <v>1</v>
      </c>
      <c r="F512" s="1797">
        <v>1</v>
      </c>
      <c r="G512" s="1999" t="s">
        <v>5000</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5001</v>
      </c>
      <c r="D513" s="1796">
        <v>0</v>
      </c>
      <c r="E513" s="1796">
        <v>0</v>
      </c>
      <c r="F513" s="1797">
        <v>0</v>
      </c>
      <c r="G513" s="1999" t="s">
        <v>5001</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5002</v>
      </c>
      <c r="D514" s="1796">
        <v>0</v>
      </c>
      <c r="E514" s="1796">
        <v>1</v>
      </c>
      <c r="F514" s="1797">
        <v>1</v>
      </c>
      <c r="G514" s="1999" t="s">
        <v>5002</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5003</v>
      </c>
      <c r="D515" s="1796">
        <v>0</v>
      </c>
      <c r="E515" s="1796">
        <v>0</v>
      </c>
      <c r="F515" s="1797">
        <v>0</v>
      </c>
      <c r="G515" s="1999" t="s">
        <v>5003</v>
      </c>
      <c r="H515" s="1794">
        <v>0</v>
      </c>
      <c r="I515" s="1794" t="s">
        <v>4483</v>
      </c>
      <c r="J515" s="200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5004</v>
      </c>
      <c r="D516" s="1796">
        <v>0</v>
      </c>
      <c r="E516" s="1796">
        <v>1</v>
      </c>
      <c r="F516" s="1797">
        <v>1</v>
      </c>
      <c r="G516" s="1999" t="s">
        <v>5004</v>
      </c>
      <c r="H516" s="1794">
        <v>0</v>
      </c>
      <c r="I516" s="1794">
        <v>0</v>
      </c>
      <c r="J516" s="2000">
        <v>0</v>
      </c>
      <c r="K516" s="1798"/>
      <c r="L516" s="1792">
        <v>13045910501</v>
      </c>
      <c r="M516" s="1793">
        <v>0</v>
      </c>
      <c r="N516" s="1793">
        <v>1</v>
      </c>
      <c r="O516" s="1793">
        <v>1</v>
      </c>
      <c r="P516" s="530" t="s">
        <v>1063</v>
      </c>
      <c r="Q516" s="291"/>
      <c r="R516" s="170"/>
      <c r="S516" s="387"/>
      <c r="T516" s="491" t="s">
        <v>1371</v>
      </c>
      <c r="U516" s="491" t="s">
        <v>1830</v>
      </c>
      <c r="AA516" s="27"/>
      <c r="AB516" s="27"/>
      <c r="AC516" s="889"/>
      <c r="AD516" s="502"/>
    </row>
    <row r="517" spans="3:30" ht="10.5" customHeight="1">
      <c r="C517" s="1799" t="s">
        <v>5005</v>
      </c>
      <c r="D517" s="1796">
        <v>0</v>
      </c>
      <c r="E517" s="1796">
        <v>0</v>
      </c>
      <c r="F517" s="1797">
        <v>0</v>
      </c>
      <c r="G517" s="1999" t="s">
        <v>5005</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5006</v>
      </c>
      <c r="D518" s="1796">
        <v>0</v>
      </c>
      <c r="E518" s="1796">
        <v>0</v>
      </c>
      <c r="F518" s="1797">
        <v>0</v>
      </c>
      <c r="G518" s="1999" t="s">
        <v>5006</v>
      </c>
      <c r="H518" s="1794">
        <v>1</v>
      </c>
      <c r="I518" s="1794">
        <v>0</v>
      </c>
      <c r="J518" s="2000">
        <v>1</v>
      </c>
      <c r="K518" s="1798"/>
      <c r="L518" s="1792">
        <v>13045910600</v>
      </c>
      <c r="M518" s="1793">
        <v>1</v>
      </c>
      <c r="N518" s="1793">
        <v>0</v>
      </c>
      <c r="O518" s="1793">
        <v>1</v>
      </c>
      <c r="P518" s="530" t="s">
        <v>1067</v>
      </c>
      <c r="Q518" s="291"/>
      <c r="R518" s="170"/>
      <c r="S518" s="387"/>
      <c r="T518" s="491" t="s">
        <v>2426</v>
      </c>
      <c r="U518" s="491" t="s">
        <v>1861</v>
      </c>
      <c r="AA518" s="27"/>
      <c r="AB518" s="27"/>
      <c r="AC518" s="889"/>
      <c r="AD518" s="502"/>
    </row>
    <row r="519" spans="3:30" ht="10.5" customHeight="1">
      <c r="C519" s="1799" t="s">
        <v>5007</v>
      </c>
      <c r="D519" s="1796">
        <v>0</v>
      </c>
      <c r="E519" s="1796">
        <v>1</v>
      </c>
      <c r="F519" s="1797">
        <v>1</v>
      </c>
      <c r="G519" s="1999" t="s">
        <v>5007</v>
      </c>
      <c r="H519" s="1794">
        <v>0</v>
      </c>
      <c r="I519" s="1794">
        <v>0</v>
      </c>
      <c r="J519" s="2000">
        <v>0</v>
      </c>
      <c r="K519" s="1798"/>
      <c r="L519" s="1792">
        <v>13045910701</v>
      </c>
      <c r="M519" s="1793">
        <v>0</v>
      </c>
      <c r="N519" s="1793">
        <v>1</v>
      </c>
      <c r="O519" s="1793">
        <v>1</v>
      </c>
      <c r="P519" s="530" t="s">
        <v>252</v>
      </c>
      <c r="Q519" s="291"/>
      <c r="R519" s="170"/>
      <c r="S519" s="387"/>
      <c r="T519" s="491" t="s">
        <v>1035</v>
      </c>
      <c r="U519" s="491" t="s">
        <v>2421</v>
      </c>
      <c r="AA519" s="27"/>
      <c r="AB519" s="27"/>
      <c r="AC519" s="889"/>
      <c r="AD519" s="502"/>
    </row>
    <row r="520" spans="3:30" ht="10.5" customHeight="1">
      <c r="C520" s="1799" t="s">
        <v>5008</v>
      </c>
      <c r="D520" s="1796">
        <v>1</v>
      </c>
      <c r="E520" s="1796">
        <v>1</v>
      </c>
      <c r="F520" s="1797">
        <v>2</v>
      </c>
      <c r="G520" s="1999" t="s">
        <v>5008</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5009</v>
      </c>
      <c r="D521" s="1796">
        <v>0</v>
      </c>
      <c r="E521" s="1796">
        <v>1</v>
      </c>
      <c r="F521" s="1797">
        <v>1</v>
      </c>
      <c r="G521" s="1999" t="s">
        <v>5009</v>
      </c>
      <c r="H521" s="1794">
        <v>0</v>
      </c>
      <c r="I521" s="1794">
        <v>0</v>
      </c>
      <c r="J521" s="2000">
        <v>0</v>
      </c>
      <c r="K521" s="1798"/>
      <c r="L521" s="1792">
        <v>13045910703</v>
      </c>
      <c r="M521" s="1793">
        <v>0</v>
      </c>
      <c r="N521" s="1793">
        <v>1</v>
      </c>
      <c r="O521" s="1793">
        <v>1</v>
      </c>
      <c r="P521" s="530" t="s">
        <v>1595</v>
      </c>
      <c r="Q521" s="291"/>
      <c r="R521" s="170"/>
      <c r="S521" s="387"/>
      <c r="T521" s="491" t="s">
        <v>175</v>
      </c>
      <c r="U521" s="491" t="s">
        <v>2516</v>
      </c>
      <c r="AA521" s="27"/>
      <c r="AB521" s="27"/>
      <c r="AC521" s="889"/>
      <c r="AD521" s="502"/>
    </row>
    <row r="522" spans="3:30" ht="10.5" customHeight="1">
      <c r="C522" s="1799" t="s">
        <v>5010</v>
      </c>
      <c r="D522" s="1796">
        <v>0</v>
      </c>
      <c r="E522" s="1796">
        <v>1</v>
      </c>
      <c r="F522" s="1797">
        <v>1</v>
      </c>
      <c r="G522" s="1999" t="s">
        <v>5010</v>
      </c>
      <c r="H522" s="1794">
        <v>0</v>
      </c>
      <c r="I522" s="1794">
        <v>0</v>
      </c>
      <c r="J522" s="2000">
        <v>0</v>
      </c>
      <c r="K522" s="1798"/>
      <c r="L522" s="1792">
        <v>13045910800</v>
      </c>
      <c r="M522" s="1793">
        <v>0</v>
      </c>
      <c r="N522" s="1793">
        <v>1</v>
      </c>
      <c r="O522" s="1793">
        <v>1</v>
      </c>
      <c r="P522" s="530" t="s">
        <v>2264</v>
      </c>
      <c r="Q522" s="291"/>
      <c r="R522" s="170"/>
      <c r="S522" s="387"/>
      <c r="T522" s="491" t="s">
        <v>1540</v>
      </c>
      <c r="U522" s="491" t="s">
        <v>2132</v>
      </c>
      <c r="AA522" s="27"/>
      <c r="AB522" s="27"/>
      <c r="AC522" s="889"/>
      <c r="AD522" s="502"/>
    </row>
    <row r="523" spans="3:30" ht="10.5" customHeight="1">
      <c r="C523" s="1799" t="s">
        <v>5011</v>
      </c>
      <c r="D523" s="1796">
        <v>0</v>
      </c>
      <c r="E523" s="1796">
        <v>1</v>
      </c>
      <c r="F523" s="1797">
        <v>1</v>
      </c>
      <c r="G523" s="1999" t="s">
        <v>5011</v>
      </c>
      <c r="H523" s="1794">
        <v>0</v>
      </c>
      <c r="I523" s="1794">
        <v>1</v>
      </c>
      <c r="J523" s="2000">
        <v>1</v>
      </c>
      <c r="K523" s="1798"/>
      <c r="L523" s="1792">
        <v>13045910900</v>
      </c>
      <c r="M523" s="1793">
        <v>0</v>
      </c>
      <c r="N523" s="1793">
        <v>1</v>
      </c>
      <c r="O523" s="1793">
        <v>1</v>
      </c>
      <c r="P523" s="530" t="s">
        <v>472</v>
      </c>
      <c r="Q523" s="291"/>
      <c r="R523" s="170"/>
      <c r="S523" s="387"/>
      <c r="T523" s="491" t="s">
        <v>1542</v>
      </c>
      <c r="U523" s="491" t="s">
        <v>1830</v>
      </c>
      <c r="AA523" s="27"/>
      <c r="AB523" s="27"/>
      <c r="AC523" s="889"/>
      <c r="AD523" s="502"/>
    </row>
    <row r="524" spans="3:30" ht="10.5" customHeight="1">
      <c r="C524" s="1799" t="s">
        <v>5012</v>
      </c>
      <c r="D524" s="1796">
        <v>1</v>
      </c>
      <c r="E524" s="1796">
        <v>1</v>
      </c>
      <c r="F524" s="1797">
        <v>2</v>
      </c>
      <c r="G524" s="1999" t="s">
        <v>5012</v>
      </c>
      <c r="H524" s="1794">
        <v>1</v>
      </c>
      <c r="I524" s="1794">
        <v>1</v>
      </c>
      <c r="J524" s="2000">
        <v>2</v>
      </c>
      <c r="K524" s="1798"/>
      <c r="L524" s="1792">
        <v>13045911000</v>
      </c>
      <c r="M524" s="1793">
        <v>1</v>
      </c>
      <c r="N524" s="1793">
        <v>1</v>
      </c>
      <c r="O524" s="1793">
        <v>2</v>
      </c>
      <c r="P524" s="530" t="s">
        <v>1275</v>
      </c>
      <c r="Q524" s="291"/>
      <c r="R524" s="170"/>
      <c r="S524" s="387"/>
      <c r="T524" s="491" t="s">
        <v>1545</v>
      </c>
      <c r="U524" s="491" t="s">
        <v>2521</v>
      </c>
      <c r="AA524" s="27"/>
      <c r="AB524" s="27"/>
      <c r="AC524" s="889"/>
      <c r="AD524" s="502"/>
    </row>
    <row r="525" spans="3:30" ht="10.5" customHeight="1">
      <c r="C525" s="1799" t="s">
        <v>5013</v>
      </c>
      <c r="D525" s="1796">
        <v>1</v>
      </c>
      <c r="E525" s="1796">
        <v>1</v>
      </c>
      <c r="F525" s="1797">
        <v>2</v>
      </c>
      <c r="G525" s="1999" t="s">
        <v>5013</v>
      </c>
      <c r="H525" s="1794">
        <v>0</v>
      </c>
      <c r="I525" s="1794">
        <v>1</v>
      </c>
      <c r="J525" s="2000">
        <v>1</v>
      </c>
      <c r="K525" s="1798"/>
      <c r="L525" s="1792">
        <v>13045911100</v>
      </c>
      <c r="M525" s="1793">
        <v>1</v>
      </c>
      <c r="N525" s="1793">
        <v>1</v>
      </c>
      <c r="O525" s="1793">
        <v>2</v>
      </c>
      <c r="P525" s="530" t="s">
        <v>629</v>
      </c>
      <c r="Q525" s="291"/>
      <c r="R525" s="170"/>
      <c r="S525" s="387"/>
      <c r="T525" s="491" t="s">
        <v>371</v>
      </c>
      <c r="U525" s="491" t="s">
        <v>2421</v>
      </c>
      <c r="AA525" s="27"/>
      <c r="AB525" s="27"/>
      <c r="AC525" s="889"/>
      <c r="AD525" s="502"/>
    </row>
    <row r="526" spans="3:30" ht="10.5" customHeight="1">
      <c r="C526" s="1799" t="s">
        <v>5014</v>
      </c>
      <c r="D526" s="1796">
        <v>0</v>
      </c>
      <c r="E526" s="1796">
        <v>0</v>
      </c>
      <c r="F526" s="1797">
        <v>0</v>
      </c>
      <c r="G526" s="1999" t="s">
        <v>5014</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5015</v>
      </c>
      <c r="D527" s="1796">
        <v>0</v>
      </c>
      <c r="E527" s="1796">
        <v>0</v>
      </c>
      <c r="F527" s="1797">
        <v>0</v>
      </c>
      <c r="G527" s="1999" t="s">
        <v>5015</v>
      </c>
      <c r="H527" s="1794">
        <v>0</v>
      </c>
      <c r="I527" s="1794">
        <v>0</v>
      </c>
      <c r="J527" s="2000">
        <v>0</v>
      </c>
      <c r="K527" s="1798"/>
      <c r="L527" s="1792">
        <v>13047030100</v>
      </c>
      <c r="M527" s="1793">
        <v>0</v>
      </c>
      <c r="N527" s="1793">
        <v>0</v>
      </c>
      <c r="O527" s="1793">
        <v>0</v>
      </c>
      <c r="P527" s="530" t="s">
        <v>670</v>
      </c>
      <c r="Q527" s="291"/>
      <c r="R527" s="170"/>
      <c r="S527" s="387"/>
      <c r="T527" s="533" t="s">
        <v>242</v>
      </c>
      <c r="U527" s="491" t="s">
        <v>2122</v>
      </c>
      <c r="AA527" s="27"/>
      <c r="AB527" s="27"/>
      <c r="AC527" s="891"/>
      <c r="AD527" s="502"/>
    </row>
    <row r="528" spans="3:30" ht="10.5" customHeight="1">
      <c r="C528" s="1799" t="s">
        <v>5016</v>
      </c>
      <c r="D528" s="1796">
        <v>1</v>
      </c>
      <c r="E528" s="1796">
        <v>0</v>
      </c>
      <c r="F528" s="1797">
        <v>1</v>
      </c>
      <c r="G528" s="1999" t="s">
        <v>5016</v>
      </c>
      <c r="H528" s="1794">
        <v>0</v>
      </c>
      <c r="I528" s="1794">
        <v>0</v>
      </c>
      <c r="J528" s="2000">
        <v>0</v>
      </c>
      <c r="K528" s="1798"/>
      <c r="L528" s="1792">
        <v>13047030201</v>
      </c>
      <c r="M528" s="1793">
        <v>1</v>
      </c>
      <c r="N528" s="1793">
        <v>0</v>
      </c>
      <c r="O528" s="1793">
        <v>1</v>
      </c>
      <c r="P528" s="530" t="s">
        <v>508</v>
      </c>
      <c r="Q528" s="291"/>
      <c r="R528" s="170"/>
      <c r="S528" s="387"/>
      <c r="T528" s="491" t="s">
        <v>1574</v>
      </c>
      <c r="U528" s="491" t="s">
        <v>2461</v>
      </c>
      <c r="AA528" s="27"/>
      <c r="AB528" s="27"/>
      <c r="AC528" s="891"/>
      <c r="AD528" s="502"/>
    </row>
    <row r="529" spans="3:30" ht="10.5" customHeight="1">
      <c r="C529" s="1799" t="s">
        <v>5017</v>
      </c>
      <c r="D529" s="1796">
        <v>1</v>
      </c>
      <c r="E529" s="1796">
        <v>1</v>
      </c>
      <c r="F529" s="1797">
        <v>2</v>
      </c>
      <c r="G529" s="1999" t="s">
        <v>5017</v>
      </c>
      <c r="H529" s="1794">
        <v>1</v>
      </c>
      <c r="I529" s="1794">
        <v>1</v>
      </c>
      <c r="J529" s="2000">
        <v>2</v>
      </c>
      <c r="K529" s="1798"/>
      <c r="L529" s="1792">
        <v>13047030202</v>
      </c>
      <c r="M529" s="1793">
        <v>1</v>
      </c>
      <c r="N529" s="1793">
        <v>1</v>
      </c>
      <c r="O529" s="1793">
        <v>2</v>
      </c>
      <c r="P529" s="530" t="s">
        <v>510</v>
      </c>
      <c r="Q529" s="291"/>
      <c r="R529" s="170"/>
      <c r="S529" s="387"/>
      <c r="T529" s="491" t="s">
        <v>2763</v>
      </c>
      <c r="U529" s="491" t="s">
        <v>323</v>
      </c>
      <c r="AA529" s="27"/>
      <c r="AB529" s="27"/>
      <c r="AC529" s="889"/>
      <c r="AD529" s="502"/>
    </row>
    <row r="530" spans="3:30" ht="10.5" customHeight="1">
      <c r="C530" s="1799" t="s">
        <v>5018</v>
      </c>
      <c r="D530" s="1796">
        <v>1</v>
      </c>
      <c r="E530" s="1796">
        <v>1</v>
      </c>
      <c r="F530" s="1797">
        <v>2</v>
      </c>
      <c r="G530" s="1999" t="s">
        <v>5018</v>
      </c>
      <c r="H530" s="1794">
        <v>1</v>
      </c>
      <c r="I530" s="1794">
        <v>1</v>
      </c>
      <c r="J530" s="2000">
        <v>2</v>
      </c>
      <c r="K530" s="1798"/>
      <c r="L530" s="1792">
        <v>13047030301</v>
      </c>
      <c r="M530" s="1793">
        <v>1</v>
      </c>
      <c r="N530" s="1793">
        <v>1</v>
      </c>
      <c r="O530" s="1793">
        <v>2</v>
      </c>
      <c r="P530" s="530" t="s">
        <v>512</v>
      </c>
      <c r="Q530" s="291"/>
      <c r="R530" s="170"/>
      <c r="S530" s="387"/>
      <c r="T530" s="491" t="s">
        <v>1064</v>
      </c>
      <c r="U530" s="491" t="s">
        <v>2523</v>
      </c>
      <c r="AA530" s="27"/>
      <c r="AB530" s="27"/>
      <c r="AC530" s="889"/>
      <c r="AD530" s="502"/>
    </row>
    <row r="531" spans="3:30" ht="10.5" customHeight="1">
      <c r="C531" s="1799" t="s">
        <v>5019</v>
      </c>
      <c r="D531" s="1796">
        <v>1</v>
      </c>
      <c r="E531" s="1796">
        <v>1</v>
      </c>
      <c r="F531" s="1797">
        <v>2</v>
      </c>
      <c r="G531" s="1999" t="s">
        <v>5019</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5020</v>
      </c>
      <c r="D532" s="1796">
        <v>1</v>
      </c>
      <c r="E532" s="1796">
        <v>1</v>
      </c>
      <c r="F532" s="1797">
        <v>2</v>
      </c>
      <c r="G532" s="1999" t="s">
        <v>5020</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5021</v>
      </c>
      <c r="D533" s="1796">
        <v>1</v>
      </c>
      <c r="E533" s="1796">
        <v>1</v>
      </c>
      <c r="F533" s="1797">
        <v>2</v>
      </c>
      <c r="G533" s="1999" t="s">
        <v>5021</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5022</v>
      </c>
      <c r="D534" s="1796">
        <v>0</v>
      </c>
      <c r="E534" s="1796">
        <v>0</v>
      </c>
      <c r="F534" s="1797">
        <v>0</v>
      </c>
      <c r="G534" s="1999" t="s">
        <v>5022</v>
      </c>
      <c r="H534" s="1794">
        <v>1</v>
      </c>
      <c r="I534" s="1794">
        <v>0</v>
      </c>
      <c r="J534" s="2000">
        <v>0</v>
      </c>
      <c r="K534" s="1798"/>
      <c r="L534" s="1792">
        <v>13047030402</v>
      </c>
      <c r="M534" s="1793">
        <v>1</v>
      </c>
      <c r="N534" s="1793">
        <v>0</v>
      </c>
      <c r="O534" s="1793">
        <v>0</v>
      </c>
      <c r="P534" s="530" t="s">
        <v>697</v>
      </c>
      <c r="Q534" s="291"/>
      <c r="R534" s="170"/>
      <c r="S534" s="387"/>
      <c r="T534" s="491" t="s">
        <v>255</v>
      </c>
      <c r="U534" s="491" t="s">
        <v>2336</v>
      </c>
      <c r="AA534" s="27"/>
      <c r="AB534" s="27"/>
      <c r="AC534" s="889"/>
      <c r="AD534" s="502"/>
    </row>
    <row r="535" spans="3:30" ht="10.5" customHeight="1">
      <c r="C535" s="1799" t="s">
        <v>5023</v>
      </c>
      <c r="D535" s="1796">
        <v>1</v>
      </c>
      <c r="E535" s="1796">
        <v>0</v>
      </c>
      <c r="F535" s="1797">
        <v>1</v>
      </c>
      <c r="G535" s="1999" t="s">
        <v>5023</v>
      </c>
      <c r="H535" s="1794">
        <v>0</v>
      </c>
      <c r="I535" s="1794">
        <v>0</v>
      </c>
      <c r="J535" s="2000">
        <v>0</v>
      </c>
      <c r="K535" s="1798"/>
      <c r="L535" s="1792">
        <v>13047030500</v>
      </c>
      <c r="M535" s="1793">
        <v>1</v>
      </c>
      <c r="N535" s="1793">
        <v>0</v>
      </c>
      <c r="O535" s="1793">
        <v>1</v>
      </c>
      <c r="P535" s="530" t="s">
        <v>570</v>
      </c>
      <c r="Q535" s="291"/>
      <c r="R535" s="170"/>
      <c r="S535" s="387"/>
      <c r="T535" s="531" t="s">
        <v>3751</v>
      </c>
      <c r="U535" s="531" t="s">
        <v>850</v>
      </c>
      <c r="AA535" s="27"/>
      <c r="AB535" s="27"/>
      <c r="AC535" s="889"/>
      <c r="AD535" s="502"/>
    </row>
    <row r="536" spans="3:30" ht="10.5" customHeight="1">
      <c r="C536" s="1799" t="s">
        <v>5024</v>
      </c>
      <c r="D536" s="1796">
        <v>0</v>
      </c>
      <c r="E536" s="1796">
        <v>0</v>
      </c>
      <c r="F536" s="1797">
        <v>0</v>
      </c>
      <c r="G536" s="1999" t="s">
        <v>5024</v>
      </c>
      <c r="H536" s="1794">
        <v>1</v>
      </c>
      <c r="I536" s="1794">
        <v>0</v>
      </c>
      <c r="J536" s="2000">
        <v>1</v>
      </c>
      <c r="K536" s="1798"/>
      <c r="L536" s="1792">
        <v>13047030600</v>
      </c>
      <c r="M536" s="1793">
        <v>1</v>
      </c>
      <c r="N536" s="1793">
        <v>0</v>
      </c>
      <c r="O536" s="1793">
        <v>1</v>
      </c>
      <c r="P536" s="530" t="s">
        <v>571</v>
      </c>
      <c r="Q536" s="291"/>
      <c r="R536" s="170"/>
      <c r="S536" s="387"/>
      <c r="T536" s="491" t="s">
        <v>2265</v>
      </c>
      <c r="U536" s="491" t="s">
        <v>1074</v>
      </c>
      <c r="AA536" s="27"/>
      <c r="AB536" s="27"/>
      <c r="AC536" s="890"/>
      <c r="AD536" s="502"/>
    </row>
    <row r="537" spans="3:30" ht="10.5" customHeight="1">
      <c r="C537" s="1799" t="s">
        <v>5025</v>
      </c>
      <c r="D537" s="1796">
        <v>0</v>
      </c>
      <c r="E537" s="1796">
        <v>0</v>
      </c>
      <c r="F537" s="1797">
        <v>0</v>
      </c>
      <c r="G537" s="1999" t="s">
        <v>5025</v>
      </c>
      <c r="H537" s="1794">
        <v>0</v>
      </c>
      <c r="I537" s="1794">
        <v>0</v>
      </c>
      <c r="J537" s="2000">
        <v>0</v>
      </c>
      <c r="K537" s="1798"/>
      <c r="L537" s="1792">
        <v>13047030700</v>
      </c>
      <c r="M537" s="1793">
        <v>0</v>
      </c>
      <c r="N537" s="1793">
        <v>0</v>
      </c>
      <c r="O537" s="1793">
        <v>0</v>
      </c>
      <c r="P537" s="530" t="s">
        <v>2028</v>
      </c>
      <c r="Q537" s="291"/>
      <c r="R537" s="170"/>
      <c r="S537" s="387"/>
      <c r="T537" s="491" t="s">
        <v>473</v>
      </c>
      <c r="U537" s="491" t="s">
        <v>1627</v>
      </c>
      <c r="AA537" s="27"/>
      <c r="AB537" s="27"/>
      <c r="AC537" s="889"/>
      <c r="AD537" s="502"/>
    </row>
    <row r="538" spans="3:30" ht="10.5" customHeight="1">
      <c r="C538" s="1799" t="s">
        <v>5026</v>
      </c>
      <c r="D538" s="1796">
        <v>0</v>
      </c>
      <c r="E538" s="1796">
        <v>0</v>
      </c>
      <c r="F538" s="1797">
        <v>0</v>
      </c>
      <c r="G538" s="1999" t="s">
        <v>5026</v>
      </c>
      <c r="H538" s="1794">
        <v>0</v>
      </c>
      <c r="I538" s="1794">
        <v>0</v>
      </c>
      <c r="J538" s="2000">
        <v>0</v>
      </c>
      <c r="K538" s="1798"/>
      <c r="L538" s="1792">
        <v>13049010100</v>
      </c>
      <c r="M538" s="1793">
        <v>0</v>
      </c>
      <c r="N538" s="1793">
        <v>0</v>
      </c>
      <c r="O538" s="1793">
        <v>0</v>
      </c>
      <c r="P538" s="530" t="s">
        <v>455</v>
      </c>
      <c r="Q538" s="291"/>
      <c r="R538" s="170"/>
      <c r="S538" s="387"/>
      <c r="T538" s="491" t="s">
        <v>2764</v>
      </c>
      <c r="U538" s="491" t="s">
        <v>2132</v>
      </c>
      <c r="AA538" s="27"/>
      <c r="AB538" s="27"/>
      <c r="AC538" s="889"/>
      <c r="AD538" s="502"/>
    </row>
    <row r="539" spans="3:30" ht="10.5" customHeight="1">
      <c r="C539" s="1799" t="s">
        <v>5027</v>
      </c>
      <c r="D539" s="1796">
        <v>0</v>
      </c>
      <c r="E539" s="1796">
        <v>0</v>
      </c>
      <c r="F539" s="1797">
        <v>0</v>
      </c>
      <c r="G539" s="1999" t="s">
        <v>5027</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5028</v>
      </c>
      <c r="D540" s="1796">
        <v>0</v>
      </c>
      <c r="E540" s="1796">
        <v>0</v>
      </c>
      <c r="F540" s="1797">
        <v>0</v>
      </c>
      <c r="G540" s="1999" t="s">
        <v>5028</v>
      </c>
      <c r="H540" s="1794">
        <v>0</v>
      </c>
      <c r="I540" s="1794" t="s">
        <v>4483</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5029</v>
      </c>
      <c r="D541" s="1796">
        <v>1</v>
      </c>
      <c r="E541" s="1796">
        <v>1</v>
      </c>
      <c r="F541" s="1797">
        <v>2</v>
      </c>
      <c r="G541" s="1999" t="s">
        <v>5029</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5030</v>
      </c>
      <c r="D542" s="1796">
        <v>0</v>
      </c>
      <c r="E542" s="1796">
        <v>0</v>
      </c>
      <c r="F542" s="1797">
        <v>0</v>
      </c>
      <c r="G542" s="1999" t="s">
        <v>5030</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5031</v>
      </c>
      <c r="D543" s="1796">
        <v>0</v>
      </c>
      <c r="E543" s="1796">
        <v>0</v>
      </c>
      <c r="F543" s="1797">
        <v>0</v>
      </c>
      <c r="G543" s="1999" t="s">
        <v>5031</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5032</v>
      </c>
      <c r="D544" s="1796">
        <v>0</v>
      </c>
      <c r="E544" s="1796">
        <v>0</v>
      </c>
      <c r="F544" s="1797">
        <v>0</v>
      </c>
      <c r="G544" s="1999" t="s">
        <v>5032</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5033</v>
      </c>
      <c r="D545" s="1796">
        <v>0</v>
      </c>
      <c r="E545" s="1796">
        <v>0</v>
      </c>
      <c r="F545" s="1797">
        <v>0</v>
      </c>
      <c r="G545" s="1999" t="s">
        <v>5033</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5034</v>
      </c>
      <c r="D546" s="1796">
        <v>0</v>
      </c>
      <c r="E546" s="1796">
        <v>0</v>
      </c>
      <c r="F546" s="1797">
        <v>0</v>
      </c>
      <c r="G546" s="1999" t="s">
        <v>5034</v>
      </c>
      <c r="H546" s="1794">
        <v>0</v>
      </c>
      <c r="I546" s="1794" t="s">
        <v>4483</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5035</v>
      </c>
      <c r="D547" s="1796">
        <v>0</v>
      </c>
      <c r="E547" s="1796">
        <v>0</v>
      </c>
      <c r="F547" s="1797">
        <v>0</v>
      </c>
      <c r="G547" s="1999" t="s">
        <v>5035</v>
      </c>
      <c r="H547" s="1794">
        <v>0</v>
      </c>
      <c r="I547" s="1794">
        <v>0</v>
      </c>
      <c r="J547" s="2000">
        <v>0</v>
      </c>
      <c r="K547" s="1798"/>
      <c r="L547" s="1792">
        <v>13051002000</v>
      </c>
      <c r="M547" s="1793">
        <v>0</v>
      </c>
      <c r="N547" s="1793">
        <v>0</v>
      </c>
      <c r="O547" s="1793">
        <v>0</v>
      </c>
      <c r="P547" s="530" t="s">
        <v>2526</v>
      </c>
      <c r="Q547" s="291"/>
      <c r="R547" s="170"/>
      <c r="S547" s="387"/>
      <c r="T547" s="531" t="s">
        <v>674</v>
      </c>
      <c r="U547" s="531" t="s">
        <v>1180</v>
      </c>
      <c r="AA547" s="27"/>
      <c r="AB547" s="27"/>
      <c r="AC547" s="889"/>
      <c r="AD547" s="502"/>
    </row>
    <row r="548" spans="3:30" ht="10.5" customHeight="1">
      <c r="C548" s="1799" t="s">
        <v>5036</v>
      </c>
      <c r="D548" s="1796">
        <v>0</v>
      </c>
      <c r="E548" s="1796">
        <v>0</v>
      </c>
      <c r="F548" s="1797">
        <v>0</v>
      </c>
      <c r="G548" s="1999" t="s">
        <v>5036</v>
      </c>
      <c r="H548" s="1794">
        <v>0</v>
      </c>
      <c r="I548" s="1794">
        <v>0</v>
      </c>
      <c r="J548" s="2000">
        <v>0</v>
      </c>
      <c r="K548" s="1798"/>
      <c r="L548" s="1792">
        <v>13051002100</v>
      </c>
      <c r="M548" s="1793">
        <v>0</v>
      </c>
      <c r="N548" s="1793">
        <v>0</v>
      </c>
      <c r="O548" s="1793">
        <v>0</v>
      </c>
      <c r="P548" s="530" t="s">
        <v>2045</v>
      </c>
      <c r="Q548" s="291"/>
      <c r="R548" s="170"/>
      <c r="S548" s="387"/>
      <c r="T548" s="491" t="s">
        <v>809</v>
      </c>
      <c r="U548" s="491" t="s">
        <v>637</v>
      </c>
      <c r="AA548" s="27"/>
      <c r="AB548" s="27"/>
      <c r="AC548" s="890"/>
      <c r="AD548" s="502"/>
    </row>
    <row r="549" spans="3:30" ht="10.5" customHeight="1">
      <c r="C549" s="1799" t="s">
        <v>5037</v>
      </c>
      <c r="D549" s="1796">
        <v>0</v>
      </c>
      <c r="E549" s="1796">
        <v>0</v>
      </c>
      <c r="F549" s="1797">
        <v>0</v>
      </c>
      <c r="G549" s="1999" t="s">
        <v>5037</v>
      </c>
      <c r="H549" s="1794">
        <v>0</v>
      </c>
      <c r="I549" s="1794">
        <v>0</v>
      </c>
      <c r="J549" s="2000">
        <v>0</v>
      </c>
      <c r="K549" s="1798"/>
      <c r="L549" s="1792">
        <v>13051002200</v>
      </c>
      <c r="M549" s="1793">
        <v>0</v>
      </c>
      <c r="N549" s="1793">
        <v>0</v>
      </c>
      <c r="O549" s="1793">
        <v>0</v>
      </c>
      <c r="P549" s="530" t="s">
        <v>2047</v>
      </c>
      <c r="Q549" s="291"/>
      <c r="R549" s="170"/>
      <c r="S549" s="387"/>
      <c r="T549" s="491" t="s">
        <v>1600</v>
      </c>
      <c r="U549" s="491" t="s">
        <v>646</v>
      </c>
      <c r="AA549" s="27"/>
      <c r="AB549" s="27"/>
      <c r="AC549" s="889"/>
      <c r="AD549" s="502"/>
    </row>
    <row r="550" spans="3:30" ht="10.5" customHeight="1">
      <c r="C550" s="1799" t="s">
        <v>5038</v>
      </c>
      <c r="D550" s="1796">
        <v>0</v>
      </c>
      <c r="E550" s="1796">
        <v>0</v>
      </c>
      <c r="F550" s="1797">
        <v>0</v>
      </c>
      <c r="G550" s="1999" t="s">
        <v>5038</v>
      </c>
      <c r="H550" s="1794">
        <v>0</v>
      </c>
      <c r="I550" s="1794">
        <v>0</v>
      </c>
      <c r="J550" s="2000">
        <v>0</v>
      </c>
      <c r="K550" s="1798"/>
      <c r="L550" s="1792">
        <v>13051002300</v>
      </c>
      <c r="M550" s="1793">
        <v>0</v>
      </c>
      <c r="N550" s="1793">
        <v>0</v>
      </c>
      <c r="O550" s="1793">
        <v>0</v>
      </c>
      <c r="P550" s="530" t="s">
        <v>572</v>
      </c>
      <c r="Q550" s="291"/>
      <c r="R550" s="170"/>
      <c r="S550" s="387"/>
      <c r="T550" s="491" t="s">
        <v>2029</v>
      </c>
      <c r="U550" s="491" t="s">
        <v>1074</v>
      </c>
      <c r="AA550" s="27"/>
      <c r="AB550" s="27"/>
      <c r="AC550" s="889"/>
      <c r="AD550" s="502"/>
    </row>
    <row r="551" spans="3:30" ht="10.5" customHeight="1">
      <c r="C551" s="1799" t="s">
        <v>5039</v>
      </c>
      <c r="D551" s="1796">
        <v>0</v>
      </c>
      <c r="E551" s="1796">
        <v>0</v>
      </c>
      <c r="F551" s="1797">
        <v>0</v>
      </c>
      <c r="G551" s="1999" t="s">
        <v>5039</v>
      </c>
      <c r="H551" s="1794">
        <v>0</v>
      </c>
      <c r="I551" s="1794" t="s">
        <v>4483</v>
      </c>
      <c r="J551" s="2000">
        <v>0</v>
      </c>
      <c r="K551" s="1798"/>
      <c r="L551" s="1792">
        <v>13051002600</v>
      </c>
      <c r="M551" s="1793">
        <v>0</v>
      </c>
      <c r="N551" s="1793">
        <v>0</v>
      </c>
      <c r="O551" s="1793">
        <v>0</v>
      </c>
      <c r="P551" s="530" t="s">
        <v>2282</v>
      </c>
      <c r="Q551" s="291"/>
      <c r="R551" s="170"/>
      <c r="S551" s="387"/>
      <c r="T551" s="491" t="s">
        <v>1602</v>
      </c>
      <c r="U551" s="491" t="s">
        <v>1960</v>
      </c>
      <c r="AA551" s="27"/>
      <c r="AB551" s="27"/>
      <c r="AC551" s="889"/>
      <c r="AD551" s="502"/>
    </row>
    <row r="552" spans="3:30" ht="10.5" customHeight="1">
      <c r="C552" s="1799" t="s">
        <v>5040</v>
      </c>
      <c r="D552" s="1796">
        <v>0</v>
      </c>
      <c r="E552" s="1796">
        <v>0</v>
      </c>
      <c r="F552" s="1797">
        <v>0</v>
      </c>
      <c r="G552" s="1999" t="s">
        <v>5040</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5041</v>
      </c>
      <c r="D553" s="1796">
        <v>0</v>
      </c>
      <c r="E553" s="1796">
        <v>0</v>
      </c>
      <c r="F553" s="1797">
        <v>0</v>
      </c>
      <c r="G553" s="1999" t="s">
        <v>5041</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5042</v>
      </c>
      <c r="D554" s="1796">
        <v>1</v>
      </c>
      <c r="E554" s="1796">
        <v>1</v>
      </c>
      <c r="F554" s="1797">
        <v>2</v>
      </c>
      <c r="G554" s="1999" t="s">
        <v>5042</v>
      </c>
      <c r="H554" s="1794">
        <v>1</v>
      </c>
      <c r="I554" s="1794">
        <v>1</v>
      </c>
      <c r="J554" s="2000">
        <v>2</v>
      </c>
      <c r="K554" s="1798"/>
      <c r="L554" s="1792">
        <v>13051002900</v>
      </c>
      <c r="M554" s="1793">
        <v>1</v>
      </c>
      <c r="N554" s="1793">
        <v>1</v>
      </c>
      <c r="O554" s="1793">
        <v>2</v>
      </c>
      <c r="P554" s="530" t="s">
        <v>2225</v>
      </c>
      <c r="Q554" s="291"/>
      <c r="R554" s="170"/>
      <c r="S554" s="387"/>
      <c r="T554" s="491" t="s">
        <v>1239</v>
      </c>
      <c r="U554" s="491" t="s">
        <v>320</v>
      </c>
      <c r="AA554" s="27"/>
      <c r="AB554" s="27"/>
      <c r="AC554" s="889"/>
      <c r="AD554" s="502"/>
    </row>
    <row r="555" spans="3:30" ht="10.5" customHeight="1">
      <c r="C555" s="1799" t="s">
        <v>5043</v>
      </c>
      <c r="D555" s="1796">
        <v>1</v>
      </c>
      <c r="E555" s="1796">
        <v>1</v>
      </c>
      <c r="F555" s="1797">
        <v>2</v>
      </c>
      <c r="G555" s="1999" t="s">
        <v>5043</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5044</v>
      </c>
      <c r="D556" s="1796">
        <v>0</v>
      </c>
      <c r="E556" s="1796">
        <v>0</v>
      </c>
      <c r="F556" s="1797">
        <v>0</v>
      </c>
      <c r="G556" s="1999" t="s">
        <v>5044</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5045</v>
      </c>
      <c r="D557" s="1796">
        <v>0</v>
      </c>
      <c r="E557" s="1796">
        <v>0</v>
      </c>
      <c r="F557" s="1797">
        <v>0</v>
      </c>
      <c r="G557" s="1999" t="s">
        <v>5045</v>
      </c>
      <c r="H557" s="1794">
        <v>0</v>
      </c>
      <c r="I557" s="1794">
        <v>0</v>
      </c>
      <c r="J557" s="200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5046</v>
      </c>
      <c r="D558" s="1796">
        <v>1</v>
      </c>
      <c r="E558" s="1796">
        <v>0</v>
      </c>
      <c r="F558" s="1797">
        <v>1</v>
      </c>
      <c r="G558" s="1999" t="s">
        <v>5046</v>
      </c>
      <c r="H558" s="1794">
        <v>0</v>
      </c>
      <c r="I558" s="1794">
        <v>0</v>
      </c>
      <c r="J558" s="2000">
        <v>0</v>
      </c>
      <c r="K558" s="1798"/>
      <c r="L558" s="1792">
        <v>13051003400</v>
      </c>
      <c r="M558" s="1793">
        <v>1</v>
      </c>
      <c r="N558" s="1793">
        <v>0</v>
      </c>
      <c r="O558" s="1793">
        <v>1</v>
      </c>
      <c r="P558" s="530" t="s">
        <v>2216</v>
      </c>
      <c r="Q558" s="291"/>
      <c r="R558" s="170"/>
      <c r="S558" s="387"/>
      <c r="T558" s="491" t="s">
        <v>2516</v>
      </c>
      <c r="U558" s="491" t="s">
        <v>1305</v>
      </c>
      <c r="AA558" s="27"/>
      <c r="AB558" s="27"/>
      <c r="AC558" s="889"/>
      <c r="AD558" s="502"/>
    </row>
    <row r="559" spans="3:30" ht="10.5" customHeight="1">
      <c r="C559" s="1799" t="s">
        <v>5047</v>
      </c>
      <c r="D559" s="1796">
        <v>0</v>
      </c>
      <c r="E559" s="1796">
        <v>0</v>
      </c>
      <c r="F559" s="1797">
        <v>0</v>
      </c>
      <c r="G559" s="1999" t="s">
        <v>5047</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5048</v>
      </c>
      <c r="D560" s="1796">
        <v>0</v>
      </c>
      <c r="E560" s="1796">
        <v>0</v>
      </c>
      <c r="F560" s="1797">
        <v>0</v>
      </c>
      <c r="G560" s="1999" t="s">
        <v>5048</v>
      </c>
      <c r="H560" s="1794">
        <v>0</v>
      </c>
      <c r="I560" s="1794">
        <v>0</v>
      </c>
      <c r="J560" s="200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5049</v>
      </c>
      <c r="D561" s="1796">
        <v>0</v>
      </c>
      <c r="E561" s="1796">
        <v>0</v>
      </c>
      <c r="F561" s="1797">
        <v>0</v>
      </c>
      <c r="G561" s="1999" t="s">
        <v>5049</v>
      </c>
      <c r="H561" s="1794">
        <v>0</v>
      </c>
      <c r="I561" s="1794" t="s">
        <v>4483</v>
      </c>
      <c r="J561" s="2000">
        <v>0</v>
      </c>
      <c r="K561" s="1798"/>
      <c r="L561" s="1792">
        <v>13051003601</v>
      </c>
      <c r="M561" s="1793">
        <v>0</v>
      </c>
      <c r="N561" s="1793">
        <v>0</v>
      </c>
      <c r="O561" s="1793">
        <v>0</v>
      </c>
      <c r="P561" s="530" t="s">
        <v>390</v>
      </c>
      <c r="Q561" s="291"/>
      <c r="R561" s="170"/>
      <c r="S561" s="387"/>
      <c r="T561" s="531" t="s">
        <v>2527</v>
      </c>
      <c r="U561" s="531" t="s">
        <v>1297</v>
      </c>
      <c r="AA561" s="27"/>
      <c r="AB561" s="27"/>
      <c r="AC561" s="890"/>
      <c r="AD561" s="502"/>
    </row>
    <row r="562" spans="3:30" ht="10.5" customHeight="1">
      <c r="C562" s="1799" t="s">
        <v>5050</v>
      </c>
      <c r="D562" s="1796">
        <v>0</v>
      </c>
      <c r="E562" s="1796">
        <v>0</v>
      </c>
      <c r="F562" s="1797">
        <v>0</v>
      </c>
      <c r="G562" s="1999" t="s">
        <v>5050</v>
      </c>
      <c r="H562" s="1794">
        <v>0</v>
      </c>
      <c r="I562" s="1794">
        <v>0</v>
      </c>
      <c r="J562" s="200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5051</v>
      </c>
      <c r="D563" s="1796">
        <v>0</v>
      </c>
      <c r="E563" s="1796">
        <v>0</v>
      </c>
      <c r="F563" s="1797">
        <v>0</v>
      </c>
      <c r="G563" s="1999" t="s">
        <v>5051</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5052</v>
      </c>
      <c r="D564" s="1796">
        <v>0</v>
      </c>
      <c r="E564" s="1796">
        <v>0</v>
      </c>
      <c r="F564" s="1797">
        <v>0</v>
      </c>
      <c r="G564" s="1999" t="s">
        <v>5052</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5053</v>
      </c>
      <c r="D565" s="1796">
        <v>0</v>
      </c>
      <c r="E565" s="1796">
        <v>0</v>
      </c>
      <c r="F565" s="1797">
        <v>0</v>
      </c>
      <c r="G565" s="1999" t="s">
        <v>5053</v>
      </c>
      <c r="H565" s="1794">
        <v>0</v>
      </c>
      <c r="I565" s="1794" t="s">
        <v>4483</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5054</v>
      </c>
      <c r="D566" s="1796">
        <v>0</v>
      </c>
      <c r="E566" s="1796">
        <v>0</v>
      </c>
      <c r="F566" s="1797">
        <v>0</v>
      </c>
      <c r="G566" s="1999" t="s">
        <v>5054</v>
      </c>
      <c r="H566" s="1794">
        <v>1</v>
      </c>
      <c r="I566" s="1794">
        <v>1</v>
      </c>
      <c r="J566" s="2000">
        <v>2</v>
      </c>
      <c r="K566" s="1798"/>
      <c r="L566" s="1792">
        <v>13051004001</v>
      </c>
      <c r="M566" s="1793">
        <v>1</v>
      </c>
      <c r="N566" s="1793">
        <v>1</v>
      </c>
      <c r="O566" s="1793">
        <v>2</v>
      </c>
      <c r="P566" s="530" t="s">
        <v>2525</v>
      </c>
      <c r="Q566" s="291"/>
      <c r="R566" s="170"/>
      <c r="S566" s="387"/>
      <c r="T566" s="491" t="s">
        <v>688</v>
      </c>
      <c r="U566" s="491" t="s">
        <v>1083</v>
      </c>
      <c r="AA566" s="27"/>
      <c r="AB566" s="27"/>
      <c r="AC566" s="889"/>
      <c r="AD566" s="502"/>
    </row>
    <row r="567" spans="3:30" ht="10.5" customHeight="1">
      <c r="C567" s="1799" t="s">
        <v>5055</v>
      </c>
      <c r="D567" s="1796">
        <v>0</v>
      </c>
      <c r="E567" s="1796">
        <v>0</v>
      </c>
      <c r="F567" s="1797">
        <v>0</v>
      </c>
      <c r="G567" s="1999" t="s">
        <v>5055</v>
      </c>
      <c r="H567" s="1794">
        <v>0</v>
      </c>
      <c r="I567" s="1794">
        <v>0</v>
      </c>
      <c r="J567" s="2000">
        <v>0</v>
      </c>
      <c r="K567" s="1798"/>
      <c r="L567" s="1792">
        <v>13051004002</v>
      </c>
      <c r="M567" s="1793">
        <v>0</v>
      </c>
      <c r="N567" s="1793">
        <v>0</v>
      </c>
      <c r="O567" s="1793">
        <v>0</v>
      </c>
      <c r="P567" s="530" t="s">
        <v>2390</v>
      </c>
      <c r="Q567" s="291"/>
      <c r="R567" s="170"/>
      <c r="S567" s="387"/>
      <c r="T567" s="491" t="s">
        <v>2226</v>
      </c>
      <c r="U567" s="491" t="s">
        <v>1180</v>
      </c>
      <c r="AA567" s="27"/>
      <c r="AB567" s="27"/>
      <c r="AC567" s="889"/>
      <c r="AD567" s="502"/>
    </row>
    <row r="568" spans="3:30" ht="10.5" customHeight="1">
      <c r="C568" s="1799" t="s">
        <v>5056</v>
      </c>
      <c r="D568" s="1796">
        <v>1</v>
      </c>
      <c r="E568" s="1796">
        <v>0</v>
      </c>
      <c r="F568" s="1797">
        <v>1</v>
      </c>
      <c r="G568" s="1999" t="s">
        <v>5056</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5057</v>
      </c>
      <c r="D569" s="1796">
        <v>0</v>
      </c>
      <c r="E569" s="1796">
        <v>0</v>
      </c>
      <c r="F569" s="1797">
        <v>0</v>
      </c>
      <c r="G569" s="1999" t="s">
        <v>5057</v>
      </c>
      <c r="H569" s="1794">
        <v>0</v>
      </c>
      <c r="I569" s="1794">
        <v>0</v>
      </c>
      <c r="J569" s="2000">
        <v>0</v>
      </c>
      <c r="K569" s="1798"/>
      <c r="L569" s="1792">
        <v>13051004207</v>
      </c>
      <c r="M569" s="1793">
        <v>0</v>
      </c>
      <c r="N569" s="1793">
        <v>0</v>
      </c>
      <c r="O569" s="1793">
        <v>0</v>
      </c>
      <c r="P569" s="530" t="s">
        <v>1783</v>
      </c>
      <c r="Q569" s="291"/>
      <c r="R569" s="170"/>
      <c r="S569" s="387"/>
      <c r="T569" s="491" t="s">
        <v>2190</v>
      </c>
      <c r="U569" s="491" t="s">
        <v>1290</v>
      </c>
      <c r="AA569" s="27"/>
      <c r="AB569" s="27"/>
      <c r="AC569" s="889"/>
      <c r="AD569" s="502"/>
    </row>
    <row r="570" spans="3:30" ht="10.5" customHeight="1">
      <c r="C570" s="1799" t="s">
        <v>5058</v>
      </c>
      <c r="D570" s="1796">
        <v>0</v>
      </c>
      <c r="E570" s="1796">
        <v>0</v>
      </c>
      <c r="F570" s="1797">
        <v>0</v>
      </c>
      <c r="G570" s="1999" t="s">
        <v>5058</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5059</v>
      </c>
      <c r="D571" s="1796">
        <v>0</v>
      </c>
      <c r="E571" s="1796">
        <v>0</v>
      </c>
      <c r="F571" s="1797">
        <v>0</v>
      </c>
      <c r="G571" s="1999" t="s">
        <v>5059</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5060</v>
      </c>
      <c r="D572" s="1796">
        <v>0</v>
      </c>
      <c r="E572" s="1796">
        <v>0</v>
      </c>
      <c r="F572" s="1797">
        <v>0</v>
      </c>
      <c r="G572" s="1999" t="s">
        <v>5060</v>
      </c>
      <c r="H572" s="1794">
        <v>0</v>
      </c>
      <c r="I572" s="1794">
        <v>0</v>
      </c>
      <c r="J572" s="2000">
        <v>0</v>
      </c>
      <c r="K572" s="1798"/>
      <c r="L572" s="1792">
        <v>13051004210</v>
      </c>
      <c r="M572" s="1793">
        <v>0</v>
      </c>
      <c r="N572" s="1793">
        <v>0</v>
      </c>
      <c r="O572" s="1793">
        <v>0</v>
      </c>
      <c r="P572" s="530" t="s">
        <v>1788</v>
      </c>
      <c r="Q572" s="291"/>
      <c r="R572" s="170"/>
      <c r="S572" s="387"/>
      <c r="T572" s="491" t="s">
        <v>387</v>
      </c>
      <c r="U572" s="491" t="s">
        <v>2521</v>
      </c>
      <c r="AA572" s="27"/>
      <c r="AB572" s="27"/>
      <c r="AC572" s="889"/>
      <c r="AD572" s="502"/>
    </row>
    <row r="573" spans="3:30" ht="10.5" customHeight="1">
      <c r="C573" s="1799" t="s">
        <v>5061</v>
      </c>
      <c r="D573" s="1796">
        <v>0</v>
      </c>
      <c r="E573" s="1796">
        <v>0</v>
      </c>
      <c r="F573" s="1797">
        <v>0</v>
      </c>
      <c r="G573" s="1999" t="s">
        <v>5061</v>
      </c>
      <c r="H573" s="1794">
        <v>0</v>
      </c>
      <c r="I573" s="1794">
        <v>0</v>
      </c>
      <c r="J573" s="2000">
        <v>0</v>
      </c>
      <c r="K573" s="1798"/>
      <c r="L573" s="1792">
        <v>13051004211</v>
      </c>
      <c r="M573" s="1793">
        <v>0</v>
      </c>
      <c r="N573" s="1793">
        <v>0</v>
      </c>
      <c r="O573" s="1793">
        <v>0</v>
      </c>
      <c r="P573" s="530" t="s">
        <v>1790</v>
      </c>
      <c r="Q573" s="291"/>
      <c r="R573" s="170"/>
      <c r="S573" s="387"/>
      <c r="T573" s="491" t="s">
        <v>389</v>
      </c>
      <c r="U573" s="491" t="s">
        <v>2117</v>
      </c>
      <c r="AA573" s="27"/>
      <c r="AB573" s="27"/>
      <c r="AC573" s="889"/>
      <c r="AD573" s="502"/>
    </row>
    <row r="574" spans="3:30" ht="10.5" customHeight="1">
      <c r="C574" s="1799" t="s">
        <v>5062</v>
      </c>
      <c r="D574" s="1796">
        <v>0</v>
      </c>
      <c r="E574" s="1796">
        <v>1</v>
      </c>
      <c r="F574" s="1797">
        <v>1</v>
      </c>
      <c r="G574" s="1999" t="s">
        <v>5062</v>
      </c>
      <c r="H574" s="1794">
        <v>0</v>
      </c>
      <c r="I574" s="1794">
        <v>1</v>
      </c>
      <c r="J574" s="2000">
        <v>1</v>
      </c>
      <c r="K574" s="1798"/>
      <c r="L574" s="1792">
        <v>13051004212</v>
      </c>
      <c r="M574" s="1793">
        <v>0</v>
      </c>
      <c r="N574" s="1793">
        <v>1</v>
      </c>
      <c r="O574" s="1793">
        <v>1</v>
      </c>
      <c r="P574" s="530" t="s">
        <v>1792</v>
      </c>
      <c r="Q574" s="291"/>
      <c r="R574" s="170"/>
      <c r="S574" s="387"/>
      <c r="T574" s="491" t="s">
        <v>391</v>
      </c>
      <c r="U574" s="491" t="s">
        <v>2464</v>
      </c>
      <c r="AA574" s="27"/>
      <c r="AB574" s="27"/>
      <c r="AC574" s="889"/>
      <c r="AD574" s="502"/>
    </row>
    <row r="575" spans="3:30" ht="10.5" customHeight="1">
      <c r="C575" s="1799" t="s">
        <v>5063</v>
      </c>
      <c r="D575" s="1796">
        <v>0</v>
      </c>
      <c r="E575" s="1796">
        <v>1</v>
      </c>
      <c r="F575" s="1797">
        <v>1</v>
      </c>
      <c r="G575" s="1999" t="s">
        <v>5063</v>
      </c>
      <c r="H575" s="1794">
        <v>0</v>
      </c>
      <c r="I575" s="1794" t="s">
        <v>4483</v>
      </c>
      <c r="J575" s="2000">
        <v>0</v>
      </c>
      <c r="K575" s="1798"/>
      <c r="L575" s="1792">
        <v>13051004300</v>
      </c>
      <c r="M575" s="1793">
        <v>0</v>
      </c>
      <c r="N575" s="1793">
        <v>1</v>
      </c>
      <c r="O575" s="1793">
        <v>1</v>
      </c>
      <c r="P575" s="530" t="s">
        <v>1794</v>
      </c>
      <c r="Q575" s="291"/>
      <c r="R575" s="170"/>
      <c r="S575" s="387"/>
      <c r="T575" s="491" t="s">
        <v>2521</v>
      </c>
      <c r="U575" s="491" t="s">
        <v>1737</v>
      </c>
      <c r="AA575" s="27"/>
      <c r="AB575" s="27"/>
      <c r="AC575" s="889"/>
      <c r="AD575" s="502"/>
    </row>
    <row r="576" spans="3:30" ht="10.5" customHeight="1">
      <c r="C576" s="1799" t="s">
        <v>5064</v>
      </c>
      <c r="D576" s="1796">
        <v>0</v>
      </c>
      <c r="E576" s="1796">
        <v>0</v>
      </c>
      <c r="F576" s="1797">
        <v>0</v>
      </c>
      <c r="G576" s="1999" t="s">
        <v>5064</v>
      </c>
      <c r="H576" s="1794">
        <v>0</v>
      </c>
      <c r="I576" s="1794">
        <v>0</v>
      </c>
      <c r="J576" s="2000">
        <v>0</v>
      </c>
      <c r="K576" s="1798"/>
      <c r="L576" s="1792">
        <v>13051004400</v>
      </c>
      <c r="M576" s="1793">
        <v>0</v>
      </c>
      <c r="N576" s="1793">
        <v>0</v>
      </c>
      <c r="O576" s="1793">
        <v>0</v>
      </c>
      <c r="P576" s="530" t="s">
        <v>1795</v>
      </c>
      <c r="Q576" s="291"/>
      <c r="R576" s="170"/>
      <c r="S576" s="387"/>
      <c r="T576" s="491" t="s">
        <v>1551</v>
      </c>
      <c r="U576" s="491" t="s">
        <v>2422</v>
      </c>
      <c r="AA576" s="27"/>
      <c r="AB576" s="27"/>
      <c r="AC576" s="889"/>
      <c r="AD576" s="502"/>
    </row>
    <row r="577" spans="3:30" ht="10.5" customHeight="1">
      <c r="C577" s="1799" t="s">
        <v>5065</v>
      </c>
      <c r="D577" s="1796">
        <v>0</v>
      </c>
      <c r="E577" s="1796">
        <v>0</v>
      </c>
      <c r="F577" s="1797">
        <v>0</v>
      </c>
      <c r="G577" s="1999" t="s">
        <v>5065</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5066</v>
      </c>
      <c r="D578" s="1796">
        <v>0</v>
      </c>
      <c r="E578" s="1796">
        <v>0</v>
      </c>
      <c r="F578" s="1797">
        <v>0</v>
      </c>
      <c r="G578" s="1999" t="s">
        <v>5066</v>
      </c>
      <c r="H578" s="1794" t="s">
        <v>4483</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5067</v>
      </c>
      <c r="D579" s="1796">
        <v>0</v>
      </c>
      <c r="E579" s="1796">
        <v>0</v>
      </c>
      <c r="F579" s="1797">
        <v>0</v>
      </c>
      <c r="G579" s="1999" t="s">
        <v>5067</v>
      </c>
      <c r="H579" s="1794">
        <v>0</v>
      </c>
      <c r="I579" s="1794">
        <v>0</v>
      </c>
      <c r="J579" s="2000">
        <v>0</v>
      </c>
      <c r="K579" s="1798"/>
      <c r="L579" s="1792">
        <v>13051010102</v>
      </c>
      <c r="M579" s="1793">
        <v>0</v>
      </c>
      <c r="N579" s="1793">
        <v>0</v>
      </c>
      <c r="O579" s="1793">
        <v>0</v>
      </c>
      <c r="P579" s="530" t="s">
        <v>1604</v>
      </c>
      <c r="Q579" s="291"/>
      <c r="R579" s="170"/>
      <c r="S579" s="387"/>
      <c r="T579" s="491" t="s">
        <v>2389</v>
      </c>
      <c r="U579" s="491" t="s">
        <v>2424</v>
      </c>
      <c r="AA579" s="27"/>
      <c r="AB579" s="27"/>
      <c r="AC579" s="889"/>
      <c r="AD579" s="502"/>
    </row>
    <row r="580" spans="3:30" ht="10.5" customHeight="1">
      <c r="C580" s="1799" t="s">
        <v>5068</v>
      </c>
      <c r="D580" s="1796">
        <v>0</v>
      </c>
      <c r="E580" s="1796">
        <v>0</v>
      </c>
      <c r="F580" s="1797">
        <v>0</v>
      </c>
      <c r="G580" s="1999" t="s">
        <v>5068</v>
      </c>
      <c r="H580" s="1794">
        <v>1</v>
      </c>
      <c r="I580" s="1794">
        <v>0</v>
      </c>
      <c r="J580" s="2000">
        <v>1</v>
      </c>
      <c r="K580" s="1798"/>
      <c r="L580" s="1792">
        <v>13051010200</v>
      </c>
      <c r="M580" s="1793">
        <v>1</v>
      </c>
      <c r="N580" s="1793">
        <v>0</v>
      </c>
      <c r="O580" s="1793">
        <v>1</v>
      </c>
      <c r="P580" s="530" t="s">
        <v>1606</v>
      </c>
      <c r="Q580" s="291"/>
      <c r="R580" s="170"/>
      <c r="S580" s="387"/>
      <c r="T580" s="531" t="s">
        <v>1773</v>
      </c>
      <c r="U580" s="531" t="s">
        <v>2522</v>
      </c>
      <c r="AA580" s="27"/>
      <c r="AB580" s="27"/>
      <c r="AC580" s="889"/>
      <c r="AD580" s="502"/>
    </row>
    <row r="581" spans="3:30" ht="10.5" customHeight="1">
      <c r="C581" s="1799" t="s">
        <v>5069</v>
      </c>
      <c r="D581" s="1796">
        <v>0</v>
      </c>
      <c r="E581" s="1796">
        <v>0</v>
      </c>
      <c r="F581" s="1797">
        <v>0</v>
      </c>
      <c r="G581" s="1999" t="s">
        <v>5069</v>
      </c>
      <c r="H581" s="1794">
        <v>0</v>
      </c>
      <c r="I581" s="1794" t="s">
        <v>4483</v>
      </c>
      <c r="J581" s="2000">
        <v>0</v>
      </c>
      <c r="K581" s="1798"/>
      <c r="L581" s="1792">
        <v>13051010501</v>
      </c>
      <c r="M581" s="1793">
        <v>0</v>
      </c>
      <c r="N581" s="1793">
        <v>0</v>
      </c>
      <c r="O581" s="1793">
        <v>0</v>
      </c>
      <c r="P581" s="530" t="s">
        <v>2214</v>
      </c>
      <c r="Q581" s="291"/>
      <c r="R581" s="170"/>
      <c r="S581" s="387"/>
      <c r="T581" s="491" t="s">
        <v>1782</v>
      </c>
      <c r="U581" s="491" t="s">
        <v>101</v>
      </c>
      <c r="AA581" s="27"/>
      <c r="AB581" s="27"/>
      <c r="AC581" s="890"/>
      <c r="AD581" s="502"/>
    </row>
    <row r="582" spans="3:30" ht="10.5" customHeight="1">
      <c r="C582" s="1799" t="s">
        <v>5070</v>
      </c>
      <c r="D582" s="1796">
        <v>0</v>
      </c>
      <c r="E582" s="1796">
        <v>0</v>
      </c>
      <c r="F582" s="1797">
        <v>0</v>
      </c>
      <c r="G582" s="1999" t="s">
        <v>5070</v>
      </c>
      <c r="H582" s="1794">
        <v>0</v>
      </c>
      <c r="I582" s="1794">
        <v>0</v>
      </c>
      <c r="J582" s="2000">
        <v>0</v>
      </c>
      <c r="K582" s="1798"/>
      <c r="L582" s="1792">
        <v>13051010502</v>
      </c>
      <c r="M582" s="1793">
        <v>0</v>
      </c>
      <c r="N582" s="1793">
        <v>0</v>
      </c>
      <c r="O582" s="1793">
        <v>0</v>
      </c>
      <c r="P582" s="530" t="s">
        <v>542</v>
      </c>
      <c r="Q582" s="291"/>
      <c r="R582" s="170"/>
      <c r="S582" s="387"/>
      <c r="T582" s="491" t="s">
        <v>1784</v>
      </c>
      <c r="U582" s="491" t="s">
        <v>2184</v>
      </c>
      <c r="AA582" s="27"/>
      <c r="AB582" s="27"/>
      <c r="AC582" s="889"/>
      <c r="AD582" s="502"/>
    </row>
    <row r="583" spans="3:30" ht="10.5" customHeight="1">
      <c r="C583" s="1799" t="s">
        <v>5071</v>
      </c>
      <c r="D583" s="1796">
        <v>0</v>
      </c>
      <c r="E583" s="1796">
        <v>0</v>
      </c>
      <c r="F583" s="1797">
        <v>0</v>
      </c>
      <c r="G583" s="1999" t="s">
        <v>5071</v>
      </c>
      <c r="H583" s="1794">
        <v>0</v>
      </c>
      <c r="I583" s="1794">
        <v>0</v>
      </c>
      <c r="J583" s="2000">
        <v>0</v>
      </c>
      <c r="K583" s="1798"/>
      <c r="L583" s="1792">
        <v>13051010601</v>
      </c>
      <c r="M583" s="1793">
        <v>0</v>
      </c>
      <c r="N583" s="1793">
        <v>0</v>
      </c>
      <c r="O583" s="1793">
        <v>0</v>
      </c>
      <c r="P583" s="530" t="s">
        <v>544</v>
      </c>
      <c r="Q583" s="291"/>
      <c r="R583" s="170"/>
      <c r="S583" s="387"/>
      <c r="T583" s="491" t="s">
        <v>1787</v>
      </c>
      <c r="U583" s="491" t="s">
        <v>2184</v>
      </c>
      <c r="AA583" s="27"/>
      <c r="AB583" s="27"/>
      <c r="AC583" s="889"/>
      <c r="AD583" s="502"/>
    </row>
    <row r="584" spans="3:30" ht="10.5" customHeight="1">
      <c r="C584" s="1799" t="s">
        <v>5072</v>
      </c>
      <c r="D584" s="1796">
        <v>1</v>
      </c>
      <c r="E584" s="1796">
        <v>0</v>
      </c>
      <c r="F584" s="1797">
        <v>1</v>
      </c>
      <c r="G584" s="1999" t="s">
        <v>5072</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5073</v>
      </c>
      <c r="D585" s="1796" t="s">
        <v>4483</v>
      </c>
      <c r="E585" s="1796" t="s">
        <v>4483</v>
      </c>
      <c r="F585" s="1797">
        <v>0</v>
      </c>
      <c r="G585" s="1999" t="s">
        <v>5073</v>
      </c>
      <c r="H585" s="1794" t="s">
        <v>4483</v>
      </c>
      <c r="I585" s="1794" t="s">
        <v>4483</v>
      </c>
      <c r="J585" s="2000">
        <v>0</v>
      </c>
      <c r="K585" s="1798"/>
      <c r="L585" s="1792">
        <v>13051010605</v>
      </c>
      <c r="M585" s="1793">
        <v>0</v>
      </c>
      <c r="N585" s="1793">
        <v>0</v>
      </c>
      <c r="O585" s="1793">
        <v>0</v>
      </c>
      <c r="P585" s="530" t="s">
        <v>2004</v>
      </c>
      <c r="Q585" s="291"/>
      <c r="R585" s="170"/>
      <c r="S585" s="387"/>
      <c r="T585" s="491" t="s">
        <v>1791</v>
      </c>
      <c r="U585" s="491" t="s">
        <v>1627</v>
      </c>
      <c r="AA585" s="27"/>
      <c r="AB585" s="27"/>
      <c r="AC585" s="889"/>
      <c r="AD585" s="502"/>
    </row>
    <row r="586" spans="3:30" ht="10.5" customHeight="1">
      <c r="C586" s="1799" t="s">
        <v>5074</v>
      </c>
      <c r="D586" s="1796">
        <v>1</v>
      </c>
      <c r="E586" s="1796">
        <v>1</v>
      </c>
      <c r="F586" s="1797">
        <v>2</v>
      </c>
      <c r="G586" s="1999" t="s">
        <v>5074</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5075</v>
      </c>
      <c r="D587" s="1796">
        <v>1</v>
      </c>
      <c r="E587" s="1796">
        <v>0</v>
      </c>
      <c r="F587" s="1797">
        <v>1</v>
      </c>
      <c r="G587" s="1999" t="s">
        <v>5075</v>
      </c>
      <c r="H587" s="1794">
        <v>1</v>
      </c>
      <c r="I587" s="1794">
        <v>0</v>
      </c>
      <c r="J587" s="2000">
        <v>1</v>
      </c>
      <c r="K587" s="1798"/>
      <c r="L587" s="1792">
        <v>13051010801</v>
      </c>
      <c r="M587" s="1793">
        <v>1</v>
      </c>
      <c r="N587" s="1793">
        <v>0</v>
      </c>
      <c r="O587" s="1793">
        <v>1</v>
      </c>
      <c r="P587" s="530" t="s">
        <v>1420</v>
      </c>
      <c r="Q587" s="291"/>
      <c r="R587" s="170"/>
      <c r="S587" s="387"/>
      <c r="T587" s="491" t="s">
        <v>2522</v>
      </c>
      <c r="U587" s="491" t="s">
        <v>103</v>
      </c>
      <c r="AA587" s="27"/>
      <c r="AB587" s="27"/>
      <c r="AC587" s="889"/>
      <c r="AD587" s="502"/>
    </row>
    <row r="588" spans="3:30" ht="10.5" customHeight="1">
      <c r="C588" s="1799" t="s">
        <v>5076</v>
      </c>
      <c r="D588" s="1796">
        <v>1</v>
      </c>
      <c r="E588" s="1796">
        <v>1</v>
      </c>
      <c r="F588" s="1797">
        <v>2</v>
      </c>
      <c r="G588" s="1999" t="s">
        <v>5076</v>
      </c>
      <c r="H588" s="1794">
        <v>1</v>
      </c>
      <c r="I588" s="1794">
        <v>1</v>
      </c>
      <c r="J588" s="2000">
        <v>2</v>
      </c>
      <c r="K588" s="1798"/>
      <c r="L588" s="1792">
        <v>13051010802</v>
      </c>
      <c r="M588" s="1793">
        <v>1</v>
      </c>
      <c r="N588" s="1793">
        <v>1</v>
      </c>
      <c r="O588" s="1793">
        <v>2</v>
      </c>
      <c r="P588" s="530" t="s">
        <v>1421</v>
      </c>
      <c r="Q588" s="291"/>
      <c r="R588" s="170"/>
      <c r="S588" s="387"/>
      <c r="T588" s="491" t="s">
        <v>1898</v>
      </c>
      <c r="U588" s="491" t="s">
        <v>105</v>
      </c>
      <c r="AA588" s="27"/>
      <c r="AB588" s="27"/>
      <c r="AC588" s="889"/>
      <c r="AD588" s="502"/>
    </row>
    <row r="589" spans="3:30" ht="10.5" customHeight="1">
      <c r="C589" s="1799" t="s">
        <v>5077</v>
      </c>
      <c r="D589" s="1796">
        <v>1</v>
      </c>
      <c r="E589" s="1796">
        <v>1</v>
      </c>
      <c r="F589" s="1797">
        <v>2</v>
      </c>
      <c r="G589" s="1999" t="s">
        <v>5077</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5078</v>
      </c>
      <c r="D590" s="1796">
        <v>1</v>
      </c>
      <c r="E590" s="1796">
        <v>1</v>
      </c>
      <c r="F590" s="1797">
        <v>2</v>
      </c>
      <c r="G590" s="1999" t="s">
        <v>5078</v>
      </c>
      <c r="H590" s="1794">
        <v>0</v>
      </c>
      <c r="I590" s="1794" t="s">
        <v>4483</v>
      </c>
      <c r="J590" s="2000">
        <v>0</v>
      </c>
      <c r="K590" s="1798"/>
      <c r="L590" s="1792">
        <v>13051010806</v>
      </c>
      <c r="M590" s="1793">
        <v>1</v>
      </c>
      <c r="N590" s="1793">
        <v>1</v>
      </c>
      <c r="O590" s="1793">
        <v>2</v>
      </c>
      <c r="P590" s="530" t="s">
        <v>2068</v>
      </c>
      <c r="Q590" s="291"/>
      <c r="R590" s="170"/>
      <c r="S590" s="387"/>
      <c r="T590" s="491" t="s">
        <v>2523</v>
      </c>
      <c r="U590" s="491" t="s">
        <v>1293</v>
      </c>
      <c r="AA590" s="27"/>
      <c r="AB590" s="27"/>
      <c r="AC590" s="889"/>
      <c r="AD590" s="502"/>
    </row>
    <row r="591" spans="3:30" ht="10.5" customHeight="1">
      <c r="C591" s="1799" t="s">
        <v>5079</v>
      </c>
      <c r="D591" s="1796">
        <v>1</v>
      </c>
      <c r="E591" s="1796">
        <v>1</v>
      </c>
      <c r="F591" s="1797">
        <v>2</v>
      </c>
      <c r="G591" s="1999" t="s">
        <v>5079</v>
      </c>
      <c r="H591" s="1794">
        <v>1</v>
      </c>
      <c r="I591" s="1794">
        <v>1</v>
      </c>
      <c r="J591" s="2000">
        <v>2</v>
      </c>
      <c r="K591" s="1798"/>
      <c r="L591" s="1792">
        <v>13051010807</v>
      </c>
      <c r="M591" s="1793">
        <v>1</v>
      </c>
      <c r="N591" s="1793">
        <v>1</v>
      </c>
      <c r="O591" s="1793">
        <v>2</v>
      </c>
      <c r="P591" s="530" t="s">
        <v>2070</v>
      </c>
      <c r="Q591" s="291"/>
      <c r="R591" s="170"/>
      <c r="S591" s="387"/>
      <c r="T591" s="531" t="s">
        <v>1605</v>
      </c>
      <c r="U591" s="531" t="s">
        <v>2117</v>
      </c>
      <c r="AA591" s="27"/>
      <c r="AB591" s="27"/>
      <c r="AC591" s="889"/>
      <c r="AD591" s="502"/>
    </row>
    <row r="592" spans="3:30" ht="10.5" customHeight="1">
      <c r="C592" s="1799" t="s">
        <v>5080</v>
      </c>
      <c r="D592" s="1796">
        <v>1</v>
      </c>
      <c r="E592" s="1796">
        <v>0</v>
      </c>
      <c r="F592" s="1797">
        <v>1</v>
      </c>
      <c r="G592" s="1999" t="s">
        <v>5080</v>
      </c>
      <c r="H592" s="1794">
        <v>1</v>
      </c>
      <c r="I592" s="1794">
        <v>0</v>
      </c>
      <c r="J592" s="2000">
        <v>1</v>
      </c>
      <c r="K592" s="1798"/>
      <c r="L592" s="1792">
        <v>13051010808</v>
      </c>
      <c r="M592" s="1793">
        <v>1</v>
      </c>
      <c r="N592" s="1793">
        <v>0</v>
      </c>
      <c r="O592" s="1793">
        <v>1</v>
      </c>
      <c r="P592" s="530" t="s">
        <v>2072</v>
      </c>
      <c r="Q592" s="291"/>
      <c r="R592" s="170"/>
      <c r="S592" s="387"/>
      <c r="T592" s="491" t="s">
        <v>811</v>
      </c>
      <c r="U592" s="491" t="s">
        <v>2124</v>
      </c>
      <c r="AA592" s="27"/>
      <c r="AB592" s="27"/>
      <c r="AC592" s="890"/>
      <c r="AD592" s="502"/>
    </row>
    <row r="593" spans="3:30" ht="10.5" customHeight="1">
      <c r="C593" s="1799" t="s">
        <v>5081</v>
      </c>
      <c r="D593" s="1796">
        <v>1</v>
      </c>
      <c r="E593" s="1796">
        <v>1</v>
      </c>
      <c r="F593" s="1797">
        <v>2</v>
      </c>
      <c r="G593" s="1999" t="s">
        <v>5081</v>
      </c>
      <c r="H593" s="1794">
        <v>1</v>
      </c>
      <c r="I593" s="1794">
        <v>1</v>
      </c>
      <c r="J593" s="2000">
        <v>2</v>
      </c>
      <c r="K593" s="1798"/>
      <c r="L593" s="1792">
        <v>13051010809</v>
      </c>
      <c r="M593" s="1793">
        <v>1</v>
      </c>
      <c r="N593" s="1793">
        <v>1</v>
      </c>
      <c r="O593" s="1793">
        <v>2</v>
      </c>
      <c r="P593" s="530" t="s">
        <v>1412</v>
      </c>
      <c r="Q593" s="291"/>
      <c r="R593" s="170"/>
      <c r="S593" s="387"/>
      <c r="T593" s="491" t="s">
        <v>2213</v>
      </c>
      <c r="U593" s="491" t="s">
        <v>1629</v>
      </c>
      <c r="AA593" s="27"/>
      <c r="AB593" s="27"/>
      <c r="AC593" s="889"/>
      <c r="AD593" s="502"/>
    </row>
    <row r="594" spans="3:30" ht="10.5" customHeight="1">
      <c r="C594" s="1799" t="s">
        <v>5082</v>
      </c>
      <c r="D594" s="1796">
        <v>0</v>
      </c>
      <c r="E594" s="1796">
        <v>0</v>
      </c>
      <c r="F594" s="1797">
        <v>0</v>
      </c>
      <c r="G594" s="1999" t="s">
        <v>5082</v>
      </c>
      <c r="H594" s="1794">
        <v>0</v>
      </c>
      <c r="I594" s="1794">
        <v>0</v>
      </c>
      <c r="J594" s="2000">
        <v>0</v>
      </c>
      <c r="K594" s="1798"/>
      <c r="L594" s="1792">
        <v>13051010901</v>
      </c>
      <c r="M594" s="1793">
        <v>0</v>
      </c>
      <c r="N594" s="1793">
        <v>0</v>
      </c>
      <c r="O594" s="1793">
        <v>0</v>
      </c>
      <c r="P594" s="530" t="s">
        <v>1414</v>
      </c>
      <c r="Q594" s="291"/>
      <c r="R594" s="170"/>
      <c r="S594" s="387"/>
      <c r="T594" s="491" t="s">
        <v>2215</v>
      </c>
      <c r="U594" s="491" t="s">
        <v>2121</v>
      </c>
      <c r="AA594" s="27"/>
      <c r="AB594" s="27"/>
      <c r="AC594" s="889"/>
      <c r="AD594" s="502"/>
    </row>
    <row r="595" spans="3:30" ht="10.5" customHeight="1">
      <c r="C595" s="1799" t="s">
        <v>5083</v>
      </c>
      <c r="D595" s="1796">
        <v>1</v>
      </c>
      <c r="E595" s="1796">
        <v>1</v>
      </c>
      <c r="F595" s="1797">
        <v>2</v>
      </c>
      <c r="G595" s="1999" t="s">
        <v>5083</v>
      </c>
      <c r="H595" s="1794">
        <v>1</v>
      </c>
      <c r="I595" s="1794">
        <v>0</v>
      </c>
      <c r="J595" s="2000">
        <v>1</v>
      </c>
      <c r="K595" s="1798"/>
      <c r="L595" s="1792">
        <v>13051011003</v>
      </c>
      <c r="M595" s="1793">
        <v>1</v>
      </c>
      <c r="N595" s="1793">
        <v>1</v>
      </c>
      <c r="O595" s="1793">
        <v>2</v>
      </c>
      <c r="P595" s="530" t="s">
        <v>1522</v>
      </c>
      <c r="Q595" s="291"/>
      <c r="R595" s="170"/>
      <c r="S595" s="387"/>
      <c r="T595" s="491" t="s">
        <v>543</v>
      </c>
      <c r="U595" s="491" t="s">
        <v>2521</v>
      </c>
      <c r="AA595" s="27"/>
      <c r="AB595" s="27"/>
      <c r="AC595" s="889"/>
      <c r="AD595" s="502"/>
    </row>
    <row r="596" spans="3:30" ht="10.5" customHeight="1">
      <c r="C596" s="1799" t="s">
        <v>5084</v>
      </c>
      <c r="D596" s="1796">
        <v>1</v>
      </c>
      <c r="E596" s="1796">
        <v>1</v>
      </c>
      <c r="F596" s="1797">
        <v>2</v>
      </c>
      <c r="G596" s="1999" t="s">
        <v>5084</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5085</v>
      </c>
      <c r="D597" s="1796">
        <v>1</v>
      </c>
      <c r="E597" s="1796">
        <v>1</v>
      </c>
      <c r="F597" s="1797">
        <v>2</v>
      </c>
      <c r="G597" s="1999" t="s">
        <v>5085</v>
      </c>
      <c r="H597" s="1794">
        <v>0</v>
      </c>
      <c r="I597" s="1794">
        <v>1</v>
      </c>
      <c r="J597" s="2000">
        <v>1</v>
      </c>
      <c r="K597" s="1798"/>
      <c r="L597" s="1792">
        <v>13051011005</v>
      </c>
      <c r="M597" s="1793">
        <v>1</v>
      </c>
      <c r="N597" s="1793">
        <v>1</v>
      </c>
      <c r="O597" s="1793">
        <v>2</v>
      </c>
      <c r="P597" s="530" t="s">
        <v>2002</v>
      </c>
      <c r="Q597" s="291"/>
      <c r="R597" s="170"/>
      <c r="S597" s="387"/>
      <c r="T597" s="491" t="s">
        <v>1041</v>
      </c>
      <c r="U597" s="491" t="s">
        <v>610</v>
      </c>
      <c r="AA597" s="27"/>
      <c r="AB597" s="27"/>
      <c r="AC597" s="889"/>
      <c r="AD597" s="502"/>
    </row>
    <row r="598" spans="3:30" ht="10.5" customHeight="1">
      <c r="C598" s="1799" t="s">
        <v>5086</v>
      </c>
      <c r="D598" s="1796">
        <v>1</v>
      </c>
      <c r="E598" s="1796">
        <v>1</v>
      </c>
      <c r="F598" s="1797">
        <v>2</v>
      </c>
      <c r="G598" s="1999" t="s">
        <v>5086</v>
      </c>
      <c r="H598" s="1794">
        <v>1</v>
      </c>
      <c r="I598" s="1794">
        <v>1</v>
      </c>
      <c r="J598" s="2000">
        <v>2</v>
      </c>
      <c r="K598" s="1798"/>
      <c r="L598" s="1792">
        <v>13051011006</v>
      </c>
      <c r="M598" s="1793">
        <v>1</v>
      </c>
      <c r="N598" s="1793">
        <v>1</v>
      </c>
      <c r="O598" s="1793">
        <v>2</v>
      </c>
      <c r="P598" s="530" t="s">
        <v>1824</v>
      </c>
      <c r="Q598" s="291"/>
      <c r="R598" s="170"/>
      <c r="S598" s="387"/>
      <c r="T598" s="491" t="s">
        <v>547</v>
      </c>
      <c r="U598" s="491" t="s">
        <v>1626</v>
      </c>
      <c r="AA598" s="27"/>
      <c r="AB598" s="27"/>
      <c r="AC598" s="889"/>
      <c r="AD598" s="502"/>
    </row>
    <row r="599" spans="3:30" ht="10.5" customHeight="1">
      <c r="C599" s="1799" t="s">
        <v>5087</v>
      </c>
      <c r="D599" s="1796">
        <v>1</v>
      </c>
      <c r="E599" s="1796">
        <v>1</v>
      </c>
      <c r="F599" s="1797">
        <v>2</v>
      </c>
      <c r="G599" s="1999" t="s">
        <v>5087</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5088</v>
      </c>
      <c r="D600" s="1796">
        <v>1</v>
      </c>
      <c r="E600" s="1796">
        <v>1</v>
      </c>
      <c r="F600" s="1797">
        <v>2</v>
      </c>
      <c r="G600" s="1999" t="s">
        <v>5088</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5089</v>
      </c>
      <c r="D601" s="1796">
        <v>1</v>
      </c>
      <c r="E601" s="1796">
        <v>1</v>
      </c>
      <c r="F601" s="1797">
        <v>2</v>
      </c>
      <c r="G601" s="1999" t="s">
        <v>5089</v>
      </c>
      <c r="H601" s="1794">
        <v>1</v>
      </c>
      <c r="I601" s="1794">
        <v>1</v>
      </c>
      <c r="J601" s="2000">
        <v>2</v>
      </c>
      <c r="K601" s="1798"/>
      <c r="L601" s="1792">
        <v>13051011106</v>
      </c>
      <c r="M601" s="1793">
        <v>1</v>
      </c>
      <c r="N601" s="1793">
        <v>1</v>
      </c>
      <c r="O601" s="1793">
        <v>2</v>
      </c>
      <c r="P601" s="530" t="s">
        <v>256</v>
      </c>
      <c r="Q601" s="291"/>
      <c r="R601" s="170"/>
      <c r="S601" s="387"/>
      <c r="T601" s="491" t="s">
        <v>2765</v>
      </c>
      <c r="U601" s="491" t="s">
        <v>1292</v>
      </c>
      <c r="AA601" s="27"/>
      <c r="AB601" s="27"/>
      <c r="AC601" s="889"/>
      <c r="AD601" s="502"/>
    </row>
    <row r="602" spans="3:30" ht="10.5" customHeight="1">
      <c r="C602" s="1799" t="s">
        <v>5090</v>
      </c>
      <c r="D602" s="1796">
        <v>1</v>
      </c>
      <c r="E602" s="1796">
        <v>1</v>
      </c>
      <c r="F602" s="1797">
        <v>2</v>
      </c>
      <c r="G602" s="1999" t="s">
        <v>5090</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5091</v>
      </c>
      <c r="D603" s="1796">
        <v>1</v>
      </c>
      <c r="E603" s="1796">
        <v>1</v>
      </c>
      <c r="F603" s="1797">
        <v>2</v>
      </c>
      <c r="G603" s="1999" t="s">
        <v>5091</v>
      </c>
      <c r="H603" s="1794">
        <v>1</v>
      </c>
      <c r="I603" s="1794">
        <v>1</v>
      </c>
      <c r="J603" s="2000">
        <v>2</v>
      </c>
      <c r="K603" s="1798"/>
      <c r="L603" s="1792">
        <v>13051011108</v>
      </c>
      <c r="M603" s="1793">
        <v>1</v>
      </c>
      <c r="N603" s="1793">
        <v>1</v>
      </c>
      <c r="O603" s="1793">
        <v>2</v>
      </c>
      <c r="P603" s="530" t="s">
        <v>1160</v>
      </c>
      <c r="Q603" s="291"/>
      <c r="R603" s="170"/>
      <c r="S603" s="387"/>
      <c r="T603" s="491" t="s">
        <v>2766</v>
      </c>
      <c r="U603" s="491" t="s">
        <v>118</v>
      </c>
      <c r="AA603" s="27"/>
      <c r="AB603" s="27"/>
      <c r="AC603" s="889"/>
      <c r="AD603" s="502"/>
    </row>
    <row r="604" spans="3:30" ht="10.5" customHeight="1">
      <c r="C604" s="1799" t="s">
        <v>5092</v>
      </c>
      <c r="D604" s="1796">
        <v>1</v>
      </c>
      <c r="E604" s="1796">
        <v>1</v>
      </c>
      <c r="F604" s="1797">
        <v>2</v>
      </c>
      <c r="G604" s="1999" t="s">
        <v>5092</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5093</v>
      </c>
      <c r="D605" s="1796">
        <v>0</v>
      </c>
      <c r="E605" s="1796">
        <v>1</v>
      </c>
      <c r="F605" s="1797">
        <v>1</v>
      </c>
      <c r="G605" s="1999" t="s">
        <v>5093</v>
      </c>
      <c r="H605" s="1794">
        <v>0</v>
      </c>
      <c r="I605" s="1794">
        <v>1</v>
      </c>
      <c r="J605" s="2000">
        <v>1</v>
      </c>
      <c r="K605" s="1798"/>
      <c r="L605" s="1792">
        <v>13051011200</v>
      </c>
      <c r="M605" s="1793">
        <v>0</v>
      </c>
      <c r="N605" s="1793">
        <v>1</v>
      </c>
      <c r="O605" s="1793">
        <v>1</v>
      </c>
      <c r="P605" s="530" t="s">
        <v>727</v>
      </c>
      <c r="Q605" s="291"/>
      <c r="R605" s="170"/>
      <c r="S605" s="387"/>
      <c r="T605" s="491" t="s">
        <v>2069</v>
      </c>
      <c r="U605" s="491" t="s">
        <v>1600</v>
      </c>
      <c r="AA605" s="27"/>
      <c r="AB605" s="27"/>
      <c r="AC605" s="889"/>
      <c r="AD605" s="502"/>
    </row>
    <row r="606" spans="3:30" ht="10.5" customHeight="1">
      <c r="C606" s="1799" t="s">
        <v>5094</v>
      </c>
      <c r="D606" s="1796">
        <v>0</v>
      </c>
      <c r="E606" s="1796">
        <v>0</v>
      </c>
      <c r="F606" s="1797">
        <v>0</v>
      </c>
      <c r="G606" s="1999" t="s">
        <v>5094</v>
      </c>
      <c r="H606" s="1794">
        <v>0</v>
      </c>
      <c r="I606" s="1794">
        <v>0</v>
      </c>
      <c r="J606" s="2000">
        <v>0</v>
      </c>
      <c r="K606" s="1798"/>
      <c r="L606" s="1792">
        <v>13051011300</v>
      </c>
      <c r="M606" s="1793">
        <v>0</v>
      </c>
      <c r="N606" s="1793">
        <v>0</v>
      </c>
      <c r="O606" s="1793">
        <v>0</v>
      </c>
      <c r="P606" s="530" t="s">
        <v>1005</v>
      </c>
      <c r="Q606" s="291"/>
      <c r="R606" s="170"/>
      <c r="S606" s="387"/>
      <c r="T606" s="491" t="s">
        <v>2071</v>
      </c>
      <c r="U606" s="491" t="s">
        <v>1298</v>
      </c>
      <c r="AA606" s="27"/>
      <c r="AB606" s="27"/>
      <c r="AC606" s="889"/>
      <c r="AD606" s="502"/>
    </row>
    <row r="607" spans="3:30" ht="10.5" customHeight="1">
      <c r="C607" s="1799" t="s">
        <v>5095</v>
      </c>
      <c r="D607" s="1796">
        <v>0</v>
      </c>
      <c r="E607" s="1796">
        <v>0</v>
      </c>
      <c r="F607" s="1797">
        <v>0</v>
      </c>
      <c r="G607" s="1999" t="s">
        <v>5095</v>
      </c>
      <c r="H607" s="1794">
        <v>0</v>
      </c>
      <c r="I607" s="1794" t="s">
        <v>4483</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5096</v>
      </c>
      <c r="D608" s="1796">
        <v>1</v>
      </c>
      <c r="E608" s="1796">
        <v>1</v>
      </c>
      <c r="F608" s="1797">
        <v>2</v>
      </c>
      <c r="G608" s="1999" t="s">
        <v>5096</v>
      </c>
      <c r="H608" s="1794">
        <v>1</v>
      </c>
      <c r="I608" s="1794">
        <v>1</v>
      </c>
      <c r="J608" s="2000">
        <v>1</v>
      </c>
      <c r="K608" s="1798"/>
      <c r="L608" s="1792">
        <v>13051011500</v>
      </c>
      <c r="M608" s="1793">
        <v>1</v>
      </c>
      <c r="N608" s="1793">
        <v>1</v>
      </c>
      <c r="O608" s="1793">
        <v>2</v>
      </c>
      <c r="P608" s="530" t="s">
        <v>1768</v>
      </c>
      <c r="Q608" s="291"/>
      <c r="R608" s="170"/>
      <c r="S608" s="387"/>
      <c r="T608" s="491" t="s">
        <v>2767</v>
      </c>
      <c r="U608" s="491" t="s">
        <v>325</v>
      </c>
      <c r="AA608" s="27"/>
      <c r="AB608" s="27"/>
      <c r="AC608" s="890"/>
      <c r="AD608" s="502"/>
    </row>
    <row r="609" spans="3:30" ht="10.5" customHeight="1">
      <c r="C609" s="1799" t="s">
        <v>5097</v>
      </c>
      <c r="D609" s="1796">
        <v>0</v>
      </c>
      <c r="E609" s="1796">
        <v>0</v>
      </c>
      <c r="F609" s="1797">
        <v>0</v>
      </c>
      <c r="G609" s="1999" t="s">
        <v>5097</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5098</v>
      </c>
      <c r="D610" s="1796" t="s">
        <v>4483</v>
      </c>
      <c r="E610" s="1796" t="s">
        <v>4483</v>
      </c>
      <c r="F610" s="1797">
        <v>0</v>
      </c>
      <c r="G610" s="1999" t="s">
        <v>5098</v>
      </c>
      <c r="H610" s="1794" t="s">
        <v>4483</v>
      </c>
      <c r="I610" s="1794" t="s">
        <v>4483</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5099</v>
      </c>
      <c r="D611" s="1796" t="s">
        <v>4483</v>
      </c>
      <c r="E611" s="1796" t="s">
        <v>4483</v>
      </c>
      <c r="F611" s="1797">
        <v>0</v>
      </c>
      <c r="G611" s="1999" t="s">
        <v>5099</v>
      </c>
      <c r="H611" s="1794" t="s">
        <v>4483</v>
      </c>
      <c r="I611" s="1794" t="s">
        <v>4483</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5100</v>
      </c>
      <c r="D612" s="1796">
        <v>0</v>
      </c>
      <c r="E612" s="1796">
        <v>0</v>
      </c>
      <c r="F612" s="1797">
        <v>0</v>
      </c>
      <c r="G612" s="1999" t="s">
        <v>5100</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5101</v>
      </c>
      <c r="D613" s="1796">
        <v>0</v>
      </c>
      <c r="E613" s="1796">
        <v>1</v>
      </c>
      <c r="F613" s="1797">
        <v>1</v>
      </c>
      <c r="G613" s="1999" t="s">
        <v>5101</v>
      </c>
      <c r="H613" s="1794">
        <v>0</v>
      </c>
      <c r="I613" s="1794" t="s">
        <v>4483</v>
      </c>
      <c r="J613" s="2000">
        <v>0</v>
      </c>
      <c r="K613" s="1798"/>
      <c r="L613" s="1792">
        <v>13053020201</v>
      </c>
      <c r="M613" s="1793">
        <v>0</v>
      </c>
      <c r="N613" s="1793">
        <v>1</v>
      </c>
      <c r="O613" s="1793">
        <v>1</v>
      </c>
      <c r="P613" s="530" t="s">
        <v>1</v>
      </c>
      <c r="Q613" s="291"/>
      <c r="R613" s="170"/>
      <c r="S613" s="387"/>
      <c r="T613" s="491" t="s">
        <v>2003</v>
      </c>
      <c r="U613" s="491" t="s">
        <v>931</v>
      </c>
      <c r="AA613" s="27"/>
      <c r="AB613" s="27"/>
      <c r="AC613" s="889"/>
      <c r="AD613" s="502"/>
    </row>
    <row r="614" spans="3:30" ht="10.5" customHeight="1">
      <c r="C614" s="1799" t="s">
        <v>5102</v>
      </c>
      <c r="D614" s="1796">
        <v>0</v>
      </c>
      <c r="E614" s="1796">
        <v>1</v>
      </c>
      <c r="F614" s="1797">
        <v>1</v>
      </c>
      <c r="G614" s="1999" t="s">
        <v>5102</v>
      </c>
      <c r="H614" s="1794">
        <v>0</v>
      </c>
      <c r="I614" s="1794" t="s">
        <v>4483</v>
      </c>
      <c r="J614" s="200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5103</v>
      </c>
      <c r="D615" s="1796">
        <v>0</v>
      </c>
      <c r="E615" s="1796">
        <v>1</v>
      </c>
      <c r="F615" s="1797">
        <v>1</v>
      </c>
      <c r="G615" s="1999" t="s">
        <v>5103</v>
      </c>
      <c r="H615" s="1794">
        <v>0</v>
      </c>
      <c r="I615" s="1794" t="s">
        <v>4483</v>
      </c>
      <c r="J615" s="200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5104</v>
      </c>
      <c r="D616" s="1796" t="s">
        <v>4483</v>
      </c>
      <c r="E616" s="1796" t="s">
        <v>4483</v>
      </c>
      <c r="F616" s="1797">
        <v>0</v>
      </c>
      <c r="G616" s="1999" t="s">
        <v>5104</v>
      </c>
      <c r="H616" s="1794" t="s">
        <v>4483</v>
      </c>
      <c r="I616" s="1794" t="s">
        <v>4483</v>
      </c>
      <c r="J616" s="2000">
        <v>0</v>
      </c>
      <c r="K616" s="1798"/>
      <c r="L616" s="1792">
        <v>13053020206</v>
      </c>
      <c r="M616" s="1793">
        <v>0</v>
      </c>
      <c r="N616" s="1793">
        <v>0</v>
      </c>
      <c r="O616" s="1793">
        <v>0</v>
      </c>
      <c r="P616" s="530" t="s">
        <v>7</v>
      </c>
      <c r="Q616" s="291"/>
      <c r="R616" s="170"/>
      <c r="S616" s="387"/>
      <c r="T616" s="491" t="s">
        <v>1643</v>
      </c>
      <c r="U616" s="491" t="s">
        <v>2126</v>
      </c>
      <c r="AA616" s="27"/>
      <c r="AB616" s="27"/>
      <c r="AC616" s="890"/>
      <c r="AD616" s="502"/>
    </row>
    <row r="617" spans="3:30" ht="10.5" customHeight="1">
      <c r="C617" s="1799" t="s">
        <v>5105</v>
      </c>
      <c r="D617" s="1796">
        <v>0</v>
      </c>
      <c r="E617" s="1796">
        <v>0</v>
      </c>
      <c r="F617" s="1797">
        <v>0</v>
      </c>
      <c r="G617" s="1999" t="s">
        <v>5105</v>
      </c>
      <c r="H617" s="1794">
        <v>0</v>
      </c>
      <c r="I617" s="1794">
        <v>0</v>
      </c>
      <c r="J617" s="2000">
        <v>0</v>
      </c>
      <c r="K617" s="1798"/>
      <c r="L617" s="1792">
        <v>13055010100</v>
      </c>
      <c r="M617" s="1793">
        <v>0</v>
      </c>
      <c r="N617" s="1793">
        <v>0</v>
      </c>
      <c r="O617" s="1793">
        <v>0</v>
      </c>
      <c r="P617" s="530" t="s">
        <v>2092</v>
      </c>
      <c r="Q617" s="291"/>
      <c r="R617" s="170"/>
      <c r="S617" s="387"/>
      <c r="T617" s="491" t="s">
        <v>257</v>
      </c>
      <c r="U617" s="491" t="s">
        <v>649</v>
      </c>
      <c r="AA617" s="27"/>
      <c r="AB617" s="27"/>
      <c r="AC617" s="889"/>
      <c r="AD617" s="502"/>
    </row>
    <row r="618" spans="3:30" ht="10.5" customHeight="1">
      <c r="C618" s="1799" t="s">
        <v>5106</v>
      </c>
      <c r="D618" s="1796">
        <v>0</v>
      </c>
      <c r="E618" s="1796">
        <v>0</v>
      </c>
      <c r="F618" s="1797">
        <v>0</v>
      </c>
      <c r="G618" s="1999" t="s">
        <v>5106</v>
      </c>
      <c r="H618" s="1794">
        <v>0</v>
      </c>
      <c r="I618" s="1794">
        <v>0</v>
      </c>
      <c r="J618" s="2000">
        <v>0</v>
      </c>
      <c r="K618" s="1798"/>
      <c r="L618" s="1792">
        <v>13055010200</v>
      </c>
      <c r="M618" s="1793">
        <v>0</v>
      </c>
      <c r="N618" s="1793">
        <v>0</v>
      </c>
      <c r="O618" s="1793">
        <v>0</v>
      </c>
      <c r="P618" s="530" t="s">
        <v>2094</v>
      </c>
      <c r="Q618" s="291"/>
      <c r="R618" s="170"/>
      <c r="S618" s="387"/>
      <c r="T618" s="491" t="s">
        <v>1159</v>
      </c>
      <c r="U618" s="491" t="s">
        <v>155</v>
      </c>
      <c r="AA618" s="27"/>
      <c r="AB618" s="27"/>
      <c r="AC618" s="889"/>
      <c r="AD618" s="502"/>
    </row>
    <row r="619" spans="3:30" ht="10.5" customHeight="1">
      <c r="C619" s="1799" t="s">
        <v>5107</v>
      </c>
      <c r="D619" s="1796">
        <v>0</v>
      </c>
      <c r="E619" s="1796">
        <v>0</v>
      </c>
      <c r="F619" s="1797">
        <v>0</v>
      </c>
      <c r="G619" s="1999" t="s">
        <v>5107</v>
      </c>
      <c r="H619" s="1794">
        <v>0</v>
      </c>
      <c r="I619" s="1794" t="s">
        <v>4483</v>
      </c>
      <c r="J619" s="2000">
        <v>0</v>
      </c>
      <c r="K619" s="1798"/>
      <c r="L619" s="1792">
        <v>13055010300</v>
      </c>
      <c r="M619" s="1793">
        <v>0</v>
      </c>
      <c r="N619" s="1793">
        <v>0</v>
      </c>
      <c r="O619" s="1793">
        <v>0</v>
      </c>
      <c r="P619" s="530" t="s">
        <v>2096</v>
      </c>
      <c r="Q619" s="291"/>
      <c r="R619" s="170"/>
      <c r="S619" s="387"/>
      <c r="T619" s="491" t="s">
        <v>1161</v>
      </c>
      <c r="U619" s="491" t="s">
        <v>155</v>
      </c>
      <c r="AA619" s="27"/>
      <c r="AB619" s="27"/>
      <c r="AC619" s="889"/>
      <c r="AD619" s="502"/>
    </row>
    <row r="620" spans="3:30" ht="10.5" customHeight="1">
      <c r="C620" s="1799" t="s">
        <v>5108</v>
      </c>
      <c r="D620" s="1796">
        <v>0</v>
      </c>
      <c r="E620" s="1796">
        <v>0</v>
      </c>
      <c r="F620" s="1797">
        <v>0</v>
      </c>
      <c r="G620" s="1999" t="s">
        <v>5108</v>
      </c>
      <c r="H620" s="1794">
        <v>0</v>
      </c>
      <c r="I620" s="1794">
        <v>0</v>
      </c>
      <c r="J620" s="2000">
        <v>0</v>
      </c>
      <c r="K620" s="1798"/>
      <c r="L620" s="1792">
        <v>13055010400</v>
      </c>
      <c r="M620" s="1793">
        <v>0</v>
      </c>
      <c r="N620" s="1793">
        <v>0</v>
      </c>
      <c r="O620" s="1793">
        <v>0</v>
      </c>
      <c r="P620" s="530" t="s">
        <v>2098</v>
      </c>
      <c r="Q620" s="291"/>
      <c r="R620" s="170"/>
      <c r="S620" s="387"/>
      <c r="T620" s="491" t="s">
        <v>726</v>
      </c>
      <c r="U620" s="491" t="s">
        <v>1300</v>
      </c>
      <c r="AA620" s="27"/>
      <c r="AB620" s="27"/>
      <c r="AC620" s="889"/>
      <c r="AD620" s="502"/>
    </row>
    <row r="621" spans="3:30" ht="10.5" customHeight="1">
      <c r="C621" s="1799" t="s">
        <v>5109</v>
      </c>
      <c r="D621" s="1796">
        <v>0</v>
      </c>
      <c r="E621" s="1796">
        <v>0</v>
      </c>
      <c r="F621" s="1797">
        <v>0</v>
      </c>
      <c r="G621" s="1999" t="s">
        <v>5109</v>
      </c>
      <c r="H621" s="1794">
        <v>0</v>
      </c>
      <c r="I621" s="1794">
        <v>0</v>
      </c>
      <c r="J621" s="200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5110</v>
      </c>
      <c r="D622" s="1796">
        <v>0</v>
      </c>
      <c r="E622" s="1796">
        <v>0</v>
      </c>
      <c r="F622" s="1797">
        <v>0</v>
      </c>
      <c r="G622" s="1999" t="s">
        <v>5110</v>
      </c>
      <c r="H622" s="1794">
        <v>0</v>
      </c>
      <c r="I622" s="1794">
        <v>0</v>
      </c>
      <c r="J622" s="2000">
        <v>0</v>
      </c>
      <c r="K622" s="1798"/>
      <c r="L622" s="1792">
        <v>13055010600</v>
      </c>
      <c r="M622" s="1793">
        <v>0</v>
      </c>
      <c r="N622" s="1793">
        <v>0</v>
      </c>
      <c r="O622" s="1793">
        <v>0</v>
      </c>
      <c r="P622" s="530" t="s">
        <v>86</v>
      </c>
      <c r="Q622" s="291"/>
      <c r="R622" s="170"/>
      <c r="S622" s="387"/>
      <c r="T622" s="491" t="s">
        <v>1006</v>
      </c>
      <c r="U622" s="491" t="s">
        <v>2338</v>
      </c>
      <c r="AA622" s="27"/>
      <c r="AB622" s="27"/>
      <c r="AC622" s="889"/>
      <c r="AD622" s="502"/>
    </row>
    <row r="623" spans="3:30" ht="10.5" customHeight="1">
      <c r="C623" s="1799" t="s">
        <v>5111</v>
      </c>
      <c r="D623" s="1796">
        <v>1</v>
      </c>
      <c r="E623" s="1796">
        <v>1</v>
      </c>
      <c r="F623" s="1797">
        <v>2</v>
      </c>
      <c r="G623" s="1999" t="s">
        <v>5111</v>
      </c>
      <c r="H623" s="1794">
        <v>1</v>
      </c>
      <c r="I623" s="1794">
        <v>1</v>
      </c>
      <c r="J623" s="2000">
        <v>2</v>
      </c>
      <c r="K623" s="1798"/>
      <c r="L623" s="1792">
        <v>13057090100</v>
      </c>
      <c r="M623" s="1793">
        <v>1</v>
      </c>
      <c r="N623" s="1793">
        <v>1</v>
      </c>
      <c r="O623" s="1793">
        <v>2</v>
      </c>
      <c r="P623" s="530" t="s">
        <v>1969</v>
      </c>
      <c r="Q623" s="291"/>
      <c r="R623" s="170"/>
      <c r="S623" s="387"/>
      <c r="T623" s="491" t="s">
        <v>1707</v>
      </c>
      <c r="U623" s="491" t="s">
        <v>2421</v>
      </c>
      <c r="AA623" s="27"/>
      <c r="AB623" s="27"/>
      <c r="AC623" s="889"/>
      <c r="AD623" s="502"/>
    </row>
    <row r="624" spans="3:30" ht="10.5" customHeight="1">
      <c r="C624" s="1799" t="s">
        <v>5112</v>
      </c>
      <c r="D624" s="1796">
        <v>1</v>
      </c>
      <c r="E624" s="1796">
        <v>1</v>
      </c>
      <c r="F624" s="1797">
        <v>2</v>
      </c>
      <c r="G624" s="1999" t="s">
        <v>5112</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5113</v>
      </c>
      <c r="D625" s="1796">
        <v>1</v>
      </c>
      <c r="E625" s="1796">
        <v>1</v>
      </c>
      <c r="F625" s="1797">
        <v>2</v>
      </c>
      <c r="G625" s="1999" t="s">
        <v>5113</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5114</v>
      </c>
      <c r="D626" s="1796">
        <v>0</v>
      </c>
      <c r="E626" s="1796">
        <v>0</v>
      </c>
      <c r="F626" s="1797">
        <v>0</v>
      </c>
      <c r="G626" s="1999" t="s">
        <v>5114</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5115</v>
      </c>
      <c r="D627" s="1796">
        <v>1</v>
      </c>
      <c r="E627" s="1796">
        <v>1</v>
      </c>
      <c r="F627" s="1797">
        <v>2</v>
      </c>
      <c r="G627" s="1999" t="s">
        <v>5115</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5116</v>
      </c>
      <c r="D628" s="1796">
        <v>1</v>
      </c>
      <c r="E628" s="1796">
        <v>1</v>
      </c>
      <c r="F628" s="1797">
        <v>2</v>
      </c>
      <c r="G628" s="1999" t="s">
        <v>5116</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5117</v>
      </c>
      <c r="D629" s="1796">
        <v>0</v>
      </c>
      <c r="E629" s="1796">
        <v>0</v>
      </c>
      <c r="F629" s="1797">
        <v>0</v>
      </c>
      <c r="G629" s="1999" t="s">
        <v>5117</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5118</v>
      </c>
      <c r="D630" s="1796">
        <v>1</v>
      </c>
      <c r="E630" s="1796">
        <v>1</v>
      </c>
      <c r="F630" s="1797">
        <v>2</v>
      </c>
      <c r="G630" s="1999" t="s">
        <v>5118</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5119</v>
      </c>
      <c r="D631" s="1796">
        <v>1</v>
      </c>
      <c r="E631" s="1796">
        <v>1</v>
      </c>
      <c r="F631" s="1797">
        <v>2</v>
      </c>
      <c r="G631" s="1999" t="s">
        <v>5119</v>
      </c>
      <c r="H631" s="1794">
        <v>1</v>
      </c>
      <c r="I631" s="1794">
        <v>1</v>
      </c>
      <c r="J631" s="200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5120</v>
      </c>
      <c r="D632" s="1796">
        <v>1</v>
      </c>
      <c r="E632" s="1796">
        <v>1</v>
      </c>
      <c r="F632" s="1797">
        <v>2</v>
      </c>
      <c r="G632" s="1999" t="s">
        <v>5120</v>
      </c>
      <c r="H632" s="1794">
        <v>1</v>
      </c>
      <c r="I632" s="1794">
        <v>0</v>
      </c>
      <c r="J632" s="2000">
        <v>1</v>
      </c>
      <c r="K632" s="1798"/>
      <c r="L632" s="1792">
        <v>13057090702</v>
      </c>
      <c r="M632" s="1793">
        <v>1</v>
      </c>
      <c r="N632" s="1793">
        <v>1</v>
      </c>
      <c r="O632" s="1793">
        <v>2</v>
      </c>
      <c r="P632" s="530" t="s">
        <v>756</v>
      </c>
      <c r="Q632" s="291"/>
      <c r="R632" s="170"/>
      <c r="S632" s="387"/>
      <c r="T632" s="491" t="s">
        <v>6</v>
      </c>
      <c r="U632" s="491" t="s">
        <v>1869</v>
      </c>
      <c r="AA632" s="27"/>
      <c r="AB632" s="27"/>
      <c r="AC632" s="889"/>
      <c r="AD632" s="502"/>
    </row>
    <row r="633" spans="3:30" ht="10.5" customHeight="1">
      <c r="C633" s="1799" t="s">
        <v>5121</v>
      </c>
      <c r="D633" s="1796">
        <v>1</v>
      </c>
      <c r="E633" s="1796">
        <v>1</v>
      </c>
      <c r="F633" s="1797">
        <v>2</v>
      </c>
      <c r="G633" s="1999" t="s">
        <v>5121</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5122</v>
      </c>
      <c r="D634" s="1796">
        <v>1</v>
      </c>
      <c r="E634" s="1796">
        <v>1</v>
      </c>
      <c r="F634" s="1797">
        <v>2</v>
      </c>
      <c r="G634" s="1999" t="s">
        <v>5122</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5123</v>
      </c>
      <c r="D635" s="1796">
        <v>1</v>
      </c>
      <c r="E635" s="1796">
        <v>1</v>
      </c>
      <c r="F635" s="1797">
        <v>2</v>
      </c>
      <c r="G635" s="1999" t="s">
        <v>5123</v>
      </c>
      <c r="H635" s="1794">
        <v>1</v>
      </c>
      <c r="I635" s="1794">
        <v>1</v>
      </c>
      <c r="J635" s="2000">
        <v>2</v>
      </c>
      <c r="K635" s="1798"/>
      <c r="L635" s="1792">
        <v>13057090804</v>
      </c>
      <c r="M635" s="1793">
        <v>1</v>
      </c>
      <c r="N635" s="1793">
        <v>1</v>
      </c>
      <c r="O635" s="1793">
        <v>2</v>
      </c>
      <c r="P635" s="530" t="s">
        <v>1157</v>
      </c>
      <c r="Q635" s="291"/>
      <c r="R635" s="170"/>
      <c r="S635" s="387"/>
      <c r="T635" s="491" t="s">
        <v>2091</v>
      </c>
      <c r="U635" s="491" t="s">
        <v>1300</v>
      </c>
      <c r="AA635" s="27"/>
      <c r="AB635" s="27"/>
      <c r="AC635" s="889"/>
      <c r="AD635" s="502"/>
    </row>
    <row r="636" spans="3:30" ht="10.5" customHeight="1">
      <c r="C636" s="1799" t="s">
        <v>5124</v>
      </c>
      <c r="D636" s="1796">
        <v>1</v>
      </c>
      <c r="E636" s="1796">
        <v>1</v>
      </c>
      <c r="F636" s="1797">
        <v>2</v>
      </c>
      <c r="G636" s="1999" t="s">
        <v>5124</v>
      </c>
      <c r="H636" s="1794">
        <v>1</v>
      </c>
      <c r="I636" s="1794">
        <v>1</v>
      </c>
      <c r="J636" s="2000">
        <v>2</v>
      </c>
      <c r="K636" s="1798"/>
      <c r="L636" s="1792">
        <v>13057090901</v>
      </c>
      <c r="M636" s="1793">
        <v>1</v>
      </c>
      <c r="N636" s="1793">
        <v>1</v>
      </c>
      <c r="O636" s="1793">
        <v>2</v>
      </c>
      <c r="P636" s="530" t="s">
        <v>1019</v>
      </c>
      <c r="Q636" s="291"/>
      <c r="R636" s="170"/>
      <c r="S636" s="387"/>
      <c r="T636" s="491" t="s">
        <v>2093</v>
      </c>
      <c r="U636" s="491" t="s">
        <v>2132</v>
      </c>
      <c r="AA636" s="27"/>
      <c r="AB636" s="27"/>
      <c r="AC636" s="889"/>
      <c r="AD636" s="502"/>
    </row>
    <row r="637" spans="3:30" ht="10.5" customHeight="1">
      <c r="C637" s="1799" t="s">
        <v>5125</v>
      </c>
      <c r="D637" s="1796">
        <v>1</v>
      </c>
      <c r="E637" s="1796">
        <v>1</v>
      </c>
      <c r="F637" s="1797">
        <v>2</v>
      </c>
      <c r="G637" s="1999" t="s">
        <v>5125</v>
      </c>
      <c r="H637" s="1794">
        <v>1</v>
      </c>
      <c r="I637" s="1794">
        <v>1</v>
      </c>
      <c r="J637" s="2000">
        <v>2</v>
      </c>
      <c r="K637" s="1798"/>
      <c r="L637" s="1792">
        <v>13057090902</v>
      </c>
      <c r="M637" s="1793">
        <v>1</v>
      </c>
      <c r="N637" s="1793">
        <v>1</v>
      </c>
      <c r="O637" s="1793">
        <v>2</v>
      </c>
      <c r="P637" s="530" t="s">
        <v>1020</v>
      </c>
      <c r="Q637" s="291"/>
      <c r="R637" s="170"/>
      <c r="S637" s="387"/>
      <c r="T637" s="491" t="s">
        <v>2095</v>
      </c>
      <c r="U637" s="491" t="s">
        <v>171</v>
      </c>
      <c r="AA637" s="27"/>
      <c r="AB637" s="27"/>
      <c r="AC637" s="889"/>
      <c r="AD637" s="502"/>
    </row>
    <row r="638" spans="3:30" ht="10.5" customHeight="1">
      <c r="C638" s="1799" t="s">
        <v>5126</v>
      </c>
      <c r="D638" s="1796">
        <v>1</v>
      </c>
      <c r="E638" s="1796">
        <v>1</v>
      </c>
      <c r="F638" s="1797">
        <v>2</v>
      </c>
      <c r="G638" s="1999" t="s">
        <v>5126</v>
      </c>
      <c r="H638" s="1794">
        <v>1</v>
      </c>
      <c r="I638" s="1794">
        <v>0</v>
      </c>
      <c r="J638" s="2000">
        <v>1</v>
      </c>
      <c r="K638" s="1798"/>
      <c r="L638" s="1792">
        <v>13057090904</v>
      </c>
      <c r="M638" s="1793">
        <v>1</v>
      </c>
      <c r="N638" s="1793">
        <v>1</v>
      </c>
      <c r="O638" s="1793">
        <v>2</v>
      </c>
      <c r="P638" s="530" t="s">
        <v>1022</v>
      </c>
      <c r="Q638" s="291"/>
      <c r="R638" s="170"/>
      <c r="S638" s="387"/>
      <c r="T638" s="491" t="s">
        <v>2097</v>
      </c>
      <c r="U638" s="491" t="s">
        <v>1424</v>
      </c>
      <c r="AA638" s="27"/>
      <c r="AB638" s="27"/>
      <c r="AC638" s="889"/>
      <c r="AD638" s="502"/>
    </row>
    <row r="639" spans="3:30" ht="10.5" customHeight="1">
      <c r="C639" s="1799" t="s">
        <v>5127</v>
      </c>
      <c r="D639" s="1796">
        <v>1</v>
      </c>
      <c r="E639" s="1796">
        <v>1</v>
      </c>
      <c r="F639" s="1797">
        <v>2</v>
      </c>
      <c r="G639" s="1999" t="s">
        <v>5127</v>
      </c>
      <c r="H639" s="1794">
        <v>1</v>
      </c>
      <c r="I639" s="1794">
        <v>1</v>
      </c>
      <c r="J639" s="2000">
        <v>2</v>
      </c>
      <c r="K639" s="1798"/>
      <c r="L639" s="1792">
        <v>13057090905</v>
      </c>
      <c r="M639" s="1793">
        <v>1</v>
      </c>
      <c r="N639" s="1793">
        <v>1</v>
      </c>
      <c r="O639" s="1793">
        <v>2</v>
      </c>
      <c r="P639" s="530" t="s">
        <v>2206</v>
      </c>
      <c r="Q639" s="291"/>
      <c r="R639" s="170"/>
      <c r="S639" s="387"/>
      <c r="T639" s="491" t="s">
        <v>2099</v>
      </c>
      <c r="U639" s="491" t="s">
        <v>649</v>
      </c>
      <c r="AA639" s="27"/>
      <c r="AB639" s="27"/>
      <c r="AC639" s="889"/>
      <c r="AD639" s="502"/>
    </row>
    <row r="640" spans="3:30" ht="10.5" customHeight="1">
      <c r="C640" s="1799" t="s">
        <v>5128</v>
      </c>
      <c r="D640" s="1796">
        <v>0</v>
      </c>
      <c r="E640" s="1796">
        <v>1</v>
      </c>
      <c r="F640" s="1797">
        <v>1</v>
      </c>
      <c r="G640" s="1999" t="s">
        <v>5128</v>
      </c>
      <c r="H640" s="1794">
        <v>1</v>
      </c>
      <c r="I640" s="1794">
        <v>1</v>
      </c>
      <c r="J640" s="200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5129</v>
      </c>
      <c r="D641" s="1796">
        <v>0</v>
      </c>
      <c r="E641" s="1796">
        <v>0</v>
      </c>
      <c r="F641" s="1797">
        <v>0</v>
      </c>
      <c r="G641" s="1999" t="s">
        <v>5129</v>
      </c>
      <c r="H641" s="1794">
        <v>1</v>
      </c>
      <c r="I641" s="1794">
        <v>0</v>
      </c>
      <c r="J641" s="2000">
        <v>1</v>
      </c>
      <c r="K641" s="1798"/>
      <c r="L641" s="1792">
        <v>13057091003</v>
      </c>
      <c r="M641" s="1793">
        <v>1</v>
      </c>
      <c r="N641" s="1793">
        <v>0</v>
      </c>
      <c r="O641" s="1793">
        <v>1</v>
      </c>
      <c r="P641" s="530" t="s">
        <v>1725</v>
      </c>
      <c r="Q641" s="291"/>
      <c r="R641" s="170"/>
      <c r="S641" s="387"/>
      <c r="T641" s="491" t="s">
        <v>1481</v>
      </c>
      <c r="U641" s="491" t="s">
        <v>2134</v>
      </c>
      <c r="AA641" s="27"/>
      <c r="AB641" s="27"/>
      <c r="AC641" s="889"/>
      <c r="AD641" s="502"/>
    </row>
    <row r="642" spans="3:30" ht="10.5" customHeight="1">
      <c r="C642" s="1799" t="s">
        <v>5130</v>
      </c>
      <c r="D642" s="1796">
        <v>1</v>
      </c>
      <c r="E642" s="1796">
        <v>1</v>
      </c>
      <c r="F642" s="1797">
        <v>2</v>
      </c>
      <c r="G642" s="1999" t="s">
        <v>5130</v>
      </c>
      <c r="H642" s="1794">
        <v>1</v>
      </c>
      <c r="I642" s="1794">
        <v>1</v>
      </c>
      <c r="J642" s="2000">
        <v>2</v>
      </c>
      <c r="K642" s="1798"/>
      <c r="L642" s="1792">
        <v>13057091005</v>
      </c>
      <c r="M642" s="1793">
        <v>1</v>
      </c>
      <c r="N642" s="1793">
        <v>1</v>
      </c>
      <c r="O642" s="1793">
        <v>2</v>
      </c>
      <c r="P642" s="530" t="s">
        <v>2453</v>
      </c>
      <c r="Q642" s="291"/>
      <c r="R642" s="170"/>
      <c r="S642" s="387"/>
      <c r="T642" s="491" t="s">
        <v>1483</v>
      </c>
      <c r="U642" s="491" t="s">
        <v>195</v>
      </c>
      <c r="AA642" s="27"/>
      <c r="AB642" s="27"/>
      <c r="AC642" s="889"/>
      <c r="AD642" s="502"/>
    </row>
    <row r="643" spans="3:30" ht="10.5" customHeight="1">
      <c r="C643" s="1799" t="s">
        <v>5131</v>
      </c>
      <c r="D643" s="1796">
        <v>1</v>
      </c>
      <c r="E643" s="1796">
        <v>1</v>
      </c>
      <c r="F643" s="1797">
        <v>2</v>
      </c>
      <c r="G643" s="1999" t="s">
        <v>5131</v>
      </c>
      <c r="H643" s="1794">
        <v>1</v>
      </c>
      <c r="I643" s="1794">
        <v>1</v>
      </c>
      <c r="J643" s="2000">
        <v>2</v>
      </c>
      <c r="K643" s="1798"/>
      <c r="L643" s="1792">
        <v>13057091006</v>
      </c>
      <c r="M643" s="1793">
        <v>1</v>
      </c>
      <c r="N643" s="1793">
        <v>1</v>
      </c>
      <c r="O643" s="1793">
        <v>2</v>
      </c>
      <c r="P643" s="530" t="s">
        <v>2112</v>
      </c>
      <c r="Q643" s="291"/>
      <c r="R643" s="170"/>
      <c r="S643" s="387"/>
      <c r="T643" s="531" t="s">
        <v>1485</v>
      </c>
      <c r="U643" s="531" t="s">
        <v>1427</v>
      </c>
      <c r="AA643" s="27"/>
      <c r="AB643" s="27"/>
      <c r="AC643" s="889"/>
      <c r="AD643" s="502"/>
    </row>
    <row r="644" spans="3:30" ht="10.5" customHeight="1">
      <c r="C644" s="1799" t="s">
        <v>5132</v>
      </c>
      <c r="D644" s="1796">
        <v>1</v>
      </c>
      <c r="E644" s="1796">
        <v>1</v>
      </c>
      <c r="F644" s="1797">
        <v>2</v>
      </c>
      <c r="G644" s="1999" t="s">
        <v>5132</v>
      </c>
      <c r="H644" s="1794">
        <v>1</v>
      </c>
      <c r="I644" s="1794">
        <v>1</v>
      </c>
      <c r="J644" s="2000">
        <v>2</v>
      </c>
      <c r="K644" s="1798"/>
      <c r="L644" s="1792">
        <v>13057091007</v>
      </c>
      <c r="M644" s="1793">
        <v>1</v>
      </c>
      <c r="N644" s="1793">
        <v>1</v>
      </c>
      <c r="O644" s="1793">
        <v>2</v>
      </c>
      <c r="P644" s="530" t="s">
        <v>1579</v>
      </c>
      <c r="Q644" s="291"/>
      <c r="R644" s="170"/>
      <c r="S644" s="387"/>
      <c r="T644" s="491" t="s">
        <v>1487</v>
      </c>
      <c r="U644" s="491" t="s">
        <v>2124</v>
      </c>
      <c r="AA644" s="27"/>
      <c r="AB644" s="27"/>
      <c r="AC644" s="890"/>
      <c r="AD644" s="502"/>
    </row>
    <row r="645" spans="3:30" ht="10.5" customHeight="1">
      <c r="C645" s="1799" t="s">
        <v>5133</v>
      </c>
      <c r="D645" s="1796">
        <v>1</v>
      </c>
      <c r="E645" s="1796">
        <v>1</v>
      </c>
      <c r="F645" s="1797">
        <v>2</v>
      </c>
      <c r="G645" s="1999" t="s">
        <v>5133</v>
      </c>
      <c r="H645" s="1794">
        <v>1</v>
      </c>
      <c r="I645" s="1794" t="s">
        <v>4483</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5134</v>
      </c>
      <c r="D646" s="1796">
        <v>1</v>
      </c>
      <c r="E646" s="1796">
        <v>1</v>
      </c>
      <c r="F646" s="1797">
        <v>2</v>
      </c>
      <c r="G646" s="1999" t="s">
        <v>5134</v>
      </c>
      <c r="H646" s="1794">
        <v>1</v>
      </c>
      <c r="I646" s="1794" t="s">
        <v>4483</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5135</v>
      </c>
      <c r="D647" s="1796">
        <v>1</v>
      </c>
      <c r="E647" s="1796">
        <v>0</v>
      </c>
      <c r="F647" s="1797">
        <v>1</v>
      </c>
      <c r="G647" s="1999" t="s">
        <v>5135</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5136</v>
      </c>
      <c r="D648" s="1796">
        <v>1</v>
      </c>
      <c r="E648" s="1796">
        <v>1</v>
      </c>
      <c r="F648" s="1797">
        <v>2</v>
      </c>
      <c r="G648" s="1999" t="s">
        <v>5136</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5137</v>
      </c>
      <c r="D649" s="1796">
        <v>0</v>
      </c>
      <c r="E649" s="1796">
        <v>1</v>
      </c>
      <c r="F649" s="1797">
        <v>1</v>
      </c>
      <c r="G649" s="1999" t="s">
        <v>5137</v>
      </c>
      <c r="H649" s="1794">
        <v>0</v>
      </c>
      <c r="I649" s="1794" t="s">
        <v>4483</v>
      </c>
      <c r="J649" s="2000">
        <v>0</v>
      </c>
      <c r="K649" s="1798"/>
      <c r="L649" s="1792">
        <v>13059000100</v>
      </c>
      <c r="M649" s="1793">
        <v>0</v>
      </c>
      <c r="N649" s="1793">
        <v>1</v>
      </c>
      <c r="O649" s="1793">
        <v>1</v>
      </c>
      <c r="P649" s="530" t="s">
        <v>1586</v>
      </c>
      <c r="Q649" s="291"/>
      <c r="R649" s="170"/>
      <c r="S649" s="387"/>
      <c r="T649" s="491" t="s">
        <v>757</v>
      </c>
      <c r="U649" s="491" t="s">
        <v>2418</v>
      </c>
      <c r="AA649" s="27"/>
      <c r="AB649" s="27"/>
      <c r="AC649" s="889"/>
      <c r="AD649" s="502"/>
    </row>
    <row r="650" spans="3:30" ht="10.5" customHeight="1">
      <c r="C650" s="1799" t="s">
        <v>5138</v>
      </c>
      <c r="D650" s="1796">
        <v>0</v>
      </c>
      <c r="E650" s="1796">
        <v>0</v>
      </c>
      <c r="F650" s="1797">
        <v>0</v>
      </c>
      <c r="G650" s="1999" t="s">
        <v>5138</v>
      </c>
      <c r="H650" s="1794">
        <v>0</v>
      </c>
      <c r="I650" s="1794" t="s">
        <v>4483</v>
      </c>
      <c r="J650" s="2000">
        <v>0</v>
      </c>
      <c r="K650" s="1798"/>
      <c r="L650" s="1792">
        <v>13059000401</v>
      </c>
      <c r="M650" s="1793">
        <v>0</v>
      </c>
      <c r="N650" s="1793">
        <v>0</v>
      </c>
      <c r="O650" s="1793">
        <v>0</v>
      </c>
      <c r="P650" s="530" t="s">
        <v>1588</v>
      </c>
      <c r="Q650" s="291"/>
      <c r="R650" s="170"/>
      <c r="S650" s="387"/>
      <c r="T650" s="491" t="s">
        <v>710</v>
      </c>
      <c r="U650" s="491" t="s">
        <v>2424</v>
      </c>
      <c r="AA650" s="27"/>
      <c r="AB650" s="27"/>
      <c r="AC650" s="889"/>
      <c r="AD650" s="502"/>
    </row>
    <row r="651" spans="3:30" ht="10.5" customHeight="1">
      <c r="C651" s="1799" t="s">
        <v>5139</v>
      </c>
      <c r="D651" s="1796">
        <v>0</v>
      </c>
      <c r="E651" s="1796">
        <v>1</v>
      </c>
      <c r="F651" s="1797">
        <v>1</v>
      </c>
      <c r="G651" s="1999" t="s">
        <v>5139</v>
      </c>
      <c r="H651" s="1794">
        <v>0</v>
      </c>
      <c r="I651" s="1794" t="s">
        <v>4483</v>
      </c>
      <c r="J651" s="2000">
        <v>0</v>
      </c>
      <c r="K651" s="1798"/>
      <c r="L651" s="1792">
        <v>13059000402</v>
      </c>
      <c r="M651" s="1793">
        <v>0</v>
      </c>
      <c r="N651" s="1793">
        <v>1</v>
      </c>
      <c r="O651" s="1793">
        <v>1</v>
      </c>
      <c r="P651" s="530" t="s">
        <v>2354</v>
      </c>
      <c r="Q651" s="291"/>
      <c r="R651" s="170"/>
      <c r="S651" s="387"/>
      <c r="T651" s="491" t="s">
        <v>919</v>
      </c>
      <c r="U651" s="491" t="s">
        <v>2465</v>
      </c>
      <c r="AA651" s="27"/>
      <c r="AB651" s="27"/>
      <c r="AC651" s="889"/>
      <c r="AD651" s="502"/>
    </row>
    <row r="652" spans="3:30" ht="10.5" customHeight="1">
      <c r="C652" s="1799" t="s">
        <v>5140</v>
      </c>
      <c r="D652" s="1796">
        <v>0</v>
      </c>
      <c r="E652" s="1796">
        <v>0</v>
      </c>
      <c r="F652" s="1797">
        <v>0</v>
      </c>
      <c r="G652" s="1999" t="s">
        <v>5140</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5141</v>
      </c>
      <c r="D653" s="1796">
        <v>0</v>
      </c>
      <c r="E653" s="1796">
        <v>0</v>
      </c>
      <c r="F653" s="1797">
        <v>0</v>
      </c>
      <c r="G653" s="1999" t="s">
        <v>5141</v>
      </c>
      <c r="H653" s="1794">
        <v>0</v>
      </c>
      <c r="I653" s="1794">
        <v>0</v>
      </c>
      <c r="J653" s="2000">
        <v>0</v>
      </c>
      <c r="K653" s="1798"/>
      <c r="L653" s="1792">
        <v>13059000900</v>
      </c>
      <c r="M653" s="1793">
        <v>0</v>
      </c>
      <c r="N653" s="1793">
        <v>0</v>
      </c>
      <c r="O653" s="1793">
        <v>0</v>
      </c>
      <c r="P653" s="530" t="s">
        <v>966</v>
      </c>
      <c r="Q653" s="291"/>
      <c r="R653" s="170"/>
      <c r="S653" s="387"/>
      <c r="T653" s="491" t="s">
        <v>1158</v>
      </c>
      <c r="U653" s="491" t="s">
        <v>1903</v>
      </c>
      <c r="AA653" s="27"/>
      <c r="AB653" s="27"/>
      <c r="AC653" s="889"/>
      <c r="AD653" s="502"/>
    </row>
    <row r="654" spans="3:30" ht="10.5" customHeight="1">
      <c r="C654" s="1799" t="s">
        <v>5142</v>
      </c>
      <c r="D654" s="1796">
        <v>1</v>
      </c>
      <c r="E654" s="1796">
        <v>0</v>
      </c>
      <c r="F654" s="1797">
        <v>1</v>
      </c>
      <c r="G654" s="1999" t="s">
        <v>5142</v>
      </c>
      <c r="H654" s="1794">
        <v>1</v>
      </c>
      <c r="I654" s="1794">
        <v>1</v>
      </c>
      <c r="J654" s="2000">
        <v>2</v>
      </c>
      <c r="K654" s="1798"/>
      <c r="L654" s="1792">
        <v>13059001200</v>
      </c>
      <c r="M654" s="1793">
        <v>1</v>
      </c>
      <c r="N654" s="1793">
        <v>1</v>
      </c>
      <c r="O654" s="1793">
        <v>2</v>
      </c>
      <c r="P654" s="530" t="s">
        <v>967</v>
      </c>
      <c r="Q654" s="291"/>
      <c r="R654" s="170"/>
      <c r="S654" s="387"/>
      <c r="T654" s="531" t="s">
        <v>2768</v>
      </c>
      <c r="U654" s="531" t="s">
        <v>1735</v>
      </c>
      <c r="AA654" s="27"/>
      <c r="AB654" s="27"/>
      <c r="AC654" s="889"/>
      <c r="AD654" s="502"/>
    </row>
    <row r="655" spans="3:30" ht="10.5" customHeight="1">
      <c r="C655" s="1799" t="s">
        <v>5143</v>
      </c>
      <c r="D655" s="1796">
        <v>1</v>
      </c>
      <c r="E655" s="1796">
        <v>1</v>
      </c>
      <c r="F655" s="1797">
        <v>2</v>
      </c>
      <c r="G655" s="1999" t="s">
        <v>5143</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5144</v>
      </c>
      <c r="D656" s="1796">
        <v>0</v>
      </c>
      <c r="E656" s="1796">
        <v>1</v>
      </c>
      <c r="F656" s="1797">
        <v>1</v>
      </c>
      <c r="G656" s="1999" t="s">
        <v>5144</v>
      </c>
      <c r="H656" s="1794">
        <v>0</v>
      </c>
      <c r="I656" s="1794">
        <v>0</v>
      </c>
      <c r="J656" s="200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5145</v>
      </c>
      <c r="D657" s="1796">
        <v>0</v>
      </c>
      <c r="E657" s="1796">
        <v>0</v>
      </c>
      <c r="F657" s="1797">
        <v>0</v>
      </c>
      <c r="G657" s="1999" t="s">
        <v>5145</v>
      </c>
      <c r="H657" s="1794">
        <v>0</v>
      </c>
      <c r="I657" s="1794">
        <v>0</v>
      </c>
      <c r="J657" s="2000">
        <v>0</v>
      </c>
      <c r="K657" s="1798"/>
      <c r="L657" s="1792">
        <v>13059001900</v>
      </c>
      <c r="M657" s="1793">
        <v>0</v>
      </c>
      <c r="N657" s="1793">
        <v>0</v>
      </c>
      <c r="O657" s="1793">
        <v>0</v>
      </c>
      <c r="P657" s="530" t="s">
        <v>2458</v>
      </c>
      <c r="Q657" s="291"/>
      <c r="R657" s="170"/>
      <c r="S657" s="387"/>
      <c r="T657" s="491" t="s">
        <v>2209</v>
      </c>
      <c r="U657" s="491" t="s">
        <v>640</v>
      </c>
      <c r="AA657" s="27"/>
      <c r="AB657" s="27"/>
      <c r="AC657" s="889"/>
      <c r="AD657" s="502"/>
    </row>
    <row r="658" spans="3:30" ht="10.5" customHeight="1">
      <c r="C658" s="1799" t="s">
        <v>5146</v>
      </c>
      <c r="D658" s="1796">
        <v>1</v>
      </c>
      <c r="E658" s="1796">
        <v>1</v>
      </c>
      <c r="F658" s="1797">
        <v>2</v>
      </c>
      <c r="G658" s="1999" t="s">
        <v>5146</v>
      </c>
      <c r="H658" s="1794">
        <v>1</v>
      </c>
      <c r="I658" s="1794">
        <v>1</v>
      </c>
      <c r="J658" s="2000">
        <v>2</v>
      </c>
      <c r="K658" s="1798"/>
      <c r="L658" s="1792">
        <v>13059002000</v>
      </c>
      <c r="M658" s="1793">
        <v>1</v>
      </c>
      <c r="N658" s="1793">
        <v>1</v>
      </c>
      <c r="O658" s="1793">
        <v>2</v>
      </c>
      <c r="P658" s="530" t="s">
        <v>1953</v>
      </c>
      <c r="Q658" s="291"/>
      <c r="R658" s="170"/>
      <c r="S658" s="387"/>
      <c r="T658" s="491" t="s">
        <v>1726</v>
      </c>
      <c r="U658" s="491" t="s">
        <v>715</v>
      </c>
      <c r="AA658" s="27"/>
      <c r="AB658" s="27"/>
      <c r="AC658" s="889"/>
      <c r="AD658" s="502"/>
    </row>
    <row r="659" spans="3:30" ht="10.5" customHeight="1">
      <c r="C659" s="1799" t="s">
        <v>5147</v>
      </c>
      <c r="D659" s="1796">
        <v>0</v>
      </c>
      <c r="E659" s="1796">
        <v>1</v>
      </c>
      <c r="F659" s="1797">
        <v>1</v>
      </c>
      <c r="G659" s="1999" t="s">
        <v>5147</v>
      </c>
      <c r="H659" s="1794">
        <v>0</v>
      </c>
      <c r="I659" s="1794" t="s">
        <v>4483</v>
      </c>
      <c r="J659" s="2000">
        <v>0</v>
      </c>
      <c r="K659" s="1798"/>
      <c r="L659" s="1792">
        <v>13059002100</v>
      </c>
      <c r="M659" s="1793">
        <v>0</v>
      </c>
      <c r="N659" s="1793">
        <v>1</v>
      </c>
      <c r="O659" s="1793">
        <v>1</v>
      </c>
      <c r="P659" s="530" t="s">
        <v>922</v>
      </c>
      <c r="Q659" s="291"/>
      <c r="R659" s="170"/>
      <c r="S659" s="387"/>
      <c r="T659" s="531" t="s">
        <v>2454</v>
      </c>
      <c r="U659" s="531" t="s">
        <v>1959</v>
      </c>
      <c r="AA659" s="27"/>
      <c r="AB659" s="27"/>
      <c r="AC659" s="889"/>
      <c r="AD659" s="502"/>
    </row>
    <row r="660" spans="3:30" ht="10.5" customHeight="1">
      <c r="C660" s="1799" t="s">
        <v>5148</v>
      </c>
      <c r="D660" s="1796">
        <v>1</v>
      </c>
      <c r="E660" s="1796">
        <v>1</v>
      </c>
      <c r="F660" s="1797">
        <v>2</v>
      </c>
      <c r="G660" s="1999" t="s">
        <v>5148</v>
      </c>
      <c r="H660" s="1794">
        <v>1</v>
      </c>
      <c r="I660" s="1794" t="s">
        <v>4483</v>
      </c>
      <c r="J660" s="2000">
        <v>1</v>
      </c>
      <c r="K660" s="1798"/>
      <c r="L660" s="1792">
        <v>13059002200</v>
      </c>
      <c r="M660" s="1793">
        <v>1</v>
      </c>
      <c r="N660" s="1793">
        <v>1</v>
      </c>
      <c r="O660" s="1793">
        <v>2</v>
      </c>
      <c r="P660" s="530" t="s">
        <v>753</v>
      </c>
      <c r="Q660" s="291"/>
      <c r="R660" s="170"/>
      <c r="S660" s="387"/>
      <c r="T660" s="491" t="s">
        <v>2113</v>
      </c>
      <c r="U660" s="491" t="s">
        <v>1180</v>
      </c>
      <c r="AA660" s="27"/>
      <c r="AB660" s="27"/>
      <c r="AC660" s="890"/>
      <c r="AD660" s="502"/>
    </row>
    <row r="661" spans="3:30" ht="10.5" customHeight="1">
      <c r="C661" s="1799" t="s">
        <v>5149</v>
      </c>
      <c r="D661" s="1796">
        <v>0</v>
      </c>
      <c r="E661" s="1796">
        <v>0</v>
      </c>
      <c r="F661" s="1797">
        <v>0</v>
      </c>
      <c r="G661" s="1999" t="s">
        <v>5149</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5150</v>
      </c>
      <c r="D662" s="1796">
        <v>0</v>
      </c>
      <c r="E662" s="1796">
        <v>0</v>
      </c>
      <c r="F662" s="1797">
        <v>0</v>
      </c>
      <c r="G662" s="1999" t="s">
        <v>5150</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5151</v>
      </c>
      <c r="D663" s="1796">
        <v>0</v>
      </c>
      <c r="E663" s="1796">
        <v>0</v>
      </c>
      <c r="F663" s="1797">
        <v>0</v>
      </c>
      <c r="G663" s="1999" t="s">
        <v>5151</v>
      </c>
      <c r="H663" s="1794">
        <v>0</v>
      </c>
      <c r="I663" s="1794">
        <v>0</v>
      </c>
      <c r="J663" s="2000">
        <v>0</v>
      </c>
      <c r="K663" s="1798"/>
      <c r="L663" s="1792">
        <v>13059130300</v>
      </c>
      <c r="M663" s="1793">
        <v>0</v>
      </c>
      <c r="N663" s="1793">
        <v>0</v>
      </c>
      <c r="O663" s="1793">
        <v>0</v>
      </c>
      <c r="P663" s="530" t="s">
        <v>1442</v>
      </c>
      <c r="Q663" s="291"/>
      <c r="R663" s="170"/>
      <c r="S663" s="387"/>
      <c r="T663" s="491" t="s">
        <v>1584</v>
      </c>
      <c r="U663" s="491" t="s">
        <v>2516</v>
      </c>
      <c r="AA663" s="27"/>
      <c r="AB663" s="27"/>
      <c r="AC663" s="889"/>
      <c r="AD663" s="502"/>
    </row>
    <row r="664" spans="3:30" ht="10.5" customHeight="1">
      <c r="C664" s="1799" t="s">
        <v>5152</v>
      </c>
      <c r="D664" s="1796">
        <v>1</v>
      </c>
      <c r="E664" s="1796">
        <v>0</v>
      </c>
      <c r="F664" s="1797">
        <v>1</v>
      </c>
      <c r="G664" s="1999" t="s">
        <v>5152</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5153</v>
      </c>
      <c r="D665" s="1796">
        <v>0</v>
      </c>
      <c r="E665" s="1796">
        <v>0</v>
      </c>
      <c r="F665" s="1797">
        <v>0</v>
      </c>
      <c r="G665" s="1999" t="s">
        <v>5153</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5154</v>
      </c>
      <c r="D666" s="1796">
        <v>0</v>
      </c>
      <c r="E666" s="1796">
        <v>0</v>
      </c>
      <c r="F666" s="1797">
        <v>0</v>
      </c>
      <c r="G666" s="1999" t="s">
        <v>5154</v>
      </c>
      <c r="H666" s="1794">
        <v>0</v>
      </c>
      <c r="I666" s="1794">
        <v>0</v>
      </c>
      <c r="J666" s="200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5155</v>
      </c>
      <c r="D667" s="1796">
        <v>1</v>
      </c>
      <c r="E667" s="1796">
        <v>1</v>
      </c>
      <c r="F667" s="1797">
        <v>2</v>
      </c>
      <c r="G667" s="1999" t="s">
        <v>5155</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5156</v>
      </c>
      <c r="D668" s="1796">
        <v>0</v>
      </c>
      <c r="E668" s="1796">
        <v>0</v>
      </c>
      <c r="F668" s="1797">
        <v>0</v>
      </c>
      <c r="G668" s="1999" t="s">
        <v>5156</v>
      </c>
      <c r="H668" s="1794">
        <v>0</v>
      </c>
      <c r="I668" s="1794">
        <v>0</v>
      </c>
      <c r="J668" s="2000">
        <v>0</v>
      </c>
      <c r="K668" s="1798"/>
      <c r="L668" s="1792">
        <v>13059140300</v>
      </c>
      <c r="M668" s="1793">
        <v>0</v>
      </c>
      <c r="N668" s="1793">
        <v>0</v>
      </c>
      <c r="O668" s="1793">
        <v>0</v>
      </c>
      <c r="P668" s="530" t="s">
        <v>1240</v>
      </c>
      <c r="Q668" s="291"/>
      <c r="R668" s="170"/>
      <c r="S668" s="387"/>
      <c r="T668" s="491" t="s">
        <v>1277</v>
      </c>
      <c r="U668" s="491" t="s">
        <v>1861</v>
      </c>
      <c r="AA668" s="27"/>
      <c r="AB668" s="27"/>
      <c r="AC668" s="889"/>
      <c r="AD668" s="502"/>
    </row>
    <row r="669" spans="3:30" ht="10.5" customHeight="1">
      <c r="C669" s="1799" t="s">
        <v>5157</v>
      </c>
      <c r="D669" s="1796">
        <v>0</v>
      </c>
      <c r="E669" s="1796">
        <v>0</v>
      </c>
      <c r="F669" s="1797">
        <v>0</v>
      </c>
      <c r="G669" s="1999" t="s">
        <v>5157</v>
      </c>
      <c r="H669" s="1794">
        <v>0</v>
      </c>
      <c r="I669" s="1794">
        <v>0</v>
      </c>
      <c r="J669" s="2000">
        <v>0</v>
      </c>
      <c r="K669" s="1798"/>
      <c r="L669" s="1792">
        <v>13059140400</v>
      </c>
      <c r="M669" s="1793">
        <v>0</v>
      </c>
      <c r="N669" s="1793">
        <v>0</v>
      </c>
      <c r="O669" s="1793">
        <v>0</v>
      </c>
      <c r="P669" s="530" t="s">
        <v>1834</v>
      </c>
      <c r="Q669" s="291"/>
      <c r="R669" s="170"/>
      <c r="S669" s="387"/>
      <c r="T669" s="491" t="s">
        <v>164</v>
      </c>
      <c r="U669" s="491" t="s">
        <v>1302</v>
      </c>
      <c r="AA669" s="27"/>
      <c r="AB669" s="27"/>
      <c r="AC669" s="889"/>
      <c r="AD669" s="502"/>
    </row>
    <row r="670" spans="3:30" ht="10.5" customHeight="1">
      <c r="C670" s="1799" t="s">
        <v>5158</v>
      </c>
      <c r="D670" s="1796">
        <v>0</v>
      </c>
      <c r="E670" s="1796">
        <v>0</v>
      </c>
      <c r="F670" s="1797">
        <v>0</v>
      </c>
      <c r="G670" s="1999" t="s">
        <v>5158</v>
      </c>
      <c r="H670" s="1794">
        <v>0</v>
      </c>
      <c r="I670" s="1794">
        <v>0</v>
      </c>
      <c r="J670" s="2000">
        <v>0</v>
      </c>
      <c r="K670" s="1798"/>
      <c r="L670" s="1792">
        <v>13059140500</v>
      </c>
      <c r="M670" s="1793">
        <v>0</v>
      </c>
      <c r="N670" s="1793">
        <v>0</v>
      </c>
      <c r="O670" s="1793">
        <v>0</v>
      </c>
      <c r="P670" s="530" t="s">
        <v>1835</v>
      </c>
      <c r="Q670" s="291"/>
      <c r="R670" s="170"/>
      <c r="S670" s="387"/>
      <c r="T670" s="491" t="s">
        <v>968</v>
      </c>
      <c r="U670" s="491" t="s">
        <v>1626</v>
      </c>
      <c r="AA670" s="27"/>
      <c r="AB670" s="27"/>
      <c r="AC670" s="889"/>
      <c r="AD670" s="502"/>
    </row>
    <row r="671" spans="3:30" ht="10.5" customHeight="1">
      <c r="C671" s="1799" t="s">
        <v>5159</v>
      </c>
      <c r="D671" s="1796">
        <v>0</v>
      </c>
      <c r="E671" s="1796">
        <v>0</v>
      </c>
      <c r="F671" s="1797">
        <v>0</v>
      </c>
      <c r="G671" s="1999" t="s">
        <v>5159</v>
      </c>
      <c r="H671" s="1794">
        <v>0</v>
      </c>
      <c r="I671" s="1794">
        <v>0</v>
      </c>
      <c r="J671" s="2000">
        <v>0</v>
      </c>
      <c r="K671" s="1798"/>
      <c r="L671" s="1792">
        <v>13059140600</v>
      </c>
      <c r="M671" s="1793">
        <v>0</v>
      </c>
      <c r="N671" s="1793">
        <v>0</v>
      </c>
      <c r="O671" s="1793">
        <v>0</v>
      </c>
      <c r="P671" s="530" t="s">
        <v>1837</v>
      </c>
      <c r="Q671" s="291"/>
      <c r="R671" s="170"/>
      <c r="S671" s="387"/>
      <c r="T671" s="491" t="s">
        <v>2769</v>
      </c>
      <c r="U671" s="491" t="s">
        <v>321</v>
      </c>
      <c r="AA671" s="27"/>
      <c r="AB671" s="27"/>
      <c r="AC671" s="889"/>
      <c r="AD671" s="502"/>
    </row>
    <row r="672" spans="3:30" ht="10.5" customHeight="1">
      <c r="C672" s="1799" t="s">
        <v>5160</v>
      </c>
      <c r="D672" s="1796">
        <v>1</v>
      </c>
      <c r="E672" s="1796">
        <v>0</v>
      </c>
      <c r="F672" s="1797">
        <v>1</v>
      </c>
      <c r="G672" s="1999" t="s">
        <v>5160</v>
      </c>
      <c r="H672" s="1794">
        <v>1</v>
      </c>
      <c r="I672" s="1794">
        <v>1</v>
      </c>
      <c r="J672" s="2000">
        <v>2</v>
      </c>
      <c r="K672" s="1798"/>
      <c r="L672" s="1792">
        <v>13059150300</v>
      </c>
      <c r="M672" s="1793">
        <v>1</v>
      </c>
      <c r="N672" s="1793">
        <v>1</v>
      </c>
      <c r="O672" s="1793">
        <v>2</v>
      </c>
      <c r="P672" s="530" t="s">
        <v>1839</v>
      </c>
      <c r="Q672" s="291"/>
      <c r="R672" s="170"/>
      <c r="S672" s="387"/>
      <c r="T672" s="491" t="s">
        <v>2770</v>
      </c>
      <c r="U672" s="491" t="s">
        <v>111</v>
      </c>
      <c r="AA672" s="27"/>
      <c r="AB672" s="27"/>
      <c r="AC672" s="889"/>
      <c r="AD672" s="502"/>
    </row>
    <row r="673" spans="3:30" ht="10.5" customHeight="1">
      <c r="C673" s="1799" t="s">
        <v>5161</v>
      </c>
      <c r="D673" s="1796">
        <v>0</v>
      </c>
      <c r="E673" s="1796">
        <v>1</v>
      </c>
      <c r="F673" s="1797">
        <v>1</v>
      </c>
      <c r="G673" s="1999" t="s">
        <v>5161</v>
      </c>
      <c r="H673" s="1794">
        <v>0</v>
      </c>
      <c r="I673" s="1794" t="s">
        <v>4483</v>
      </c>
      <c r="J673" s="2000">
        <v>0</v>
      </c>
      <c r="K673" s="1798"/>
      <c r="L673" s="1792">
        <v>13059150400</v>
      </c>
      <c r="M673" s="1793">
        <v>0</v>
      </c>
      <c r="N673" s="1793">
        <v>1</v>
      </c>
      <c r="O673" s="1793">
        <v>1</v>
      </c>
      <c r="P673" s="530" t="s">
        <v>1841</v>
      </c>
      <c r="Q673" s="291"/>
      <c r="R673" s="170"/>
      <c r="S673" s="387"/>
      <c r="T673" s="491" t="s">
        <v>1299</v>
      </c>
      <c r="U673" s="491" t="s">
        <v>155</v>
      </c>
      <c r="AA673" s="27"/>
      <c r="AB673" s="27"/>
      <c r="AC673" s="889"/>
      <c r="AD673" s="502"/>
    </row>
    <row r="674" spans="3:30" ht="10.5" customHeight="1">
      <c r="C674" s="1799" t="s">
        <v>5162</v>
      </c>
      <c r="D674" s="1796">
        <v>0</v>
      </c>
      <c r="E674" s="1796">
        <v>1</v>
      </c>
      <c r="F674" s="1797">
        <v>1</v>
      </c>
      <c r="G674" s="1999" t="s">
        <v>5162</v>
      </c>
      <c r="H674" s="1794">
        <v>0</v>
      </c>
      <c r="I674" s="1794">
        <v>1</v>
      </c>
      <c r="J674" s="2000">
        <v>1</v>
      </c>
      <c r="K674" s="1798"/>
      <c r="L674" s="1792">
        <v>13059150500</v>
      </c>
      <c r="M674" s="1793">
        <v>0</v>
      </c>
      <c r="N674" s="1793">
        <v>1</v>
      </c>
      <c r="O674" s="1793">
        <v>1</v>
      </c>
      <c r="P674" s="530" t="s">
        <v>490</v>
      </c>
      <c r="Q674" s="291"/>
      <c r="R674" s="170"/>
      <c r="S674" s="387"/>
      <c r="T674" s="491" t="s">
        <v>2459</v>
      </c>
      <c r="U674" s="491" t="s">
        <v>850</v>
      </c>
      <c r="AA674" s="27"/>
      <c r="AB674" s="27"/>
      <c r="AC674" s="889"/>
      <c r="AD674" s="502"/>
    </row>
    <row r="675" spans="3:30" ht="10.5" customHeight="1">
      <c r="C675" s="1799" t="s">
        <v>5163</v>
      </c>
      <c r="D675" s="1796">
        <v>0</v>
      </c>
      <c r="E675" s="1796">
        <v>0</v>
      </c>
      <c r="F675" s="1797">
        <v>0</v>
      </c>
      <c r="G675" s="1999" t="s">
        <v>5163</v>
      </c>
      <c r="H675" s="1794">
        <v>0</v>
      </c>
      <c r="I675" s="1794">
        <v>1</v>
      </c>
      <c r="J675" s="2000">
        <v>1</v>
      </c>
      <c r="K675" s="1798"/>
      <c r="L675" s="1792">
        <v>13059150600</v>
      </c>
      <c r="M675" s="1793">
        <v>0</v>
      </c>
      <c r="N675" s="1793">
        <v>1</v>
      </c>
      <c r="O675" s="1793">
        <v>1</v>
      </c>
      <c r="P675" s="530" t="s">
        <v>2468</v>
      </c>
      <c r="Q675" s="291"/>
      <c r="R675" s="170"/>
      <c r="S675" s="387"/>
      <c r="T675" s="491" t="s">
        <v>1050</v>
      </c>
      <c r="U675" s="491" t="s">
        <v>610</v>
      </c>
      <c r="AA675" s="27"/>
      <c r="AB675" s="27"/>
      <c r="AC675" s="889"/>
      <c r="AD675" s="502"/>
    </row>
    <row r="676" spans="3:30" ht="10.5" customHeight="1">
      <c r="C676" s="1799" t="s">
        <v>5164</v>
      </c>
      <c r="D676" s="1796">
        <v>1</v>
      </c>
      <c r="E676" s="1796">
        <v>0</v>
      </c>
      <c r="F676" s="1797">
        <v>1</v>
      </c>
      <c r="G676" s="1999" t="s">
        <v>5164</v>
      </c>
      <c r="H676" s="1794">
        <v>0</v>
      </c>
      <c r="I676" s="1794">
        <v>1</v>
      </c>
      <c r="J676" s="200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5165</v>
      </c>
      <c r="D677" s="1796">
        <v>1</v>
      </c>
      <c r="E677" s="1796">
        <v>1</v>
      </c>
      <c r="F677" s="1797">
        <v>2</v>
      </c>
      <c r="G677" s="1999" t="s">
        <v>5165</v>
      </c>
      <c r="H677" s="1794">
        <v>1</v>
      </c>
      <c r="I677" s="1794">
        <v>1</v>
      </c>
      <c r="J677" s="2000">
        <v>2</v>
      </c>
      <c r="K677" s="1798"/>
      <c r="L677" s="1792">
        <v>13059150800</v>
      </c>
      <c r="M677" s="1793">
        <v>1</v>
      </c>
      <c r="N677" s="1793">
        <v>1</v>
      </c>
      <c r="O677" s="1793">
        <v>2</v>
      </c>
      <c r="P677" s="530" t="s">
        <v>1132</v>
      </c>
      <c r="Q677" s="291"/>
      <c r="R677" s="170"/>
      <c r="S677" s="387"/>
      <c r="T677" s="491" t="s">
        <v>1439</v>
      </c>
      <c r="U677" s="491" t="s">
        <v>2464</v>
      </c>
      <c r="AA677" s="27"/>
      <c r="AB677" s="27"/>
      <c r="AC677" s="890"/>
      <c r="AD677" s="502"/>
    </row>
    <row r="678" spans="3:30" ht="10.5" customHeight="1">
      <c r="C678" s="1799" t="s">
        <v>5166</v>
      </c>
      <c r="D678" s="1796">
        <v>1</v>
      </c>
      <c r="E678" s="1796">
        <v>1</v>
      </c>
      <c r="F678" s="1797">
        <v>2</v>
      </c>
      <c r="G678" s="1999" t="s">
        <v>5166</v>
      </c>
      <c r="H678" s="1794">
        <v>1</v>
      </c>
      <c r="I678" s="1794">
        <v>1</v>
      </c>
      <c r="J678" s="2000">
        <v>2</v>
      </c>
      <c r="K678" s="1798"/>
      <c r="L678" s="1792">
        <v>13059150900</v>
      </c>
      <c r="M678" s="1793">
        <v>1</v>
      </c>
      <c r="N678" s="1793">
        <v>1</v>
      </c>
      <c r="O678" s="1793">
        <v>2</v>
      </c>
      <c r="P678" s="530" t="s">
        <v>2449</v>
      </c>
      <c r="Q678" s="291"/>
      <c r="R678" s="170"/>
      <c r="S678" s="387"/>
      <c r="T678" s="491" t="s">
        <v>2771</v>
      </c>
      <c r="U678" s="491" t="s">
        <v>1903</v>
      </c>
      <c r="AA678" s="27"/>
      <c r="AB678" s="27"/>
      <c r="AC678" s="889"/>
      <c r="AD678" s="502"/>
    </row>
    <row r="679" spans="3:30" ht="10.5" customHeight="1">
      <c r="C679" s="1799" t="s">
        <v>5167</v>
      </c>
      <c r="D679" s="1796">
        <v>0</v>
      </c>
      <c r="E679" s="1796">
        <v>0</v>
      </c>
      <c r="F679" s="1797">
        <v>0</v>
      </c>
      <c r="G679" s="1999" t="s">
        <v>5167</v>
      </c>
      <c r="H679" s="1794">
        <v>0</v>
      </c>
      <c r="I679" s="1794">
        <v>0</v>
      </c>
      <c r="J679" s="2000">
        <v>0</v>
      </c>
      <c r="K679" s="1798"/>
      <c r="L679" s="1792">
        <v>13061960300</v>
      </c>
      <c r="M679" s="1793">
        <v>0</v>
      </c>
      <c r="N679" s="1793">
        <v>0</v>
      </c>
      <c r="O679" s="1793">
        <v>0</v>
      </c>
      <c r="P679" s="530" t="s">
        <v>2451</v>
      </c>
      <c r="Q679" s="291"/>
      <c r="R679" s="170"/>
      <c r="S679" s="387"/>
      <c r="T679" s="491" t="s">
        <v>1441</v>
      </c>
      <c r="U679" s="491" t="s">
        <v>320</v>
      </c>
      <c r="AA679" s="27"/>
      <c r="AB679" s="27"/>
      <c r="AC679" s="889"/>
      <c r="AD679" s="502"/>
    </row>
    <row r="680" spans="3:30" ht="10.5" customHeight="1">
      <c r="C680" s="1799" t="s">
        <v>5168</v>
      </c>
      <c r="D680" s="1796">
        <v>0</v>
      </c>
      <c r="E680" s="1796">
        <v>0</v>
      </c>
      <c r="F680" s="1797">
        <v>0</v>
      </c>
      <c r="G680" s="1999" t="s">
        <v>5168</v>
      </c>
      <c r="H680" s="1794">
        <v>0</v>
      </c>
      <c r="I680" s="1794" t="s">
        <v>4483</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5169</v>
      </c>
      <c r="D681" s="1796">
        <v>0</v>
      </c>
      <c r="E681" s="1796">
        <v>0</v>
      </c>
      <c r="F681" s="1797">
        <v>0</v>
      </c>
      <c r="G681" s="1999" t="s">
        <v>5169</v>
      </c>
      <c r="H681" s="1794">
        <v>0</v>
      </c>
      <c r="I681" s="1794">
        <v>0</v>
      </c>
      <c r="J681" s="2000">
        <v>0</v>
      </c>
      <c r="K681" s="1798"/>
      <c r="L681" s="1792">
        <v>13063040203</v>
      </c>
      <c r="M681" s="1793">
        <v>0</v>
      </c>
      <c r="N681" s="1793">
        <v>0</v>
      </c>
      <c r="O681" s="1793">
        <v>0</v>
      </c>
      <c r="P681" s="530" t="s">
        <v>1500</v>
      </c>
      <c r="Q681" s="291"/>
      <c r="R681" s="170"/>
      <c r="S681" s="387"/>
      <c r="T681" s="491" t="s">
        <v>1279</v>
      </c>
      <c r="U681" s="491" t="s">
        <v>2130</v>
      </c>
      <c r="AA681" s="27"/>
      <c r="AB681" s="27"/>
      <c r="AC681" s="889"/>
      <c r="AD681" s="502"/>
    </row>
    <row r="682" spans="3:30" ht="10.5" customHeight="1">
      <c r="C682" s="1799" t="s">
        <v>5170</v>
      </c>
      <c r="D682" s="1796">
        <v>0</v>
      </c>
      <c r="E682" s="1796">
        <v>0</v>
      </c>
      <c r="F682" s="1797">
        <v>0</v>
      </c>
      <c r="G682" s="1999" t="s">
        <v>5170</v>
      </c>
      <c r="H682" s="1794">
        <v>0</v>
      </c>
      <c r="I682" s="1794">
        <v>0</v>
      </c>
      <c r="J682" s="2000">
        <v>0</v>
      </c>
      <c r="K682" s="1798"/>
      <c r="L682" s="1792">
        <v>13063040204</v>
      </c>
      <c r="M682" s="1793">
        <v>0</v>
      </c>
      <c r="N682" s="1793">
        <v>0</v>
      </c>
      <c r="O682" s="1793">
        <v>0</v>
      </c>
      <c r="P682" s="530" t="s">
        <v>2051</v>
      </c>
      <c r="Q682" s="291"/>
      <c r="R682" s="170"/>
      <c r="S682" s="387"/>
      <c r="T682" s="491" t="s">
        <v>1281</v>
      </c>
      <c r="U682" s="491" t="s">
        <v>2464</v>
      </c>
      <c r="AA682" s="27"/>
      <c r="AB682" s="27"/>
      <c r="AC682" s="889"/>
      <c r="AD682" s="502"/>
    </row>
    <row r="683" spans="3:30" ht="10.5" customHeight="1">
      <c r="C683" s="1799" t="s">
        <v>5171</v>
      </c>
      <c r="D683" s="1796">
        <v>0</v>
      </c>
      <c r="E683" s="1796">
        <v>0</v>
      </c>
      <c r="F683" s="1797">
        <v>0</v>
      </c>
      <c r="G683" s="1999" t="s">
        <v>5171</v>
      </c>
      <c r="H683" s="1794">
        <v>0</v>
      </c>
      <c r="I683" s="1794">
        <v>0</v>
      </c>
      <c r="J683" s="2000">
        <v>0</v>
      </c>
      <c r="K683" s="1798"/>
      <c r="L683" s="1792">
        <v>13063040302</v>
      </c>
      <c r="M683" s="1793">
        <v>0</v>
      </c>
      <c r="N683" s="1793">
        <v>0</v>
      </c>
      <c r="O683" s="1793">
        <v>0</v>
      </c>
      <c r="P683" s="530" t="s">
        <v>2052</v>
      </c>
      <c r="Q683" s="291"/>
      <c r="R683" s="170"/>
      <c r="S683" s="387"/>
      <c r="T683" s="491" t="s">
        <v>1944</v>
      </c>
      <c r="U683" s="491" t="s">
        <v>1085</v>
      </c>
      <c r="AA683" s="27"/>
      <c r="AB683" s="27"/>
      <c r="AC683" s="889"/>
      <c r="AD683" s="502"/>
    </row>
    <row r="684" spans="3:30" ht="10.5" customHeight="1">
      <c r="C684" s="1799" t="s">
        <v>5172</v>
      </c>
      <c r="D684" s="1796">
        <v>0</v>
      </c>
      <c r="E684" s="1796">
        <v>0</v>
      </c>
      <c r="F684" s="1797">
        <v>0</v>
      </c>
      <c r="G684" s="1999" t="s">
        <v>5172</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5173</v>
      </c>
      <c r="D685" s="1796">
        <v>0</v>
      </c>
      <c r="E685" s="1796">
        <v>0</v>
      </c>
      <c r="F685" s="1797">
        <v>0</v>
      </c>
      <c r="G685" s="1999" t="s">
        <v>5173</v>
      </c>
      <c r="H685" s="1794">
        <v>0</v>
      </c>
      <c r="I685" s="1794" t="s">
        <v>4483</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5174</v>
      </c>
      <c r="D686" s="1796">
        <v>0</v>
      </c>
      <c r="E686" s="1796">
        <v>0</v>
      </c>
      <c r="F686" s="1797">
        <v>0</v>
      </c>
      <c r="G686" s="1999" t="s">
        <v>5174</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5175</v>
      </c>
      <c r="D687" s="1796">
        <v>0</v>
      </c>
      <c r="E687" s="1796">
        <v>0</v>
      </c>
      <c r="F687" s="1797">
        <v>0</v>
      </c>
      <c r="G687" s="1999" t="s">
        <v>5175</v>
      </c>
      <c r="H687" s="1794">
        <v>0</v>
      </c>
      <c r="I687" s="1794">
        <v>0</v>
      </c>
      <c r="J687" s="2000">
        <v>0</v>
      </c>
      <c r="K687" s="1798"/>
      <c r="L687" s="1792">
        <v>13063040308</v>
      </c>
      <c r="M687" s="1793">
        <v>0</v>
      </c>
      <c r="N687" s="1793">
        <v>0</v>
      </c>
      <c r="O687" s="1793">
        <v>0</v>
      </c>
      <c r="P687" s="530" t="s">
        <v>916</v>
      </c>
      <c r="Q687" s="291"/>
      <c r="R687" s="170"/>
      <c r="S687" s="387"/>
      <c r="T687" s="491" t="s">
        <v>1836</v>
      </c>
      <c r="U687" s="491" t="s">
        <v>1083</v>
      </c>
      <c r="AA687" s="27"/>
      <c r="AB687" s="27"/>
      <c r="AC687" s="889"/>
      <c r="AD687" s="502"/>
    </row>
    <row r="688" spans="3:30" ht="10.5" customHeight="1">
      <c r="C688" s="1799" t="s">
        <v>5176</v>
      </c>
      <c r="D688" s="1796">
        <v>0</v>
      </c>
      <c r="E688" s="1796">
        <v>0</v>
      </c>
      <c r="F688" s="1797">
        <v>0</v>
      </c>
      <c r="G688" s="1999" t="s">
        <v>5176</v>
      </c>
      <c r="H688" s="1794">
        <v>0</v>
      </c>
      <c r="I688" s="1794">
        <v>0</v>
      </c>
      <c r="J688" s="2000">
        <v>0</v>
      </c>
      <c r="K688" s="1798"/>
      <c r="L688" s="1792">
        <v>13063040407</v>
      </c>
      <c r="M688" s="1793">
        <v>0</v>
      </c>
      <c r="N688" s="1793">
        <v>0</v>
      </c>
      <c r="O688" s="1793">
        <v>0</v>
      </c>
      <c r="P688" s="530" t="s">
        <v>918</v>
      </c>
      <c r="Q688" s="291"/>
      <c r="R688" s="170"/>
      <c r="S688" s="387"/>
      <c r="T688" s="531" t="s">
        <v>1838</v>
      </c>
      <c r="U688" s="531" t="s">
        <v>1426</v>
      </c>
      <c r="AA688" s="27"/>
      <c r="AB688" s="27"/>
      <c r="AC688" s="889"/>
      <c r="AD688" s="502"/>
    </row>
    <row r="689" spans="3:30" ht="10.5" customHeight="1">
      <c r="C689" s="1799" t="s">
        <v>5177</v>
      </c>
      <c r="D689" s="1796">
        <v>0</v>
      </c>
      <c r="E689" s="1796">
        <v>0</v>
      </c>
      <c r="F689" s="1797">
        <v>0</v>
      </c>
      <c r="G689" s="1999" t="s">
        <v>5177</v>
      </c>
      <c r="H689" s="1794">
        <v>0</v>
      </c>
      <c r="I689" s="1794">
        <v>0</v>
      </c>
      <c r="J689" s="200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5178</v>
      </c>
      <c r="D690" s="1796">
        <v>0</v>
      </c>
      <c r="E690" s="1796">
        <v>0</v>
      </c>
      <c r="F690" s="1797">
        <v>0</v>
      </c>
      <c r="G690" s="1999" t="s">
        <v>5178</v>
      </c>
      <c r="H690" s="1794">
        <v>1</v>
      </c>
      <c r="I690" s="1794" t="s">
        <v>4483</v>
      </c>
      <c r="J690" s="200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5179</v>
      </c>
      <c r="D691" s="1796">
        <v>0</v>
      </c>
      <c r="E691" s="1796">
        <v>0</v>
      </c>
      <c r="F691" s="1797">
        <v>0</v>
      </c>
      <c r="G691" s="1999" t="s">
        <v>5179</v>
      </c>
      <c r="H691" s="1794">
        <v>0</v>
      </c>
      <c r="I691" s="1794">
        <v>0</v>
      </c>
      <c r="J691" s="2000">
        <v>0</v>
      </c>
      <c r="K691" s="1798"/>
      <c r="L691" s="1792">
        <v>13063040410</v>
      </c>
      <c r="M691" s="1793">
        <v>0</v>
      </c>
      <c r="N691" s="1793">
        <v>0</v>
      </c>
      <c r="O691" s="1793">
        <v>0</v>
      </c>
      <c r="P691" s="530" t="s">
        <v>2438</v>
      </c>
      <c r="Q691" s="291"/>
      <c r="R691" s="170"/>
      <c r="S691" s="387"/>
      <c r="T691" s="491" t="s">
        <v>491</v>
      </c>
      <c r="U691" s="491" t="s">
        <v>1960</v>
      </c>
      <c r="AA691" s="27"/>
      <c r="AB691" s="27"/>
      <c r="AC691" s="889"/>
      <c r="AD691" s="502"/>
    </row>
    <row r="692" spans="3:30" ht="10.5" customHeight="1">
      <c r="C692" s="1799" t="s">
        <v>5180</v>
      </c>
      <c r="D692" s="1796">
        <v>1</v>
      </c>
      <c r="E692" s="1796">
        <v>0</v>
      </c>
      <c r="F692" s="1797">
        <v>1</v>
      </c>
      <c r="G692" s="1999" t="s">
        <v>5180</v>
      </c>
      <c r="H692" s="1794">
        <v>1</v>
      </c>
      <c r="I692" s="1794">
        <v>1</v>
      </c>
      <c r="J692" s="200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5181</v>
      </c>
      <c r="D693" s="1796">
        <v>0</v>
      </c>
      <c r="E693" s="1796">
        <v>0</v>
      </c>
      <c r="F693" s="1797">
        <v>0</v>
      </c>
      <c r="G693" s="1999" t="s">
        <v>5181</v>
      </c>
      <c r="H693" s="1794">
        <v>0</v>
      </c>
      <c r="I693" s="1794">
        <v>0</v>
      </c>
      <c r="J693" s="2000">
        <v>0</v>
      </c>
      <c r="K693" s="1798"/>
      <c r="L693" s="1792">
        <v>13063040412</v>
      </c>
      <c r="M693" s="1793">
        <v>0</v>
      </c>
      <c r="N693" s="1793">
        <v>0</v>
      </c>
      <c r="O693" s="1793">
        <v>0</v>
      </c>
      <c r="P693" s="530" t="s">
        <v>1854</v>
      </c>
      <c r="Q693" s="291"/>
      <c r="R693" s="170"/>
      <c r="S693" s="387"/>
      <c r="T693" s="491" t="s">
        <v>4240</v>
      </c>
      <c r="U693" s="491" t="s">
        <v>1180</v>
      </c>
      <c r="AA693" s="27"/>
      <c r="AB693" s="27"/>
      <c r="AC693" s="889"/>
      <c r="AD693" s="502"/>
    </row>
    <row r="694" spans="3:30" ht="10.5" customHeight="1">
      <c r="C694" s="1799" t="s">
        <v>5182</v>
      </c>
      <c r="D694" s="1796">
        <v>0</v>
      </c>
      <c r="E694" s="1796">
        <v>0</v>
      </c>
      <c r="F694" s="1797">
        <v>0</v>
      </c>
      <c r="G694" s="1999" t="s">
        <v>5182</v>
      </c>
      <c r="H694" s="1794">
        <v>0</v>
      </c>
      <c r="I694" s="1794">
        <v>0</v>
      </c>
      <c r="J694" s="200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5183</v>
      </c>
      <c r="D695" s="1796">
        <v>0</v>
      </c>
      <c r="E695" s="1796">
        <v>0</v>
      </c>
      <c r="F695" s="1797">
        <v>0</v>
      </c>
      <c r="G695" s="1999" t="s">
        <v>5183</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5184</v>
      </c>
      <c r="D696" s="1796">
        <v>0</v>
      </c>
      <c r="E696" s="1796">
        <v>0</v>
      </c>
      <c r="F696" s="1797">
        <v>0</v>
      </c>
      <c r="G696" s="1999" t="s">
        <v>5184</v>
      </c>
      <c r="H696" s="1794">
        <v>0</v>
      </c>
      <c r="I696" s="1794">
        <v>0</v>
      </c>
      <c r="J696" s="2000">
        <v>0</v>
      </c>
      <c r="K696" s="1798"/>
      <c r="L696" s="1792">
        <v>13063040415</v>
      </c>
      <c r="M696" s="1793">
        <v>0</v>
      </c>
      <c r="N696" s="1793">
        <v>0</v>
      </c>
      <c r="O696" s="1793">
        <v>0</v>
      </c>
      <c r="P696" s="530" t="s">
        <v>627</v>
      </c>
      <c r="Q696" s="291"/>
      <c r="R696" s="170"/>
      <c r="S696" s="387"/>
      <c r="T696" s="491" t="s">
        <v>2450</v>
      </c>
      <c r="U696" s="491" t="s">
        <v>856</v>
      </c>
      <c r="AA696" s="27"/>
      <c r="AB696" s="27"/>
      <c r="AC696" s="889"/>
      <c r="AD696" s="502"/>
    </row>
    <row r="697" spans="3:30" ht="10.5" customHeight="1">
      <c r="C697" s="1799" t="s">
        <v>5185</v>
      </c>
      <c r="D697" s="1796">
        <v>0</v>
      </c>
      <c r="E697" s="1796">
        <v>0</v>
      </c>
      <c r="F697" s="1797">
        <v>0</v>
      </c>
      <c r="G697" s="1999" t="s">
        <v>5185</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5186</v>
      </c>
      <c r="D698" s="1796">
        <v>0</v>
      </c>
      <c r="E698" s="1796">
        <v>0</v>
      </c>
      <c r="F698" s="1797">
        <v>0</v>
      </c>
      <c r="G698" s="1999" t="s">
        <v>5186</v>
      </c>
      <c r="H698" s="1794">
        <v>0</v>
      </c>
      <c r="I698" s="1794">
        <v>0</v>
      </c>
      <c r="J698" s="2000">
        <v>0</v>
      </c>
      <c r="K698" s="1798"/>
      <c r="L698" s="1792">
        <v>13063040417</v>
      </c>
      <c r="M698" s="1793">
        <v>0</v>
      </c>
      <c r="N698" s="1793">
        <v>0</v>
      </c>
      <c r="O698" s="1793">
        <v>0</v>
      </c>
      <c r="P698" s="530" t="s">
        <v>2248</v>
      </c>
      <c r="Q698" s="291"/>
      <c r="R698" s="170"/>
      <c r="S698" s="387"/>
      <c r="T698" s="491" t="s">
        <v>1048</v>
      </c>
      <c r="U698" s="491" t="s">
        <v>648</v>
      </c>
      <c r="AA698" s="27"/>
      <c r="AB698" s="27"/>
      <c r="AC698" s="889"/>
      <c r="AD698" s="502"/>
    </row>
    <row r="699" spans="3:30" ht="10.5" customHeight="1">
      <c r="C699" s="1799" t="s">
        <v>5187</v>
      </c>
      <c r="D699" s="1796">
        <v>0</v>
      </c>
      <c r="E699" s="1796">
        <v>0</v>
      </c>
      <c r="F699" s="1797">
        <v>0</v>
      </c>
      <c r="G699" s="1999" t="s">
        <v>5187</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5188</v>
      </c>
      <c r="D700" s="1796">
        <v>0</v>
      </c>
      <c r="E700" s="1796">
        <v>0</v>
      </c>
      <c r="F700" s="1797">
        <v>0</v>
      </c>
      <c r="G700" s="1999" t="s">
        <v>5188</v>
      </c>
      <c r="H700" s="1794">
        <v>0</v>
      </c>
      <c r="I700" s="1794">
        <v>0</v>
      </c>
      <c r="J700" s="2000">
        <v>0</v>
      </c>
      <c r="K700" s="1798"/>
      <c r="L700" s="1792">
        <v>13063040510</v>
      </c>
      <c r="M700" s="1793">
        <v>0</v>
      </c>
      <c r="N700" s="1793">
        <v>0</v>
      </c>
      <c r="O700" s="1793">
        <v>0</v>
      </c>
      <c r="P700" s="530" t="s">
        <v>1387</v>
      </c>
      <c r="Q700" s="291"/>
      <c r="R700" s="170"/>
      <c r="S700" s="387"/>
      <c r="T700" s="491" t="s">
        <v>2772</v>
      </c>
      <c r="U700" s="491" t="s">
        <v>855</v>
      </c>
      <c r="AA700" s="27"/>
      <c r="AB700" s="27"/>
      <c r="AC700" s="889"/>
      <c r="AD700" s="502"/>
    </row>
    <row r="701" spans="3:30" ht="10.5" customHeight="1">
      <c r="C701" s="1799" t="s">
        <v>5189</v>
      </c>
      <c r="D701" s="1796">
        <v>0</v>
      </c>
      <c r="E701" s="1796">
        <v>0</v>
      </c>
      <c r="F701" s="1797">
        <v>0</v>
      </c>
      <c r="G701" s="1999" t="s">
        <v>5189</v>
      </c>
      <c r="H701" s="1794">
        <v>0</v>
      </c>
      <c r="I701" s="1794">
        <v>0</v>
      </c>
      <c r="J701" s="2000">
        <v>0</v>
      </c>
      <c r="K701" s="1798"/>
      <c r="L701" s="1792">
        <v>13063040512</v>
      </c>
      <c r="M701" s="1793">
        <v>0</v>
      </c>
      <c r="N701" s="1793">
        <v>0</v>
      </c>
      <c r="O701" s="1793">
        <v>0</v>
      </c>
      <c r="P701" s="530" t="s">
        <v>2198</v>
      </c>
      <c r="Q701" s="291"/>
      <c r="R701" s="170"/>
      <c r="S701" s="387"/>
      <c r="T701" s="491" t="s">
        <v>2053</v>
      </c>
      <c r="U701" s="491" t="s">
        <v>1300</v>
      </c>
      <c r="AA701" s="27"/>
      <c r="AB701" s="27"/>
      <c r="AC701" s="889"/>
      <c r="AD701" s="502"/>
    </row>
    <row r="702" spans="3:30" ht="10.5" customHeight="1">
      <c r="C702" s="1799" t="s">
        <v>5190</v>
      </c>
      <c r="D702" s="1796">
        <v>0</v>
      </c>
      <c r="E702" s="1796">
        <v>1</v>
      </c>
      <c r="F702" s="1797">
        <v>1</v>
      </c>
      <c r="G702" s="1999" t="s">
        <v>5190</v>
      </c>
      <c r="H702" s="1794">
        <v>0</v>
      </c>
      <c r="I702" s="1794">
        <v>1</v>
      </c>
      <c r="J702" s="2000">
        <v>0</v>
      </c>
      <c r="K702" s="1798"/>
      <c r="L702" s="1792">
        <v>13063040513</v>
      </c>
      <c r="M702" s="1793">
        <v>0</v>
      </c>
      <c r="N702" s="1793">
        <v>1</v>
      </c>
      <c r="O702" s="1793">
        <v>1</v>
      </c>
      <c r="P702" s="530" t="s">
        <v>2200</v>
      </c>
      <c r="Q702" s="291"/>
      <c r="R702" s="170"/>
      <c r="S702" s="387"/>
      <c r="T702" s="491" t="s">
        <v>1590</v>
      </c>
      <c r="U702" s="491" t="s">
        <v>1286</v>
      </c>
      <c r="AA702" s="27"/>
      <c r="AB702" s="27"/>
      <c r="AC702" s="889"/>
      <c r="AD702" s="502"/>
    </row>
    <row r="703" spans="3:30" ht="10.5" customHeight="1">
      <c r="C703" s="1799" t="s">
        <v>5191</v>
      </c>
      <c r="D703" s="1796">
        <v>0</v>
      </c>
      <c r="E703" s="1796">
        <v>0</v>
      </c>
      <c r="F703" s="1797">
        <v>0</v>
      </c>
      <c r="G703" s="1999" t="s">
        <v>5191</v>
      </c>
      <c r="H703" s="1794">
        <v>0</v>
      </c>
      <c r="I703" s="1794">
        <v>0</v>
      </c>
      <c r="J703" s="2000">
        <v>0</v>
      </c>
      <c r="K703" s="1798"/>
      <c r="L703" s="1792">
        <v>13063040514</v>
      </c>
      <c r="M703" s="1793">
        <v>0</v>
      </c>
      <c r="N703" s="1793">
        <v>0</v>
      </c>
      <c r="O703" s="1793">
        <v>0</v>
      </c>
      <c r="P703" s="530" t="s">
        <v>1758</v>
      </c>
      <c r="Q703" s="291"/>
      <c r="R703" s="170"/>
      <c r="S703" s="387"/>
      <c r="T703" s="491" t="s">
        <v>915</v>
      </c>
      <c r="U703" s="491" t="s">
        <v>2184</v>
      </c>
      <c r="AA703" s="27"/>
      <c r="AB703" s="27"/>
      <c r="AC703" s="889"/>
      <c r="AD703" s="502"/>
    </row>
    <row r="704" spans="3:30" ht="10.5" customHeight="1">
      <c r="C704" s="1799" t="s">
        <v>5192</v>
      </c>
      <c r="D704" s="1796">
        <v>0</v>
      </c>
      <c r="E704" s="1796">
        <v>0</v>
      </c>
      <c r="F704" s="1797">
        <v>0</v>
      </c>
      <c r="G704" s="1999" t="s">
        <v>5192</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5193</v>
      </c>
      <c r="D705" s="1796">
        <v>0</v>
      </c>
      <c r="E705" s="1796">
        <v>0</v>
      </c>
      <c r="F705" s="1797">
        <v>0</v>
      </c>
      <c r="G705" s="1999" t="s">
        <v>5193</v>
      </c>
      <c r="H705" s="1794">
        <v>0</v>
      </c>
      <c r="I705" s="1794">
        <v>0</v>
      </c>
      <c r="J705" s="2000">
        <v>0</v>
      </c>
      <c r="K705" s="1798"/>
      <c r="L705" s="1792">
        <v>13063040516</v>
      </c>
      <c r="M705" s="1793">
        <v>0</v>
      </c>
      <c r="N705" s="1793">
        <v>0</v>
      </c>
      <c r="O705" s="1793">
        <v>0</v>
      </c>
      <c r="P705" s="530" t="s">
        <v>1998</v>
      </c>
      <c r="Q705" s="291"/>
      <c r="R705" s="170"/>
      <c r="S705" s="387"/>
      <c r="T705" s="491" t="s">
        <v>2436</v>
      </c>
      <c r="U705" s="491" t="s">
        <v>610</v>
      </c>
      <c r="AA705" s="27"/>
      <c r="AB705" s="27"/>
      <c r="AC705" s="889"/>
      <c r="AD705" s="502"/>
    </row>
    <row r="706" spans="3:30" ht="10.5" customHeight="1">
      <c r="C706" s="1799" t="s">
        <v>5194</v>
      </c>
      <c r="D706" s="1796">
        <v>0</v>
      </c>
      <c r="E706" s="1796">
        <v>0</v>
      </c>
      <c r="F706" s="1797">
        <v>0</v>
      </c>
      <c r="G706" s="1999" t="s">
        <v>5194</v>
      </c>
      <c r="H706" s="1794">
        <v>0</v>
      </c>
      <c r="I706" s="1794">
        <v>0</v>
      </c>
      <c r="J706" s="2000">
        <v>0</v>
      </c>
      <c r="K706" s="1798"/>
      <c r="L706" s="1792">
        <v>13063040518</v>
      </c>
      <c r="M706" s="1793">
        <v>0</v>
      </c>
      <c r="N706" s="1793">
        <v>0</v>
      </c>
      <c r="O706" s="1793">
        <v>0</v>
      </c>
      <c r="P706" s="530" t="s">
        <v>1920</v>
      </c>
      <c r="Q706" s="291"/>
      <c r="R706" s="170"/>
      <c r="S706" s="387"/>
      <c r="T706" s="491" t="s">
        <v>4241</v>
      </c>
      <c r="U706" s="491" t="s">
        <v>610</v>
      </c>
      <c r="AA706" s="27"/>
      <c r="AB706" s="27"/>
      <c r="AC706" s="889"/>
      <c r="AD706" s="502"/>
    </row>
    <row r="707" spans="3:30" ht="10.5" customHeight="1">
      <c r="C707" s="1799" t="s">
        <v>5195</v>
      </c>
      <c r="D707" s="1796">
        <v>0</v>
      </c>
      <c r="E707" s="1796">
        <v>0</v>
      </c>
      <c r="F707" s="1797">
        <v>0</v>
      </c>
      <c r="G707" s="1999" t="s">
        <v>5195</v>
      </c>
      <c r="H707" s="1794">
        <v>0</v>
      </c>
      <c r="I707" s="1794" t="s">
        <v>4483</v>
      </c>
      <c r="J707" s="200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5196</v>
      </c>
      <c r="D708" s="1796">
        <v>0</v>
      </c>
      <c r="E708" s="1796">
        <v>0</v>
      </c>
      <c r="F708" s="1797">
        <v>0</v>
      </c>
      <c r="G708" s="1999" t="s">
        <v>5196</v>
      </c>
      <c r="H708" s="1794">
        <v>0</v>
      </c>
      <c r="I708" s="1794">
        <v>0</v>
      </c>
      <c r="J708" s="200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5197</v>
      </c>
      <c r="D709" s="1796">
        <v>0</v>
      </c>
      <c r="E709" s="1796">
        <v>0</v>
      </c>
      <c r="F709" s="1797">
        <v>0</v>
      </c>
      <c r="G709" s="1999" t="s">
        <v>5197</v>
      </c>
      <c r="H709" s="1794">
        <v>0</v>
      </c>
      <c r="I709" s="1794">
        <v>0</v>
      </c>
      <c r="J709" s="2000">
        <v>0</v>
      </c>
      <c r="K709" s="1798"/>
      <c r="L709" s="1792">
        <v>13063040521</v>
      </c>
      <c r="M709" s="1793">
        <v>0</v>
      </c>
      <c r="N709" s="1793">
        <v>0</v>
      </c>
      <c r="O709" s="1793">
        <v>0</v>
      </c>
      <c r="P709" s="530" t="s">
        <v>483</v>
      </c>
      <c r="Q709" s="291"/>
      <c r="R709" s="170"/>
      <c r="S709" s="387"/>
      <c r="T709" s="491" t="s">
        <v>1857</v>
      </c>
      <c r="U709" s="491" t="s">
        <v>158</v>
      </c>
      <c r="AA709" s="27"/>
      <c r="AB709" s="27"/>
      <c r="AC709" s="889"/>
      <c r="AD709" s="502"/>
    </row>
    <row r="710" spans="3:30" ht="10.5" customHeight="1">
      <c r="C710" s="1799" t="s">
        <v>5198</v>
      </c>
      <c r="D710" s="1796">
        <v>0</v>
      </c>
      <c r="E710" s="1796">
        <v>0</v>
      </c>
      <c r="F710" s="1797">
        <v>0</v>
      </c>
      <c r="G710" s="1999" t="s">
        <v>5198</v>
      </c>
      <c r="H710" s="1794">
        <v>0</v>
      </c>
      <c r="I710" s="1794">
        <v>0</v>
      </c>
      <c r="J710" s="2000">
        <v>0</v>
      </c>
      <c r="K710" s="1798"/>
      <c r="L710" s="1792">
        <v>13063040522</v>
      </c>
      <c r="M710" s="1793">
        <v>0</v>
      </c>
      <c r="N710" s="1793">
        <v>0</v>
      </c>
      <c r="O710" s="1793">
        <v>0</v>
      </c>
      <c r="P710" s="530" t="s">
        <v>444</v>
      </c>
      <c r="Q710" s="291"/>
      <c r="R710" s="170"/>
      <c r="S710" s="387"/>
      <c r="T710" s="491" t="s">
        <v>626</v>
      </c>
      <c r="U710" s="491" t="s">
        <v>2338</v>
      </c>
      <c r="AA710" s="27"/>
      <c r="AB710" s="27"/>
      <c r="AC710" s="889"/>
      <c r="AD710" s="502"/>
    </row>
    <row r="711" spans="3:30" ht="10.5" customHeight="1">
      <c r="C711" s="1799" t="s">
        <v>5199</v>
      </c>
      <c r="D711" s="1796">
        <v>0</v>
      </c>
      <c r="E711" s="1796">
        <v>0</v>
      </c>
      <c r="F711" s="1797">
        <v>0</v>
      </c>
      <c r="G711" s="1999" t="s">
        <v>5199</v>
      </c>
      <c r="H711" s="1794">
        <v>1</v>
      </c>
      <c r="I711" s="1794">
        <v>0</v>
      </c>
      <c r="J711" s="2000">
        <v>1</v>
      </c>
      <c r="K711" s="1798"/>
      <c r="L711" s="1792">
        <v>13063040523</v>
      </c>
      <c r="M711" s="1793">
        <v>1</v>
      </c>
      <c r="N711" s="1793">
        <v>0</v>
      </c>
      <c r="O711" s="1793">
        <v>1</v>
      </c>
      <c r="P711" s="530" t="s">
        <v>2048</v>
      </c>
      <c r="Q711" s="291"/>
      <c r="R711" s="170"/>
      <c r="S711" s="387"/>
      <c r="T711" s="491" t="s">
        <v>797</v>
      </c>
      <c r="U711" s="491" t="s">
        <v>2121</v>
      </c>
      <c r="AA711" s="27"/>
      <c r="AB711" s="27"/>
      <c r="AC711" s="889"/>
      <c r="AD711" s="502"/>
    </row>
    <row r="712" spans="3:30" ht="10.5" customHeight="1">
      <c r="C712" s="1799" t="s">
        <v>5200</v>
      </c>
      <c r="D712" s="1796">
        <v>0</v>
      </c>
      <c r="E712" s="1796">
        <v>0</v>
      </c>
      <c r="F712" s="1797">
        <v>0</v>
      </c>
      <c r="G712" s="1999" t="s">
        <v>5200</v>
      </c>
      <c r="H712" s="1794">
        <v>0</v>
      </c>
      <c r="I712" s="1794">
        <v>0</v>
      </c>
      <c r="J712" s="2000">
        <v>0</v>
      </c>
      <c r="K712" s="1798"/>
      <c r="L712" s="1792">
        <v>13063040524</v>
      </c>
      <c r="M712" s="1793">
        <v>0</v>
      </c>
      <c r="N712" s="1793">
        <v>0</v>
      </c>
      <c r="O712" s="1793">
        <v>0</v>
      </c>
      <c r="P712" s="530" t="s">
        <v>2073</v>
      </c>
      <c r="Q712" s="926"/>
      <c r="R712" s="926"/>
      <c r="S712" s="927"/>
      <c r="T712" s="491" t="s">
        <v>1053</v>
      </c>
      <c r="U712" s="491" t="s">
        <v>1863</v>
      </c>
      <c r="AA712" s="27"/>
      <c r="AB712" s="27"/>
      <c r="AC712" s="889"/>
      <c r="AD712" s="502"/>
    </row>
    <row r="713" spans="3:30" ht="10.5" customHeight="1">
      <c r="C713" s="1799" t="s">
        <v>5201</v>
      </c>
      <c r="D713" s="1796">
        <v>0</v>
      </c>
      <c r="E713" s="1796">
        <v>0</v>
      </c>
      <c r="F713" s="1797">
        <v>0</v>
      </c>
      <c r="G713" s="1999" t="s">
        <v>5201</v>
      </c>
      <c r="H713" s="1794">
        <v>0</v>
      </c>
      <c r="I713" s="1794" t="s">
        <v>4483</v>
      </c>
      <c r="J713" s="2000">
        <v>0</v>
      </c>
      <c r="K713" s="1798"/>
      <c r="L713" s="1792">
        <v>13063040525</v>
      </c>
      <c r="M713" s="1793">
        <v>0</v>
      </c>
      <c r="N713" s="1793">
        <v>0</v>
      </c>
      <c r="O713" s="1793">
        <v>0</v>
      </c>
      <c r="P713" s="925"/>
      <c r="Q713" s="535"/>
      <c r="R713" s="168"/>
      <c r="S713" s="311"/>
      <c r="T713" s="491" t="s">
        <v>1054</v>
      </c>
      <c r="U713" s="491" t="s">
        <v>1957</v>
      </c>
      <c r="AA713" s="27"/>
      <c r="AB713" s="27"/>
      <c r="AC713" s="889"/>
      <c r="AD713" s="502"/>
    </row>
    <row r="714" spans="3:30" ht="10.5" customHeight="1">
      <c r="C714" s="1799" t="s">
        <v>5202</v>
      </c>
      <c r="D714" s="1796">
        <v>0</v>
      </c>
      <c r="E714" s="1796">
        <v>0</v>
      </c>
      <c r="F714" s="1797">
        <v>0</v>
      </c>
      <c r="G714" s="1999" t="s">
        <v>5202</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5203</v>
      </c>
      <c r="D715" s="1796">
        <v>0</v>
      </c>
      <c r="E715" s="1796">
        <v>0</v>
      </c>
      <c r="F715" s="1797">
        <v>0</v>
      </c>
      <c r="G715" s="1999" t="s">
        <v>5203</v>
      </c>
      <c r="H715" s="1794">
        <v>0</v>
      </c>
      <c r="I715" s="1794">
        <v>1</v>
      </c>
      <c r="J715" s="200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5204</v>
      </c>
      <c r="D716" s="1796">
        <v>1</v>
      </c>
      <c r="E716" s="1796">
        <v>1</v>
      </c>
      <c r="F716" s="1797">
        <v>2</v>
      </c>
      <c r="G716" s="1999" t="s">
        <v>5204</v>
      </c>
      <c r="H716" s="1794">
        <v>1</v>
      </c>
      <c r="I716" s="1794">
        <v>0</v>
      </c>
      <c r="J716" s="2000">
        <v>1</v>
      </c>
      <c r="K716" s="1798"/>
      <c r="L716" s="1792">
        <v>13063040608</v>
      </c>
      <c r="M716" s="1793">
        <v>1</v>
      </c>
      <c r="N716" s="1793">
        <v>1</v>
      </c>
      <c r="O716" s="1793">
        <v>2</v>
      </c>
      <c r="P716" s="311"/>
      <c r="Q716" s="311"/>
      <c r="R716" s="311"/>
      <c r="S716" s="311"/>
      <c r="T716" s="491" t="s">
        <v>1386</v>
      </c>
      <c r="U716" s="491" t="s">
        <v>2184</v>
      </c>
      <c r="AA716" s="27"/>
      <c r="AB716" s="27"/>
      <c r="AC716" s="889"/>
      <c r="AD716" s="502"/>
    </row>
    <row r="717" spans="3:30" ht="10.5" customHeight="1">
      <c r="C717" s="1799" t="s">
        <v>5205</v>
      </c>
      <c r="D717" s="1796">
        <v>1</v>
      </c>
      <c r="E717" s="1796">
        <v>1</v>
      </c>
      <c r="F717" s="1797">
        <v>2</v>
      </c>
      <c r="G717" s="1999" t="s">
        <v>5205</v>
      </c>
      <c r="H717" s="1794">
        <v>0</v>
      </c>
      <c r="I717" s="1794">
        <v>0</v>
      </c>
      <c r="J717" s="200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5206</v>
      </c>
      <c r="D718" s="1796">
        <v>0</v>
      </c>
      <c r="E718" s="1796">
        <v>0</v>
      </c>
      <c r="F718" s="1797">
        <v>0</v>
      </c>
      <c r="G718" s="1999" t="s">
        <v>5206</v>
      </c>
      <c r="H718" s="1794">
        <v>0</v>
      </c>
      <c r="I718" s="1794">
        <v>0</v>
      </c>
      <c r="J718" s="200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5207</v>
      </c>
      <c r="D719" s="1796">
        <v>0</v>
      </c>
      <c r="E719" s="1796">
        <v>0</v>
      </c>
      <c r="F719" s="1797">
        <v>0</v>
      </c>
      <c r="G719" s="1999" t="s">
        <v>5207</v>
      </c>
      <c r="H719" s="1794">
        <v>0</v>
      </c>
      <c r="I719" s="1794">
        <v>0</v>
      </c>
      <c r="J719" s="200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5208</v>
      </c>
      <c r="D720" s="1796">
        <v>0</v>
      </c>
      <c r="E720" s="1796">
        <v>0</v>
      </c>
      <c r="F720" s="1797">
        <v>0</v>
      </c>
      <c r="G720" s="1999" t="s">
        <v>5208</v>
      </c>
      <c r="H720" s="1794">
        <v>0</v>
      </c>
      <c r="I720" s="1794">
        <v>1</v>
      </c>
      <c r="J720" s="2000">
        <v>0</v>
      </c>
      <c r="K720" s="1798"/>
      <c r="L720" s="1792">
        <v>13063040613</v>
      </c>
      <c r="M720" s="1793">
        <v>0</v>
      </c>
      <c r="N720" s="1793">
        <v>1</v>
      </c>
      <c r="O720" s="1793">
        <v>0</v>
      </c>
      <c r="P720" s="311"/>
      <c r="Q720" s="311"/>
      <c r="R720" s="311"/>
      <c r="S720" s="311"/>
      <c r="T720" s="491" t="s">
        <v>2773</v>
      </c>
      <c r="U720" s="491" t="s">
        <v>155</v>
      </c>
      <c r="AA720" s="27"/>
      <c r="AB720" s="27"/>
      <c r="AC720" s="889"/>
      <c r="AD720" s="502"/>
    </row>
    <row r="721" spans="3:30" ht="10.5" customHeight="1">
      <c r="C721" s="1799" t="s">
        <v>5209</v>
      </c>
      <c r="D721" s="1796">
        <v>1</v>
      </c>
      <c r="E721" s="1796">
        <v>0</v>
      </c>
      <c r="F721" s="1797">
        <v>1</v>
      </c>
      <c r="G721" s="1999" t="s">
        <v>5209</v>
      </c>
      <c r="H721" s="1794">
        <v>1</v>
      </c>
      <c r="I721" s="1794">
        <v>0</v>
      </c>
      <c r="J721" s="2000">
        <v>1</v>
      </c>
      <c r="K721" s="1798"/>
      <c r="L721" s="1792">
        <v>13063040614</v>
      </c>
      <c r="M721" s="1793">
        <v>1</v>
      </c>
      <c r="N721" s="1793">
        <v>0</v>
      </c>
      <c r="O721" s="1793">
        <v>1</v>
      </c>
      <c r="P721" s="311"/>
      <c r="Q721" s="311"/>
      <c r="R721" s="311"/>
      <c r="S721" s="311"/>
      <c r="T721" s="491" t="s">
        <v>1094</v>
      </c>
      <c r="U721" s="491" t="s">
        <v>2128</v>
      </c>
      <c r="AA721" s="27"/>
      <c r="AB721" s="27"/>
      <c r="AC721" s="889"/>
      <c r="AD721" s="502"/>
    </row>
    <row r="722" spans="3:30" ht="10.5" customHeight="1">
      <c r="C722" s="1799" t="s">
        <v>5210</v>
      </c>
      <c r="D722" s="1796">
        <v>1</v>
      </c>
      <c r="E722" s="1796">
        <v>0</v>
      </c>
      <c r="F722" s="1797">
        <v>1</v>
      </c>
      <c r="G722" s="1999" t="s">
        <v>5210</v>
      </c>
      <c r="H722" s="1794">
        <v>1</v>
      </c>
      <c r="I722" s="1794" t="s">
        <v>4483</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5211</v>
      </c>
      <c r="D723" s="1796">
        <v>0</v>
      </c>
      <c r="E723" s="1796">
        <v>0</v>
      </c>
      <c r="F723" s="1797">
        <v>0</v>
      </c>
      <c r="G723" s="1999" t="s">
        <v>5211</v>
      </c>
      <c r="H723" s="1794">
        <v>1</v>
      </c>
      <c r="I723" s="1794">
        <v>0</v>
      </c>
      <c r="J723" s="200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5212</v>
      </c>
      <c r="D724" s="1796">
        <v>0</v>
      </c>
      <c r="E724" s="1796">
        <v>0</v>
      </c>
      <c r="F724" s="1797">
        <v>0</v>
      </c>
      <c r="G724" s="1999" t="s">
        <v>5212</v>
      </c>
      <c r="H724" s="1794">
        <v>0</v>
      </c>
      <c r="I724" s="1794">
        <v>0</v>
      </c>
      <c r="J724" s="200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5213</v>
      </c>
      <c r="D725" s="1796">
        <v>0</v>
      </c>
      <c r="E725" s="1796">
        <v>0</v>
      </c>
      <c r="F725" s="1797">
        <v>0</v>
      </c>
      <c r="G725" s="1999" t="s">
        <v>5213</v>
      </c>
      <c r="H725" s="1794">
        <v>1</v>
      </c>
      <c r="I725" s="1794">
        <v>0</v>
      </c>
      <c r="J725" s="200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5214</v>
      </c>
      <c r="D726" s="1796">
        <v>0</v>
      </c>
      <c r="E726" s="1796">
        <v>1</v>
      </c>
      <c r="F726" s="1797">
        <v>1</v>
      </c>
      <c r="G726" s="1999" t="s">
        <v>5214</v>
      </c>
      <c r="H726" s="1794">
        <v>1</v>
      </c>
      <c r="I726" s="1794">
        <v>1</v>
      </c>
      <c r="J726" s="200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5215</v>
      </c>
      <c r="D727" s="1796">
        <v>0</v>
      </c>
      <c r="E727" s="1796">
        <v>0</v>
      </c>
      <c r="F727" s="1797">
        <v>0</v>
      </c>
      <c r="G727" s="1999" t="s">
        <v>5215</v>
      </c>
      <c r="H727" s="1794">
        <v>0</v>
      </c>
      <c r="I727" s="1794">
        <v>0</v>
      </c>
      <c r="J727" s="2000">
        <v>0</v>
      </c>
      <c r="K727" s="1798"/>
      <c r="L727" s="1792">
        <v>13063040621</v>
      </c>
      <c r="M727" s="1793">
        <v>0</v>
      </c>
      <c r="N727" s="1793">
        <v>0</v>
      </c>
      <c r="O727" s="1793">
        <v>0</v>
      </c>
      <c r="P727" s="311"/>
      <c r="Q727" s="311"/>
      <c r="R727" s="311"/>
      <c r="S727" s="311"/>
      <c r="T727" s="531" t="s">
        <v>2774</v>
      </c>
      <c r="U727" s="531" t="s">
        <v>1863</v>
      </c>
      <c r="AA727" s="27"/>
      <c r="AB727" s="27"/>
      <c r="AC727" s="889"/>
      <c r="AD727" s="502"/>
    </row>
    <row r="728" spans="3:30" ht="10.5" customHeight="1">
      <c r="C728" s="1799" t="s">
        <v>5216</v>
      </c>
      <c r="D728" s="1796">
        <v>0</v>
      </c>
      <c r="E728" s="1796">
        <v>0</v>
      </c>
      <c r="F728" s="1797">
        <v>0</v>
      </c>
      <c r="G728" s="1999" t="s">
        <v>5216</v>
      </c>
      <c r="H728" s="1794">
        <v>0</v>
      </c>
      <c r="I728" s="1794" t="s">
        <v>4483</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5217</v>
      </c>
      <c r="D729" s="1796" t="s">
        <v>4483</v>
      </c>
      <c r="E729" s="1796" t="s">
        <v>4483</v>
      </c>
      <c r="F729" s="1797">
        <v>0</v>
      </c>
      <c r="G729" s="1999" t="s">
        <v>5217</v>
      </c>
      <c r="H729" s="1794" t="s">
        <v>4483</v>
      </c>
      <c r="I729" s="1794" t="s">
        <v>4483</v>
      </c>
      <c r="J729" s="2000">
        <v>0</v>
      </c>
      <c r="K729" s="1798"/>
      <c r="L729" s="1792">
        <v>13063980000</v>
      </c>
      <c r="M729" s="1793">
        <v>0</v>
      </c>
      <c r="N729" s="1793">
        <v>0</v>
      </c>
      <c r="O729" s="1793">
        <v>0</v>
      </c>
      <c r="P729" s="311"/>
      <c r="Q729" s="311"/>
      <c r="R729" s="311"/>
      <c r="S729" s="311"/>
      <c r="T729" s="491" t="s">
        <v>2049</v>
      </c>
      <c r="U729" s="491" t="s">
        <v>715</v>
      </c>
      <c r="AA729" s="27"/>
      <c r="AB729" s="27"/>
      <c r="AC729" s="889"/>
      <c r="AD729" s="502"/>
    </row>
    <row r="730" spans="3:30" ht="10.5" customHeight="1">
      <c r="C730" s="1799" t="s">
        <v>5218</v>
      </c>
      <c r="D730" s="1796">
        <v>0</v>
      </c>
      <c r="E730" s="1796">
        <v>0</v>
      </c>
      <c r="F730" s="1797">
        <v>0</v>
      </c>
      <c r="G730" s="1999" t="s">
        <v>5218</v>
      </c>
      <c r="H730" s="1794">
        <v>0</v>
      </c>
      <c r="I730" s="1794">
        <v>0</v>
      </c>
      <c r="J730" s="200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5219</v>
      </c>
      <c r="D731" s="1796">
        <v>0</v>
      </c>
      <c r="E731" s="1796">
        <v>0</v>
      </c>
      <c r="F731" s="1797">
        <v>0</v>
      </c>
      <c r="G731" s="1999" t="s">
        <v>5219</v>
      </c>
      <c r="H731" s="1794">
        <v>0</v>
      </c>
      <c r="I731" s="1794">
        <v>0</v>
      </c>
      <c r="J731" s="2000">
        <v>0</v>
      </c>
      <c r="K731" s="1798"/>
      <c r="L731" s="1792">
        <v>13065970200</v>
      </c>
      <c r="M731" s="1793">
        <v>0</v>
      </c>
      <c r="N731" s="1793">
        <v>0</v>
      </c>
      <c r="O731" s="1793">
        <v>0</v>
      </c>
      <c r="P731" s="311"/>
      <c r="Q731" s="311"/>
      <c r="R731" s="311"/>
      <c r="S731" s="311"/>
      <c r="T731" s="491" t="s">
        <v>813</v>
      </c>
      <c r="U731" s="491" t="s">
        <v>1957</v>
      </c>
      <c r="AA731" s="27"/>
      <c r="AB731" s="27"/>
      <c r="AC731" s="889"/>
      <c r="AD731" s="502"/>
    </row>
    <row r="732" spans="3:30" ht="10.5" customHeight="1">
      <c r="C732" s="1799" t="s">
        <v>5220</v>
      </c>
      <c r="D732" s="1796">
        <v>1</v>
      </c>
      <c r="E732" s="1796">
        <v>1</v>
      </c>
      <c r="F732" s="1797">
        <v>2</v>
      </c>
      <c r="G732" s="1999" t="s">
        <v>5220</v>
      </c>
      <c r="H732" s="1794">
        <v>1</v>
      </c>
      <c r="I732" s="1794">
        <v>1</v>
      </c>
      <c r="J732" s="200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5221</v>
      </c>
      <c r="D733" s="1796">
        <v>1</v>
      </c>
      <c r="E733" s="1796">
        <v>1</v>
      </c>
      <c r="F733" s="1797">
        <v>2</v>
      </c>
      <c r="G733" s="1999" t="s">
        <v>5221</v>
      </c>
      <c r="H733" s="1794">
        <v>1</v>
      </c>
      <c r="I733" s="1794">
        <v>1</v>
      </c>
      <c r="J733" s="2000">
        <v>2</v>
      </c>
      <c r="K733" s="1798"/>
      <c r="L733" s="1792">
        <v>13067030103</v>
      </c>
      <c r="M733" s="1793">
        <v>1</v>
      </c>
      <c r="N733" s="1793">
        <v>1</v>
      </c>
      <c r="O733" s="1793">
        <v>2</v>
      </c>
      <c r="P733" s="311"/>
      <c r="Q733" s="311"/>
      <c r="R733" s="311"/>
      <c r="S733" s="311"/>
      <c r="T733" s="491" t="s">
        <v>2076</v>
      </c>
      <c r="U733" s="491" t="s">
        <v>1627</v>
      </c>
      <c r="AA733" s="27"/>
      <c r="AB733" s="27"/>
      <c r="AC733" s="889"/>
      <c r="AD733" s="502"/>
    </row>
    <row r="734" spans="3:30" ht="10.5" customHeight="1">
      <c r="C734" s="1799" t="s">
        <v>5222</v>
      </c>
      <c r="D734" s="1796">
        <v>0</v>
      </c>
      <c r="E734" s="1796">
        <v>0</v>
      </c>
      <c r="F734" s="1797">
        <v>0</v>
      </c>
      <c r="G734" s="1999" t="s">
        <v>5222</v>
      </c>
      <c r="H734" s="1794">
        <v>0</v>
      </c>
      <c r="I734" s="1794">
        <v>0</v>
      </c>
      <c r="J734" s="200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5223</v>
      </c>
      <c r="D735" s="1796">
        <v>0</v>
      </c>
      <c r="E735" s="1796">
        <v>0</v>
      </c>
      <c r="F735" s="1797">
        <v>0</v>
      </c>
      <c r="G735" s="1999" t="s">
        <v>5223</v>
      </c>
      <c r="H735" s="1794">
        <v>1</v>
      </c>
      <c r="I735" s="1794">
        <v>0</v>
      </c>
      <c r="J735" s="200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5224</v>
      </c>
      <c r="D736" s="1796">
        <v>1</v>
      </c>
      <c r="E736" s="1796">
        <v>1</v>
      </c>
      <c r="F736" s="1797">
        <v>2</v>
      </c>
      <c r="G736" s="1999" t="s">
        <v>5224</v>
      </c>
      <c r="H736" s="1794">
        <v>1</v>
      </c>
      <c r="I736" s="1794">
        <v>1</v>
      </c>
      <c r="J736" s="2000">
        <v>2</v>
      </c>
      <c r="K736" s="1798"/>
      <c r="L736" s="1792">
        <v>13067030107</v>
      </c>
      <c r="M736" s="1793">
        <v>1</v>
      </c>
      <c r="N736" s="1793">
        <v>1</v>
      </c>
      <c r="O736" s="1793">
        <v>2</v>
      </c>
      <c r="P736" s="311"/>
      <c r="Q736" s="311"/>
      <c r="R736" s="311"/>
      <c r="S736" s="311"/>
      <c r="T736" s="531" t="s">
        <v>2274</v>
      </c>
      <c r="U736" s="531" t="s">
        <v>1629</v>
      </c>
      <c r="AA736" s="27"/>
      <c r="AB736" s="27"/>
      <c r="AC736" s="889"/>
      <c r="AD736" s="502"/>
    </row>
    <row r="737" spans="3:30" ht="10.5" customHeight="1">
      <c r="C737" s="1799" t="s">
        <v>5225</v>
      </c>
      <c r="D737" s="1796">
        <v>1</v>
      </c>
      <c r="E737" s="1796">
        <v>1</v>
      </c>
      <c r="F737" s="1797">
        <v>2</v>
      </c>
      <c r="G737" s="1999" t="s">
        <v>5225</v>
      </c>
      <c r="H737" s="1794">
        <v>1</v>
      </c>
      <c r="I737" s="1794">
        <v>1</v>
      </c>
      <c r="J737" s="2000">
        <v>2</v>
      </c>
      <c r="K737" s="1798"/>
      <c r="L737" s="1792">
        <v>13067030209</v>
      </c>
      <c r="M737" s="1793">
        <v>1</v>
      </c>
      <c r="N737" s="1793">
        <v>1</v>
      </c>
      <c r="O737" s="1793">
        <v>2</v>
      </c>
      <c r="P737" s="311"/>
      <c r="Q737" s="311"/>
      <c r="R737" s="311"/>
      <c r="S737" s="311"/>
      <c r="T737" s="491" t="s">
        <v>2275</v>
      </c>
      <c r="U737" s="491" t="s">
        <v>1083</v>
      </c>
      <c r="AA737" s="27"/>
      <c r="AB737" s="27"/>
      <c r="AC737" s="890"/>
      <c r="AD737" s="502"/>
    </row>
    <row r="738" spans="3:30" ht="10.5" customHeight="1">
      <c r="C738" s="1799" t="s">
        <v>5226</v>
      </c>
      <c r="D738" s="1796">
        <v>1</v>
      </c>
      <c r="E738" s="1796">
        <v>1</v>
      </c>
      <c r="F738" s="1797">
        <v>2</v>
      </c>
      <c r="G738" s="1999" t="s">
        <v>5226</v>
      </c>
      <c r="H738" s="1794">
        <v>1</v>
      </c>
      <c r="I738" s="1794">
        <v>1</v>
      </c>
      <c r="J738" s="200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5227</v>
      </c>
      <c r="D739" s="1796">
        <v>1</v>
      </c>
      <c r="E739" s="1796">
        <v>1</v>
      </c>
      <c r="F739" s="1797">
        <v>2</v>
      </c>
      <c r="G739" s="1999" t="s">
        <v>5227</v>
      </c>
      <c r="H739" s="1794">
        <v>1</v>
      </c>
      <c r="I739" s="1794">
        <v>1</v>
      </c>
      <c r="J739" s="200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5228</v>
      </c>
      <c r="D740" s="1796">
        <v>1</v>
      </c>
      <c r="E740" s="1796">
        <v>1</v>
      </c>
      <c r="F740" s="1797">
        <v>2</v>
      </c>
      <c r="G740" s="1999" t="s">
        <v>5228</v>
      </c>
      <c r="H740" s="1794">
        <v>1</v>
      </c>
      <c r="I740" s="1794">
        <v>1</v>
      </c>
      <c r="J740" s="2000">
        <v>2</v>
      </c>
      <c r="K740" s="1798"/>
      <c r="L740" s="1792">
        <v>13067030218</v>
      </c>
      <c r="M740" s="1793">
        <v>1</v>
      </c>
      <c r="N740" s="1793">
        <v>1</v>
      </c>
      <c r="O740" s="1793">
        <v>2</v>
      </c>
      <c r="P740" s="311"/>
      <c r="Q740" s="311"/>
      <c r="R740" s="311"/>
      <c r="S740" s="311"/>
      <c r="T740" s="491" t="s">
        <v>1593</v>
      </c>
      <c r="U740" s="491" t="s">
        <v>2336</v>
      </c>
      <c r="AA740" s="27"/>
      <c r="AB740" s="27"/>
      <c r="AC740" s="889"/>
      <c r="AD740" s="502"/>
    </row>
    <row r="741" spans="3:30" ht="10.5" customHeight="1">
      <c r="C741" s="1799" t="s">
        <v>5229</v>
      </c>
      <c r="D741" s="1796">
        <v>1</v>
      </c>
      <c r="E741" s="1796">
        <v>1</v>
      </c>
      <c r="F741" s="1797">
        <v>2</v>
      </c>
      <c r="G741" s="1999" t="s">
        <v>5229</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5230</v>
      </c>
      <c r="D742" s="1796">
        <v>1</v>
      </c>
      <c r="E742" s="1796">
        <v>1</v>
      </c>
      <c r="F742" s="1797">
        <v>2</v>
      </c>
      <c r="G742" s="1999" t="s">
        <v>5230</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5231</v>
      </c>
      <c r="D743" s="1796">
        <v>1</v>
      </c>
      <c r="E743" s="1796">
        <v>1</v>
      </c>
      <c r="F743" s="1797">
        <v>2</v>
      </c>
      <c r="G743" s="1999" t="s">
        <v>5231</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5232</v>
      </c>
      <c r="D744" s="1796">
        <v>1</v>
      </c>
      <c r="E744" s="1796">
        <v>1</v>
      </c>
      <c r="F744" s="1797">
        <v>2</v>
      </c>
      <c r="G744" s="1999" t="s">
        <v>5232</v>
      </c>
      <c r="H744" s="1794">
        <v>1</v>
      </c>
      <c r="I744" s="1794">
        <v>1</v>
      </c>
      <c r="J744" s="2000">
        <v>2</v>
      </c>
      <c r="K744" s="1798"/>
      <c r="L744" s="1792">
        <v>13067030223</v>
      </c>
      <c r="M744" s="1793">
        <v>1</v>
      </c>
      <c r="N744" s="1793">
        <v>1</v>
      </c>
      <c r="O744" s="1793">
        <v>2</v>
      </c>
      <c r="P744" s="311"/>
      <c r="Q744" s="311"/>
      <c r="R744" s="311"/>
      <c r="S744" s="311"/>
      <c r="T744" s="491" t="s">
        <v>798</v>
      </c>
      <c r="U744" s="491" t="s">
        <v>1902</v>
      </c>
      <c r="AA744" s="27"/>
      <c r="AB744" s="27"/>
      <c r="AC744" s="889"/>
      <c r="AD744" s="502"/>
    </row>
    <row r="745" spans="3:30" ht="10.5" customHeight="1">
      <c r="C745" s="1799" t="s">
        <v>5233</v>
      </c>
      <c r="D745" s="1796">
        <v>1</v>
      </c>
      <c r="E745" s="1796">
        <v>1</v>
      </c>
      <c r="F745" s="1797">
        <v>2</v>
      </c>
      <c r="G745" s="1999" t="s">
        <v>5233</v>
      </c>
      <c r="H745" s="1794">
        <v>1</v>
      </c>
      <c r="I745" s="1794">
        <v>1</v>
      </c>
      <c r="J745" s="2000">
        <v>2</v>
      </c>
      <c r="K745" s="1798"/>
      <c r="L745" s="1792">
        <v>13067030224</v>
      </c>
      <c r="M745" s="1793">
        <v>1</v>
      </c>
      <c r="N745" s="1793">
        <v>1</v>
      </c>
      <c r="O745" s="1793">
        <v>2</v>
      </c>
      <c r="P745" s="311"/>
      <c r="Q745" s="311"/>
      <c r="R745" s="311"/>
      <c r="S745" s="311"/>
      <c r="T745" s="491" t="s">
        <v>1645</v>
      </c>
      <c r="U745" s="491" t="s">
        <v>2464</v>
      </c>
      <c r="AA745" s="27"/>
      <c r="AB745" s="27"/>
      <c r="AC745" s="889"/>
      <c r="AD745" s="502"/>
    </row>
    <row r="746" spans="3:30" ht="10.5" customHeight="1">
      <c r="C746" s="1799" t="s">
        <v>5234</v>
      </c>
      <c r="D746" s="1796">
        <v>1</v>
      </c>
      <c r="E746" s="1796">
        <v>1</v>
      </c>
      <c r="F746" s="1797">
        <v>2</v>
      </c>
      <c r="G746" s="1999" t="s">
        <v>5234</v>
      </c>
      <c r="H746" s="1794">
        <v>1</v>
      </c>
      <c r="I746" s="1794">
        <v>1</v>
      </c>
      <c r="J746" s="2000">
        <v>2</v>
      </c>
      <c r="K746" s="1798"/>
      <c r="L746" s="1792">
        <v>13067030226</v>
      </c>
      <c r="M746" s="1793">
        <v>1</v>
      </c>
      <c r="N746" s="1793">
        <v>1</v>
      </c>
      <c r="O746" s="1793">
        <v>2</v>
      </c>
      <c r="P746" s="311"/>
      <c r="Q746" s="311"/>
      <c r="R746" s="311"/>
      <c r="S746" s="311"/>
      <c r="T746" s="491" t="s">
        <v>1646</v>
      </c>
      <c r="U746" s="491" t="s">
        <v>2184</v>
      </c>
      <c r="AA746" s="27"/>
      <c r="AB746" s="27"/>
      <c r="AC746" s="889"/>
      <c r="AD746" s="502"/>
    </row>
    <row r="747" spans="3:30" ht="10.5" customHeight="1">
      <c r="C747" s="1799" t="s">
        <v>5235</v>
      </c>
      <c r="D747" s="1796">
        <v>1</v>
      </c>
      <c r="E747" s="1796">
        <v>1</v>
      </c>
      <c r="F747" s="1797">
        <v>2</v>
      </c>
      <c r="G747" s="1999" t="s">
        <v>5235</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5236</v>
      </c>
      <c r="D748" s="1796">
        <v>1</v>
      </c>
      <c r="E748" s="1796">
        <v>1</v>
      </c>
      <c r="F748" s="1797">
        <v>2</v>
      </c>
      <c r="G748" s="1999" t="s">
        <v>5236</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5237</v>
      </c>
      <c r="D749" s="1796">
        <v>0</v>
      </c>
      <c r="E749" s="1796">
        <v>1</v>
      </c>
      <c r="F749" s="1797">
        <v>1</v>
      </c>
      <c r="G749" s="1999" t="s">
        <v>5237</v>
      </c>
      <c r="H749" s="1794">
        <v>0</v>
      </c>
      <c r="I749" s="1794" t="s">
        <v>4483</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5238</v>
      </c>
      <c r="D750" s="1796">
        <v>1</v>
      </c>
      <c r="E750" s="1796">
        <v>1</v>
      </c>
      <c r="F750" s="1797">
        <v>2</v>
      </c>
      <c r="G750" s="1999" t="s">
        <v>5238</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5239</v>
      </c>
      <c r="D751" s="1796">
        <v>1</v>
      </c>
      <c r="E751" s="1796">
        <v>1</v>
      </c>
      <c r="F751" s="1797">
        <v>2</v>
      </c>
      <c r="G751" s="1999" t="s">
        <v>5239</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5240</v>
      </c>
      <c r="D752" s="1796">
        <v>1</v>
      </c>
      <c r="E752" s="1796">
        <v>1</v>
      </c>
      <c r="F752" s="1797">
        <v>2</v>
      </c>
      <c r="G752" s="1999" t="s">
        <v>5240</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5241</v>
      </c>
      <c r="D753" s="1796">
        <v>1</v>
      </c>
      <c r="E753" s="1796">
        <v>1</v>
      </c>
      <c r="F753" s="1797">
        <v>2</v>
      </c>
      <c r="G753" s="1999" t="s">
        <v>5241</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5242</v>
      </c>
      <c r="D754" s="1796">
        <v>1</v>
      </c>
      <c r="E754" s="1796">
        <v>1</v>
      </c>
      <c r="F754" s="1797">
        <v>2</v>
      </c>
      <c r="G754" s="1999" t="s">
        <v>5242</v>
      </c>
      <c r="H754" s="1794">
        <v>1</v>
      </c>
      <c r="I754" s="1794" t="s">
        <v>4483</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5243</v>
      </c>
      <c r="D755" s="1796">
        <v>1</v>
      </c>
      <c r="E755" s="1796">
        <v>1</v>
      </c>
      <c r="F755" s="1797">
        <v>2</v>
      </c>
      <c r="G755" s="1999" t="s">
        <v>5243</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5244</v>
      </c>
      <c r="D756" s="1796">
        <v>1</v>
      </c>
      <c r="E756" s="1796">
        <v>1</v>
      </c>
      <c r="F756" s="1797">
        <v>2</v>
      </c>
      <c r="G756" s="1999" t="s">
        <v>5244</v>
      </c>
      <c r="H756" s="1794">
        <v>1</v>
      </c>
      <c r="I756" s="1794" t="s">
        <v>4483</v>
      </c>
      <c r="J756" s="2000">
        <v>1</v>
      </c>
      <c r="K756" s="1798"/>
      <c r="L756" s="1792">
        <v>13067030236</v>
      </c>
      <c r="M756" s="1793">
        <v>1</v>
      </c>
      <c r="N756" s="1793">
        <v>1</v>
      </c>
      <c r="O756" s="1793">
        <v>2</v>
      </c>
      <c r="P756" s="311"/>
      <c r="Q756" s="311"/>
      <c r="R756" s="311"/>
      <c r="S756" s="311"/>
      <c r="T756" s="531" t="s">
        <v>1655</v>
      </c>
      <c r="U756" s="531" t="s">
        <v>1902</v>
      </c>
      <c r="AA756" s="27"/>
      <c r="AB756" s="27"/>
      <c r="AC756" s="889"/>
      <c r="AD756" s="502"/>
    </row>
    <row r="757" spans="3:30" ht="10.5" customHeight="1">
      <c r="C757" s="1799" t="s">
        <v>5245</v>
      </c>
      <c r="D757" s="1796">
        <v>1</v>
      </c>
      <c r="E757" s="1796">
        <v>1</v>
      </c>
      <c r="F757" s="1797">
        <v>2</v>
      </c>
      <c r="G757" s="1999" t="s">
        <v>5245</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5246</v>
      </c>
      <c r="D758" s="1796">
        <v>1</v>
      </c>
      <c r="E758" s="1796">
        <v>1</v>
      </c>
      <c r="F758" s="1797">
        <v>2</v>
      </c>
      <c r="G758" s="1999" t="s">
        <v>5246</v>
      </c>
      <c r="H758" s="1794">
        <v>1</v>
      </c>
      <c r="I758" s="1794">
        <v>1</v>
      </c>
      <c r="J758" s="2000">
        <v>2</v>
      </c>
      <c r="K758" s="1798"/>
      <c r="L758" s="1792">
        <v>13067030239</v>
      </c>
      <c r="M758" s="1793">
        <v>1</v>
      </c>
      <c r="N758" s="1793">
        <v>1</v>
      </c>
      <c r="O758" s="1793">
        <v>2</v>
      </c>
      <c r="P758" s="311"/>
      <c r="Q758" s="311"/>
      <c r="R758" s="311"/>
      <c r="S758" s="311"/>
      <c r="T758" s="491" t="s">
        <v>1657</v>
      </c>
      <c r="U758" s="491" t="s">
        <v>1861</v>
      </c>
      <c r="AA758" s="27"/>
      <c r="AB758" s="27"/>
      <c r="AC758" s="889"/>
      <c r="AD758" s="502"/>
    </row>
    <row r="759" spans="3:30" ht="10.5" customHeight="1">
      <c r="C759" s="1799" t="s">
        <v>5247</v>
      </c>
      <c r="D759" s="1796">
        <v>1</v>
      </c>
      <c r="E759" s="1796">
        <v>1</v>
      </c>
      <c r="F759" s="1797">
        <v>2</v>
      </c>
      <c r="G759" s="1999" t="s">
        <v>5247</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5248</v>
      </c>
      <c r="D760" s="1796">
        <v>1</v>
      </c>
      <c r="E760" s="1796">
        <v>1</v>
      </c>
      <c r="F760" s="1797">
        <v>2</v>
      </c>
      <c r="G760" s="1999" t="s">
        <v>5248</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5249</v>
      </c>
      <c r="D761" s="1796">
        <v>1</v>
      </c>
      <c r="E761" s="1796">
        <v>1</v>
      </c>
      <c r="F761" s="1797">
        <v>2</v>
      </c>
      <c r="G761" s="1999" t="s">
        <v>5249</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5250</v>
      </c>
      <c r="D762" s="1796">
        <v>1</v>
      </c>
      <c r="E762" s="1796">
        <v>1</v>
      </c>
      <c r="F762" s="1797">
        <v>2</v>
      </c>
      <c r="G762" s="1999" t="s">
        <v>5250</v>
      </c>
      <c r="H762" s="1794">
        <v>1</v>
      </c>
      <c r="I762" s="1794">
        <v>1</v>
      </c>
      <c r="J762" s="2000">
        <v>2</v>
      </c>
      <c r="K762" s="1798"/>
      <c r="L762" s="1792">
        <v>13067030313</v>
      </c>
      <c r="M762" s="1793">
        <v>1</v>
      </c>
      <c r="N762" s="1793">
        <v>1</v>
      </c>
      <c r="O762" s="1793">
        <v>2</v>
      </c>
      <c r="P762" s="311"/>
      <c r="Q762" s="311"/>
      <c r="R762" s="311"/>
      <c r="S762" s="311"/>
      <c r="T762" s="491" t="s">
        <v>1057</v>
      </c>
      <c r="U762" s="491" t="s">
        <v>2421</v>
      </c>
      <c r="AA762" s="27"/>
      <c r="AB762" s="27"/>
      <c r="AC762" s="889"/>
      <c r="AD762" s="502"/>
    </row>
    <row r="763" spans="3:30" ht="10.5" customHeight="1">
      <c r="C763" s="1799" t="s">
        <v>5251</v>
      </c>
      <c r="D763" s="1796">
        <v>1</v>
      </c>
      <c r="E763" s="1796">
        <v>1</v>
      </c>
      <c r="F763" s="1797">
        <v>2</v>
      </c>
      <c r="G763" s="1999" t="s">
        <v>5251</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5252</v>
      </c>
      <c r="D764" s="1796">
        <v>1</v>
      </c>
      <c r="E764" s="1796">
        <v>1</v>
      </c>
      <c r="F764" s="1797">
        <v>2</v>
      </c>
      <c r="G764" s="1999" t="s">
        <v>5252</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5253</v>
      </c>
      <c r="D765" s="1796">
        <v>1</v>
      </c>
      <c r="E765" s="1796">
        <v>1</v>
      </c>
      <c r="F765" s="1797">
        <v>2</v>
      </c>
      <c r="G765" s="1999" t="s">
        <v>5253</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5254</v>
      </c>
      <c r="D766" s="1796">
        <v>1</v>
      </c>
      <c r="E766" s="1796">
        <v>1</v>
      </c>
      <c r="F766" s="1797">
        <v>2</v>
      </c>
      <c r="G766" s="1999" t="s">
        <v>5254</v>
      </c>
      <c r="H766" s="1794">
        <v>1</v>
      </c>
      <c r="I766" s="1794">
        <v>1</v>
      </c>
      <c r="J766" s="2000">
        <v>2</v>
      </c>
      <c r="K766" s="1798"/>
      <c r="L766" s="1792">
        <v>13067030320</v>
      </c>
      <c r="M766" s="1793">
        <v>1</v>
      </c>
      <c r="N766" s="1793">
        <v>1</v>
      </c>
      <c r="O766" s="1793">
        <v>2</v>
      </c>
      <c r="P766" s="311"/>
      <c r="Q766" s="311"/>
      <c r="R766" s="311"/>
      <c r="S766" s="311"/>
      <c r="T766" s="491" t="s">
        <v>1664</v>
      </c>
      <c r="U766" s="491" t="s">
        <v>1960</v>
      </c>
      <c r="AA766" s="27"/>
      <c r="AB766" s="27"/>
      <c r="AC766" s="889"/>
      <c r="AD766" s="502"/>
    </row>
    <row r="767" spans="3:30" ht="10.5" customHeight="1">
      <c r="C767" s="1799" t="s">
        <v>5255</v>
      </c>
      <c r="D767" s="1796">
        <v>1</v>
      </c>
      <c r="E767" s="1796">
        <v>1</v>
      </c>
      <c r="F767" s="1797">
        <v>2</v>
      </c>
      <c r="G767" s="1999" t="s">
        <v>5255</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5256</v>
      </c>
      <c r="D768" s="1796">
        <v>1</v>
      </c>
      <c r="E768" s="1796">
        <v>1</v>
      </c>
      <c r="F768" s="1797">
        <v>2</v>
      </c>
      <c r="G768" s="1999" t="s">
        <v>5256</v>
      </c>
      <c r="H768" s="1794">
        <v>1</v>
      </c>
      <c r="I768" s="1794">
        <v>1</v>
      </c>
      <c r="J768" s="2000">
        <v>2</v>
      </c>
      <c r="K768" s="1798"/>
      <c r="L768" s="1792">
        <v>13067030324</v>
      </c>
      <c r="M768" s="1793">
        <v>1</v>
      </c>
      <c r="N768" s="1793">
        <v>1</v>
      </c>
      <c r="O768" s="1793">
        <v>2</v>
      </c>
      <c r="P768" s="311"/>
      <c r="Q768" s="311"/>
      <c r="R768" s="311"/>
      <c r="S768" s="311"/>
      <c r="T768" s="491" t="s">
        <v>1666</v>
      </c>
      <c r="U768" s="491" t="s">
        <v>1830</v>
      </c>
      <c r="AA768" s="27"/>
      <c r="AB768" s="27"/>
      <c r="AC768" s="889"/>
      <c r="AD768" s="502"/>
    </row>
    <row r="769" spans="3:30" ht="10.5" customHeight="1">
      <c r="C769" s="1799" t="s">
        <v>5257</v>
      </c>
      <c r="D769" s="1796">
        <v>1</v>
      </c>
      <c r="E769" s="1796">
        <v>1</v>
      </c>
      <c r="F769" s="1797">
        <v>2</v>
      </c>
      <c r="G769" s="1999" t="s">
        <v>5257</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5258</v>
      </c>
      <c r="D770" s="1796">
        <v>1</v>
      </c>
      <c r="E770" s="1796">
        <v>1</v>
      </c>
      <c r="F770" s="1797">
        <v>2</v>
      </c>
      <c r="G770" s="1999" t="s">
        <v>5258</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5259</v>
      </c>
      <c r="D771" s="1796">
        <v>1</v>
      </c>
      <c r="E771" s="1796">
        <v>1</v>
      </c>
      <c r="F771" s="1797">
        <v>2</v>
      </c>
      <c r="G771" s="1999" t="s">
        <v>5259</v>
      </c>
      <c r="H771" s="1794">
        <v>1</v>
      </c>
      <c r="I771" s="1794">
        <v>1</v>
      </c>
      <c r="J771" s="200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5260</v>
      </c>
      <c r="D772" s="1796">
        <v>1</v>
      </c>
      <c r="E772" s="1796">
        <v>1</v>
      </c>
      <c r="F772" s="1797">
        <v>2</v>
      </c>
      <c r="G772" s="1999" t="s">
        <v>5260</v>
      </c>
      <c r="H772" s="1794">
        <v>1</v>
      </c>
      <c r="I772" s="1794">
        <v>1</v>
      </c>
      <c r="J772" s="200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5261</v>
      </c>
      <c r="D773" s="1796">
        <v>1</v>
      </c>
      <c r="E773" s="1796">
        <v>1</v>
      </c>
      <c r="F773" s="1797">
        <v>2</v>
      </c>
      <c r="G773" s="1999" t="s">
        <v>5261</v>
      </c>
      <c r="H773" s="1794">
        <v>1</v>
      </c>
      <c r="I773" s="1794">
        <v>1</v>
      </c>
      <c r="J773" s="200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5262</v>
      </c>
      <c r="D774" s="1796">
        <v>1</v>
      </c>
      <c r="E774" s="1796">
        <v>1</v>
      </c>
      <c r="F774" s="1797">
        <v>2</v>
      </c>
      <c r="G774" s="1999" t="s">
        <v>5262</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5263</v>
      </c>
      <c r="D775" s="1796">
        <v>1</v>
      </c>
      <c r="E775" s="1796">
        <v>1</v>
      </c>
      <c r="F775" s="1797">
        <v>2</v>
      </c>
      <c r="G775" s="1999" t="s">
        <v>5263</v>
      </c>
      <c r="H775" s="1794">
        <v>1</v>
      </c>
      <c r="I775" s="1794">
        <v>1</v>
      </c>
      <c r="J775" s="200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5264</v>
      </c>
      <c r="D776" s="1796">
        <v>1</v>
      </c>
      <c r="E776" s="1796">
        <v>1</v>
      </c>
      <c r="F776" s="1797">
        <v>2</v>
      </c>
      <c r="G776" s="1999" t="s">
        <v>5264</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5265</v>
      </c>
      <c r="D777" s="1796">
        <v>1</v>
      </c>
      <c r="E777" s="1796">
        <v>1</v>
      </c>
      <c r="F777" s="1797">
        <v>2</v>
      </c>
      <c r="G777" s="1999" t="s">
        <v>5265</v>
      </c>
      <c r="H777" s="1794">
        <v>1</v>
      </c>
      <c r="I777" s="1794">
        <v>1</v>
      </c>
      <c r="J777" s="200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5266</v>
      </c>
      <c r="D778" s="1796">
        <v>1</v>
      </c>
      <c r="E778" s="1796">
        <v>1</v>
      </c>
      <c r="F778" s="1797">
        <v>2</v>
      </c>
      <c r="G778" s="1999" t="s">
        <v>5266</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5267</v>
      </c>
      <c r="D779" s="1796">
        <v>1</v>
      </c>
      <c r="E779" s="1796">
        <v>1</v>
      </c>
      <c r="F779" s="1797">
        <v>2</v>
      </c>
      <c r="G779" s="1999" t="s">
        <v>5267</v>
      </c>
      <c r="H779" s="1794">
        <v>1</v>
      </c>
      <c r="I779" s="1794" t="s">
        <v>4483</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5268</v>
      </c>
      <c r="D780" s="1796">
        <v>1</v>
      </c>
      <c r="E780" s="1796">
        <v>1</v>
      </c>
      <c r="F780" s="1797">
        <v>2</v>
      </c>
      <c r="G780" s="1999" t="s">
        <v>5268</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5269</v>
      </c>
      <c r="D781" s="1796">
        <v>1</v>
      </c>
      <c r="E781" s="1796">
        <v>1</v>
      </c>
      <c r="F781" s="1797">
        <v>2</v>
      </c>
      <c r="G781" s="1999" t="s">
        <v>5269</v>
      </c>
      <c r="H781" s="1794">
        <v>1</v>
      </c>
      <c r="I781" s="1794" t="s">
        <v>4483</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5270</v>
      </c>
      <c r="D782" s="1796">
        <v>1</v>
      </c>
      <c r="E782" s="1796">
        <v>1</v>
      </c>
      <c r="F782" s="1797">
        <v>2</v>
      </c>
      <c r="G782" s="1999" t="s">
        <v>5270</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5271</v>
      </c>
      <c r="D783" s="1796">
        <v>1</v>
      </c>
      <c r="E783" s="1796">
        <v>1</v>
      </c>
      <c r="F783" s="1797">
        <v>2</v>
      </c>
      <c r="G783" s="1999" t="s">
        <v>5271</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5272</v>
      </c>
      <c r="D784" s="1796">
        <v>1</v>
      </c>
      <c r="E784" s="1796">
        <v>1</v>
      </c>
      <c r="F784" s="1797">
        <v>2</v>
      </c>
      <c r="G784" s="1999" t="s">
        <v>5272</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5273</v>
      </c>
      <c r="D785" s="1796">
        <v>1</v>
      </c>
      <c r="E785" s="1796">
        <v>1</v>
      </c>
      <c r="F785" s="1797">
        <v>2</v>
      </c>
      <c r="G785" s="1999" t="s">
        <v>5273</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5274</v>
      </c>
      <c r="D786" s="1796">
        <v>1</v>
      </c>
      <c r="E786" s="1796">
        <v>1</v>
      </c>
      <c r="F786" s="1797">
        <v>2</v>
      </c>
      <c r="G786" s="1999" t="s">
        <v>5274</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5275</v>
      </c>
      <c r="D787" s="1796">
        <v>1</v>
      </c>
      <c r="E787" s="1796">
        <v>1</v>
      </c>
      <c r="F787" s="1797">
        <v>2</v>
      </c>
      <c r="G787" s="1999" t="s">
        <v>5275</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5276</v>
      </c>
      <c r="D788" s="1796">
        <v>1</v>
      </c>
      <c r="E788" s="1796">
        <v>0</v>
      </c>
      <c r="F788" s="1797">
        <v>1</v>
      </c>
      <c r="G788" s="1999" t="s">
        <v>5276</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5277</v>
      </c>
      <c r="D789" s="1796">
        <v>1</v>
      </c>
      <c r="E789" s="1796">
        <v>1</v>
      </c>
      <c r="F789" s="1797">
        <v>2</v>
      </c>
      <c r="G789" s="1999" t="s">
        <v>5277</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5278</v>
      </c>
      <c r="D790" s="1796">
        <v>1</v>
      </c>
      <c r="E790" s="1796">
        <v>1</v>
      </c>
      <c r="F790" s="1797">
        <v>2</v>
      </c>
      <c r="G790" s="1999" t="s">
        <v>5278</v>
      </c>
      <c r="H790" s="1794">
        <v>1</v>
      </c>
      <c r="I790" s="1794">
        <v>1</v>
      </c>
      <c r="J790" s="2000">
        <v>2</v>
      </c>
      <c r="K790" s="1798"/>
      <c r="L790" s="1792">
        <v>13067030408</v>
      </c>
      <c r="M790" s="1793">
        <v>1</v>
      </c>
      <c r="N790" s="1793">
        <v>1</v>
      </c>
      <c r="O790" s="1793">
        <v>2</v>
      </c>
      <c r="P790" s="311"/>
      <c r="Q790" s="311"/>
      <c r="R790" s="311"/>
      <c r="S790" s="311"/>
      <c r="T790" s="387" t="s">
        <v>1513</v>
      </c>
      <c r="U790" s="387" t="s">
        <v>1830</v>
      </c>
      <c r="AA790" s="27"/>
      <c r="AB790" s="27"/>
      <c r="AC790" s="89"/>
      <c r="AD790" s="502"/>
    </row>
    <row r="791" spans="3:30" ht="13.8">
      <c r="C791" s="1799" t="s">
        <v>5279</v>
      </c>
      <c r="D791" s="1796">
        <v>1</v>
      </c>
      <c r="E791" s="1796">
        <v>1</v>
      </c>
      <c r="F791" s="1797">
        <v>2</v>
      </c>
      <c r="G791" s="1999" t="s">
        <v>5279</v>
      </c>
      <c r="H791" s="1794">
        <v>1</v>
      </c>
      <c r="I791" s="1794">
        <v>1</v>
      </c>
      <c r="J791" s="2000">
        <v>2</v>
      </c>
      <c r="K791" s="1798"/>
      <c r="L791" s="1792">
        <v>13067030409</v>
      </c>
      <c r="M791" s="1793">
        <v>1</v>
      </c>
      <c r="N791" s="1793">
        <v>1</v>
      </c>
      <c r="O791" s="1793">
        <v>2</v>
      </c>
      <c r="P791" s="311"/>
      <c r="Q791" s="311"/>
      <c r="R791" s="311"/>
      <c r="S791" s="311"/>
      <c r="T791" s="387" t="s">
        <v>1514</v>
      </c>
      <c r="U791" s="387" t="s">
        <v>2128</v>
      </c>
      <c r="AA791" s="27"/>
      <c r="AB791" s="27"/>
      <c r="AC791" s="89"/>
      <c r="AD791" s="502"/>
    </row>
    <row r="792" spans="3:30" ht="13.8">
      <c r="C792" s="1799" t="s">
        <v>5280</v>
      </c>
      <c r="D792" s="1796">
        <v>1</v>
      </c>
      <c r="E792" s="1796">
        <v>1</v>
      </c>
      <c r="F792" s="1797">
        <v>2</v>
      </c>
      <c r="G792" s="1999" t="s">
        <v>5280</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5281</v>
      </c>
      <c r="D793" s="1796">
        <v>0</v>
      </c>
      <c r="E793" s="1796">
        <v>0</v>
      </c>
      <c r="F793" s="1797">
        <v>0</v>
      </c>
      <c r="G793" s="1999" t="s">
        <v>5281</v>
      </c>
      <c r="H793" s="1794">
        <v>0</v>
      </c>
      <c r="I793" s="1794" t="s">
        <v>4483</v>
      </c>
      <c r="J793" s="2000">
        <v>0</v>
      </c>
      <c r="K793" s="1798"/>
      <c r="L793" s="1792">
        <v>13067030411</v>
      </c>
      <c r="M793" s="1793">
        <v>0</v>
      </c>
      <c r="N793" s="1793">
        <v>0</v>
      </c>
      <c r="O793" s="1793">
        <v>0</v>
      </c>
      <c r="P793" s="311"/>
      <c r="Q793" s="311"/>
      <c r="R793" s="311"/>
      <c r="S793" s="311"/>
      <c r="T793" s="387" t="s">
        <v>2319</v>
      </c>
      <c r="U793" s="387" t="s">
        <v>653</v>
      </c>
      <c r="AA793" s="27"/>
      <c r="AB793" s="27"/>
      <c r="AC793" s="89"/>
      <c r="AD793" s="502"/>
    </row>
    <row r="794" spans="3:30" ht="13.8">
      <c r="C794" s="1799" t="s">
        <v>5282</v>
      </c>
      <c r="D794" s="1796">
        <v>0</v>
      </c>
      <c r="E794" s="1796">
        <v>0</v>
      </c>
      <c r="F794" s="1797">
        <v>0</v>
      </c>
      <c r="G794" s="1999" t="s">
        <v>5282</v>
      </c>
      <c r="H794" s="1794">
        <v>0</v>
      </c>
      <c r="I794" s="1794">
        <v>0</v>
      </c>
      <c r="J794" s="2000">
        <v>0</v>
      </c>
      <c r="K794" s="1798"/>
      <c r="L794" s="1792">
        <v>13067030412</v>
      </c>
      <c r="M794" s="1793">
        <v>0</v>
      </c>
      <c r="N794" s="1793">
        <v>0</v>
      </c>
      <c r="O794" s="1793">
        <v>0</v>
      </c>
      <c r="P794" s="311"/>
      <c r="Q794" s="311"/>
      <c r="R794" s="311"/>
      <c r="S794" s="311"/>
      <c r="T794" s="387" t="s">
        <v>2320</v>
      </c>
      <c r="U794" s="387" t="s">
        <v>639</v>
      </c>
      <c r="AA794" s="27"/>
      <c r="AB794" s="27"/>
      <c r="AC794" s="89"/>
      <c r="AD794" s="502"/>
    </row>
    <row r="795" spans="3:30" ht="13.8">
      <c r="C795" s="1799" t="s">
        <v>5283</v>
      </c>
      <c r="D795" s="1796">
        <v>0</v>
      </c>
      <c r="E795" s="1796">
        <v>0</v>
      </c>
      <c r="F795" s="1797">
        <v>0</v>
      </c>
      <c r="G795" s="1999" t="s">
        <v>5283</v>
      </c>
      <c r="H795" s="1794">
        <v>1</v>
      </c>
      <c r="I795" s="1794" t="s">
        <v>4483</v>
      </c>
      <c r="J795" s="200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5284</v>
      </c>
      <c r="D796" s="1796">
        <v>0</v>
      </c>
      <c r="E796" s="1796">
        <v>0</v>
      </c>
      <c r="F796" s="1797">
        <v>0</v>
      </c>
      <c r="G796" s="1999" t="s">
        <v>5284</v>
      </c>
      <c r="H796" s="1794">
        <v>0</v>
      </c>
      <c r="I796" s="1794" t="s">
        <v>4483</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5285</v>
      </c>
      <c r="D797" s="1796">
        <v>1</v>
      </c>
      <c r="E797" s="1796">
        <v>1</v>
      </c>
      <c r="F797" s="1797">
        <v>2</v>
      </c>
      <c r="G797" s="1999" t="s">
        <v>5285</v>
      </c>
      <c r="H797" s="1794">
        <v>1</v>
      </c>
      <c r="I797" s="1794">
        <v>1</v>
      </c>
      <c r="J797" s="2000">
        <v>2</v>
      </c>
      <c r="K797" s="1798"/>
      <c r="L797" s="1792">
        <v>13067030502</v>
      </c>
      <c r="M797" s="1793">
        <v>1</v>
      </c>
      <c r="N797" s="1793">
        <v>1</v>
      </c>
      <c r="O797" s="1793">
        <v>2</v>
      </c>
      <c r="P797" s="311"/>
      <c r="Q797" s="311"/>
      <c r="R797" s="311"/>
      <c r="S797" s="311"/>
      <c r="T797" s="387" t="s">
        <v>815</v>
      </c>
      <c r="U797" s="387" t="s">
        <v>1957</v>
      </c>
      <c r="AA797" s="27"/>
      <c r="AB797" s="27"/>
      <c r="AC797" s="89"/>
      <c r="AD797" s="502"/>
    </row>
    <row r="798" spans="3:30" ht="13.8">
      <c r="C798" s="1799" t="s">
        <v>5286</v>
      </c>
      <c r="D798" s="1796">
        <v>1</v>
      </c>
      <c r="E798" s="1796">
        <v>0</v>
      </c>
      <c r="F798" s="1797">
        <v>1</v>
      </c>
      <c r="G798" s="1999" t="s">
        <v>5286</v>
      </c>
      <c r="H798" s="1794">
        <v>1</v>
      </c>
      <c r="I798" s="1794">
        <v>0</v>
      </c>
      <c r="J798" s="2000">
        <v>1</v>
      </c>
      <c r="K798" s="1798"/>
      <c r="L798" s="1792">
        <v>13067030504</v>
      </c>
      <c r="M798" s="1793">
        <v>1</v>
      </c>
      <c r="N798" s="1793">
        <v>0</v>
      </c>
      <c r="O798" s="1793">
        <v>1</v>
      </c>
      <c r="P798" s="311"/>
      <c r="Q798" s="311"/>
      <c r="R798" s="311"/>
      <c r="S798" s="311"/>
      <c r="T798" s="387" t="s">
        <v>2775</v>
      </c>
      <c r="U798" s="387" t="s">
        <v>111</v>
      </c>
      <c r="AA798" s="27"/>
      <c r="AB798" s="27"/>
      <c r="AC798" s="89"/>
      <c r="AD798" s="502"/>
    </row>
    <row r="799" spans="3:30" ht="13.8">
      <c r="C799" s="1799" t="s">
        <v>5287</v>
      </c>
      <c r="D799" s="1796">
        <v>1</v>
      </c>
      <c r="E799" s="1796">
        <v>0</v>
      </c>
      <c r="F799" s="1797">
        <v>1</v>
      </c>
      <c r="G799" s="1999" t="s">
        <v>5287</v>
      </c>
      <c r="H799" s="1794">
        <v>1</v>
      </c>
      <c r="I799" s="1794">
        <v>0</v>
      </c>
      <c r="J799" s="2000">
        <v>1</v>
      </c>
      <c r="K799" s="1798"/>
      <c r="L799" s="1792">
        <v>13067030505</v>
      </c>
      <c r="M799" s="1793">
        <v>1</v>
      </c>
      <c r="N799" s="1793">
        <v>0</v>
      </c>
      <c r="O799" s="1793">
        <v>1</v>
      </c>
      <c r="P799" s="311"/>
      <c r="Q799" s="311"/>
      <c r="R799" s="311"/>
      <c r="S799" s="311"/>
      <c r="T799" s="387" t="s">
        <v>816</v>
      </c>
      <c r="U799" s="387" t="s">
        <v>1863</v>
      </c>
      <c r="AA799" s="27"/>
      <c r="AB799" s="27"/>
      <c r="AC799" s="89"/>
      <c r="AD799" s="502"/>
    </row>
    <row r="800" spans="3:30" ht="13.8">
      <c r="C800" s="1799" t="s">
        <v>5288</v>
      </c>
      <c r="D800" s="1796">
        <v>1</v>
      </c>
      <c r="E800" s="1796">
        <v>1</v>
      </c>
      <c r="F800" s="1797">
        <v>2</v>
      </c>
      <c r="G800" s="1999" t="s">
        <v>5288</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5289</v>
      </c>
      <c r="D801" s="1796">
        <v>1</v>
      </c>
      <c r="E801" s="1796">
        <v>1</v>
      </c>
      <c r="F801" s="1797">
        <v>2</v>
      </c>
      <c r="G801" s="1999" t="s">
        <v>5289</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5290</v>
      </c>
      <c r="D802" s="1796">
        <v>1</v>
      </c>
      <c r="E802" s="1796">
        <v>1</v>
      </c>
      <c r="F802" s="1797">
        <v>2</v>
      </c>
      <c r="G802" s="1999" t="s">
        <v>5290</v>
      </c>
      <c r="H802" s="1794">
        <v>1</v>
      </c>
      <c r="I802" s="1794" t="s">
        <v>4483</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5291</v>
      </c>
      <c r="D803" s="1796">
        <v>1</v>
      </c>
      <c r="E803" s="1796">
        <v>1</v>
      </c>
      <c r="F803" s="1797">
        <v>2</v>
      </c>
      <c r="G803" s="1999" t="s">
        <v>5291</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5292</v>
      </c>
      <c r="D804" s="1796">
        <v>1</v>
      </c>
      <c r="E804" s="1796">
        <v>0</v>
      </c>
      <c r="F804" s="1797">
        <v>1</v>
      </c>
      <c r="G804" s="1999" t="s">
        <v>5292</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5293</v>
      </c>
      <c r="D805" s="1796">
        <v>0</v>
      </c>
      <c r="E805" s="1796">
        <v>0</v>
      </c>
      <c r="F805" s="1797">
        <v>0</v>
      </c>
      <c r="G805" s="1999" t="s">
        <v>5293</v>
      </c>
      <c r="H805" s="1794">
        <v>0</v>
      </c>
      <c r="I805" s="1794" t="s">
        <v>4483</v>
      </c>
      <c r="J805" s="2000">
        <v>0</v>
      </c>
      <c r="K805" s="1798"/>
      <c r="L805" s="1792">
        <v>13067030800</v>
      </c>
      <c r="M805" s="1793">
        <v>0</v>
      </c>
      <c r="N805" s="1793">
        <v>0</v>
      </c>
      <c r="O805" s="1793">
        <v>0</v>
      </c>
      <c r="T805" s="427"/>
      <c r="U805" s="427"/>
      <c r="AA805" s="27"/>
      <c r="AB805" s="27"/>
      <c r="AC805" s="502"/>
      <c r="AD805" s="502"/>
    </row>
    <row r="806" spans="3:30">
      <c r="C806" s="1799" t="s">
        <v>5294</v>
      </c>
      <c r="D806" s="1796">
        <v>1</v>
      </c>
      <c r="E806" s="1796">
        <v>1</v>
      </c>
      <c r="F806" s="1797">
        <v>2</v>
      </c>
      <c r="G806" s="1999" t="s">
        <v>5294</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5295</v>
      </c>
      <c r="D807" s="1796">
        <v>1</v>
      </c>
      <c r="E807" s="1796">
        <v>0</v>
      </c>
      <c r="F807" s="1797">
        <v>1</v>
      </c>
      <c r="G807" s="1999" t="s">
        <v>5295</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5296</v>
      </c>
      <c r="D808" s="1796">
        <v>0</v>
      </c>
      <c r="E808" s="1796">
        <v>0</v>
      </c>
      <c r="F808" s="1797">
        <v>0</v>
      </c>
      <c r="G808" s="1999" t="s">
        <v>5296</v>
      </c>
      <c r="H808" s="1794">
        <v>0</v>
      </c>
      <c r="I808" s="1794">
        <v>0</v>
      </c>
      <c r="J808" s="2000">
        <v>0</v>
      </c>
      <c r="K808" s="1798"/>
      <c r="L808" s="1792">
        <v>13067030904</v>
      </c>
      <c r="M808" s="1793">
        <v>0</v>
      </c>
      <c r="N808" s="1793">
        <v>0</v>
      </c>
      <c r="O808" s="1793">
        <v>0</v>
      </c>
      <c r="AA808" s="27"/>
      <c r="AB808" s="27"/>
      <c r="AC808" s="502"/>
      <c r="AD808" s="502"/>
    </row>
    <row r="809" spans="3:30">
      <c r="C809" s="1799" t="s">
        <v>5297</v>
      </c>
      <c r="D809" s="1796">
        <v>0</v>
      </c>
      <c r="E809" s="1796">
        <v>0</v>
      </c>
      <c r="F809" s="1797">
        <v>0</v>
      </c>
      <c r="G809" s="1999" t="s">
        <v>5297</v>
      </c>
      <c r="H809" s="1794">
        <v>0</v>
      </c>
      <c r="I809" s="1794">
        <v>0</v>
      </c>
      <c r="J809" s="2000">
        <v>0</v>
      </c>
      <c r="K809" s="1798"/>
      <c r="L809" s="1792">
        <v>13067030905</v>
      </c>
      <c r="M809" s="1793">
        <v>0</v>
      </c>
      <c r="N809" s="1793">
        <v>0</v>
      </c>
      <c r="O809" s="1793">
        <v>0</v>
      </c>
      <c r="AA809" s="27"/>
      <c r="AB809" s="27"/>
      <c r="AC809" s="502"/>
      <c r="AD809" s="502"/>
    </row>
    <row r="810" spans="3:30">
      <c r="C810" s="1799" t="s">
        <v>5298</v>
      </c>
      <c r="D810" s="1796">
        <v>0</v>
      </c>
      <c r="E810" s="1796">
        <v>0</v>
      </c>
      <c r="F810" s="1797">
        <v>0</v>
      </c>
      <c r="G810" s="1999" t="s">
        <v>5298</v>
      </c>
      <c r="H810" s="1794">
        <v>0</v>
      </c>
      <c r="I810" s="1794">
        <v>0</v>
      </c>
      <c r="J810" s="2000">
        <v>0</v>
      </c>
      <c r="K810" s="1798"/>
      <c r="L810" s="1792">
        <v>13067031001</v>
      </c>
      <c r="M810" s="1793">
        <v>0</v>
      </c>
      <c r="N810" s="1793">
        <v>0</v>
      </c>
      <c r="O810" s="1793">
        <v>0</v>
      </c>
      <c r="AA810" s="27"/>
      <c r="AB810" s="27"/>
      <c r="AC810" s="502"/>
      <c r="AD810" s="502"/>
    </row>
    <row r="811" spans="3:30">
      <c r="C811" s="1799" t="s">
        <v>5299</v>
      </c>
      <c r="D811" s="1796">
        <v>0</v>
      </c>
      <c r="E811" s="1796">
        <v>0</v>
      </c>
      <c r="F811" s="1797">
        <v>0</v>
      </c>
      <c r="G811" s="1999" t="s">
        <v>5299</v>
      </c>
      <c r="H811" s="1794">
        <v>0</v>
      </c>
      <c r="I811" s="1794">
        <v>0</v>
      </c>
      <c r="J811" s="2000">
        <v>0</v>
      </c>
      <c r="K811" s="1798"/>
      <c r="L811" s="1792">
        <v>13067031002</v>
      </c>
      <c r="M811" s="1793">
        <v>0</v>
      </c>
      <c r="N811" s="1793">
        <v>0</v>
      </c>
      <c r="O811" s="1793">
        <v>0</v>
      </c>
      <c r="AA811" s="27"/>
      <c r="AB811" s="27"/>
      <c r="AC811" s="502"/>
      <c r="AD811" s="502"/>
    </row>
    <row r="812" spans="3:30">
      <c r="C812" s="1799" t="s">
        <v>5300</v>
      </c>
      <c r="D812" s="1796">
        <v>0</v>
      </c>
      <c r="E812" s="1796">
        <v>0</v>
      </c>
      <c r="F812" s="1797">
        <v>0</v>
      </c>
      <c r="G812" s="1999" t="s">
        <v>5300</v>
      </c>
      <c r="H812" s="1794">
        <v>0</v>
      </c>
      <c r="I812" s="1794">
        <v>0</v>
      </c>
      <c r="J812" s="2000">
        <v>0</v>
      </c>
      <c r="K812" s="1798"/>
      <c r="L812" s="1792">
        <v>13067031004</v>
      </c>
      <c r="M812" s="1793">
        <v>0</v>
      </c>
      <c r="N812" s="1793">
        <v>0</v>
      </c>
      <c r="O812" s="1793">
        <v>0</v>
      </c>
      <c r="AA812" s="27"/>
      <c r="AB812" s="27"/>
      <c r="AC812" s="502"/>
      <c r="AD812" s="502"/>
    </row>
    <row r="813" spans="3:30">
      <c r="C813" s="1799" t="s">
        <v>5301</v>
      </c>
      <c r="D813" s="1796">
        <v>0</v>
      </c>
      <c r="E813" s="1796">
        <v>0</v>
      </c>
      <c r="F813" s="1797">
        <v>0</v>
      </c>
      <c r="G813" s="1999" t="s">
        <v>5301</v>
      </c>
      <c r="H813" s="1794">
        <v>0</v>
      </c>
      <c r="I813" s="1794">
        <v>0</v>
      </c>
      <c r="J813" s="2000">
        <v>0</v>
      </c>
      <c r="K813" s="1798"/>
      <c r="L813" s="1792">
        <v>13067031005</v>
      </c>
      <c r="M813" s="1793">
        <v>0</v>
      </c>
      <c r="N813" s="1793">
        <v>0</v>
      </c>
      <c r="O813" s="1793">
        <v>0</v>
      </c>
      <c r="AA813" s="27"/>
      <c r="AB813" s="27"/>
      <c r="AC813" s="502"/>
      <c r="AD813" s="502"/>
    </row>
    <row r="814" spans="3:30">
      <c r="C814" s="1799" t="s">
        <v>5302</v>
      </c>
      <c r="D814" s="1796">
        <v>0</v>
      </c>
      <c r="E814" s="1796">
        <v>0</v>
      </c>
      <c r="F814" s="1797">
        <v>0</v>
      </c>
      <c r="G814" s="1999" t="s">
        <v>5302</v>
      </c>
      <c r="H814" s="1794">
        <v>0</v>
      </c>
      <c r="I814" s="1794">
        <v>0</v>
      </c>
      <c r="J814" s="2000">
        <v>0</v>
      </c>
      <c r="K814" s="1798"/>
      <c r="L814" s="1792">
        <v>13067031101</v>
      </c>
      <c r="M814" s="1793">
        <v>0</v>
      </c>
      <c r="N814" s="1793">
        <v>0</v>
      </c>
      <c r="O814" s="1793">
        <v>0</v>
      </c>
      <c r="AA814" s="27"/>
      <c r="AB814" s="27"/>
      <c r="AC814" s="502"/>
      <c r="AD814" s="502"/>
    </row>
    <row r="815" spans="3:30">
      <c r="C815" s="1799" t="s">
        <v>5303</v>
      </c>
      <c r="D815" s="1796">
        <v>1</v>
      </c>
      <c r="E815" s="1796">
        <v>0</v>
      </c>
      <c r="F815" s="1797">
        <v>1</v>
      </c>
      <c r="G815" s="1999" t="s">
        <v>5303</v>
      </c>
      <c r="H815" s="1794">
        <v>1</v>
      </c>
      <c r="I815" s="1794">
        <v>1</v>
      </c>
      <c r="J815" s="2000">
        <v>2</v>
      </c>
      <c r="K815" s="1798"/>
      <c r="L815" s="1792">
        <v>13067031106</v>
      </c>
      <c r="M815" s="1793">
        <v>1</v>
      </c>
      <c r="N815" s="1793">
        <v>1</v>
      </c>
      <c r="O815" s="1793">
        <v>2</v>
      </c>
      <c r="AA815" s="27"/>
      <c r="AB815" s="27"/>
      <c r="AC815" s="502"/>
      <c r="AD815" s="502"/>
    </row>
    <row r="816" spans="3:30">
      <c r="C816" s="1799" t="s">
        <v>5304</v>
      </c>
      <c r="D816" s="1796">
        <v>1</v>
      </c>
      <c r="E816" s="1796">
        <v>0</v>
      </c>
      <c r="F816" s="1797">
        <v>1</v>
      </c>
      <c r="G816" s="1999" t="s">
        <v>5304</v>
      </c>
      <c r="H816" s="1794">
        <v>1</v>
      </c>
      <c r="I816" s="1794">
        <v>1</v>
      </c>
      <c r="J816" s="2000">
        <v>2</v>
      </c>
      <c r="K816" s="1798"/>
      <c r="L816" s="1792">
        <v>13067031108</v>
      </c>
      <c r="M816" s="1793">
        <v>1</v>
      </c>
      <c r="N816" s="1793">
        <v>1</v>
      </c>
      <c r="O816" s="1793">
        <v>2</v>
      </c>
      <c r="AA816" s="27"/>
      <c r="AB816" s="27"/>
      <c r="AC816" s="502"/>
      <c r="AD816" s="502"/>
    </row>
    <row r="817" spans="3:30">
      <c r="C817" s="1799" t="s">
        <v>5305</v>
      </c>
      <c r="D817" s="1796">
        <v>1</v>
      </c>
      <c r="E817" s="1796">
        <v>0</v>
      </c>
      <c r="F817" s="1797">
        <v>1</v>
      </c>
      <c r="G817" s="1999" t="s">
        <v>5305</v>
      </c>
      <c r="H817" s="1794">
        <v>1</v>
      </c>
      <c r="I817" s="1794">
        <v>0</v>
      </c>
      <c r="J817" s="2000">
        <v>1</v>
      </c>
      <c r="K817" s="1798"/>
      <c r="L817" s="1792">
        <v>13067031110</v>
      </c>
      <c r="M817" s="1793">
        <v>1</v>
      </c>
      <c r="N817" s="1793">
        <v>0</v>
      </c>
      <c r="O817" s="1793">
        <v>1</v>
      </c>
      <c r="AA817" s="27"/>
      <c r="AB817" s="27"/>
      <c r="AC817" s="502"/>
      <c r="AD817" s="502"/>
    </row>
    <row r="818" spans="3:30">
      <c r="C818" s="1799" t="s">
        <v>5306</v>
      </c>
      <c r="D818" s="1796">
        <v>1</v>
      </c>
      <c r="E818" s="1796">
        <v>1</v>
      </c>
      <c r="F818" s="1797">
        <v>2</v>
      </c>
      <c r="G818" s="1999" t="s">
        <v>5306</v>
      </c>
      <c r="H818" s="1794">
        <v>1</v>
      </c>
      <c r="I818" s="1794">
        <v>1</v>
      </c>
      <c r="J818" s="2000">
        <v>2</v>
      </c>
      <c r="K818" s="1798"/>
      <c r="L818" s="1792">
        <v>13067031111</v>
      </c>
      <c r="M818" s="1793">
        <v>1</v>
      </c>
      <c r="N818" s="1793">
        <v>1</v>
      </c>
      <c r="O818" s="1793">
        <v>2</v>
      </c>
      <c r="AA818" s="27"/>
      <c r="AB818" s="27"/>
      <c r="AC818" s="502"/>
      <c r="AD818" s="502"/>
    </row>
    <row r="819" spans="3:30">
      <c r="C819" s="1799" t="s">
        <v>5307</v>
      </c>
      <c r="D819" s="1796">
        <v>1</v>
      </c>
      <c r="E819" s="1796">
        <v>1</v>
      </c>
      <c r="F819" s="1797">
        <v>2</v>
      </c>
      <c r="G819" s="1999" t="s">
        <v>5307</v>
      </c>
      <c r="H819" s="1794">
        <v>1</v>
      </c>
      <c r="I819" s="1794">
        <v>1</v>
      </c>
      <c r="J819" s="2000">
        <v>2</v>
      </c>
      <c r="K819" s="1798"/>
      <c r="L819" s="1792">
        <v>13067031112</v>
      </c>
      <c r="M819" s="1793">
        <v>1</v>
      </c>
      <c r="N819" s="1793">
        <v>1</v>
      </c>
      <c r="O819" s="1793">
        <v>2</v>
      </c>
      <c r="AA819" s="27"/>
      <c r="AB819" s="27"/>
      <c r="AC819" s="502"/>
      <c r="AD819" s="502"/>
    </row>
    <row r="820" spans="3:30">
      <c r="C820" s="1799" t="s">
        <v>5308</v>
      </c>
      <c r="D820" s="1796">
        <v>0</v>
      </c>
      <c r="E820" s="1796">
        <v>0</v>
      </c>
      <c r="F820" s="1797">
        <v>0</v>
      </c>
      <c r="G820" s="1999" t="s">
        <v>5308</v>
      </c>
      <c r="H820" s="1794">
        <v>1</v>
      </c>
      <c r="I820" s="1794" t="s">
        <v>4483</v>
      </c>
      <c r="J820" s="2000">
        <v>1</v>
      </c>
      <c r="K820" s="1798"/>
      <c r="L820" s="1792">
        <v>13067031113</v>
      </c>
      <c r="M820" s="1793">
        <v>1</v>
      </c>
      <c r="N820" s="1793">
        <v>0</v>
      </c>
      <c r="O820" s="1793">
        <v>1</v>
      </c>
      <c r="AA820" s="27"/>
      <c r="AB820" s="27"/>
      <c r="AC820" s="502"/>
      <c r="AD820" s="502"/>
    </row>
    <row r="821" spans="3:30">
      <c r="C821" s="1799" t="s">
        <v>5309</v>
      </c>
      <c r="D821" s="1796">
        <v>0</v>
      </c>
      <c r="E821" s="1796">
        <v>0</v>
      </c>
      <c r="F821" s="1797">
        <v>0</v>
      </c>
      <c r="G821" s="1999" t="s">
        <v>5309</v>
      </c>
      <c r="H821" s="1794">
        <v>1</v>
      </c>
      <c r="I821" s="1794">
        <v>0</v>
      </c>
      <c r="J821" s="2000">
        <v>1</v>
      </c>
      <c r="K821" s="1798"/>
      <c r="L821" s="1792">
        <v>13067031114</v>
      </c>
      <c r="M821" s="1793">
        <v>1</v>
      </c>
      <c r="N821" s="1793">
        <v>0</v>
      </c>
      <c r="O821" s="1793">
        <v>1</v>
      </c>
      <c r="AA821" s="27"/>
      <c r="AB821" s="27"/>
      <c r="AC821" s="502"/>
      <c r="AD821" s="502"/>
    </row>
    <row r="822" spans="3:30">
      <c r="C822" s="1799" t="s">
        <v>5310</v>
      </c>
      <c r="D822" s="1796">
        <v>1</v>
      </c>
      <c r="E822" s="1796">
        <v>0</v>
      </c>
      <c r="F822" s="1797">
        <v>1</v>
      </c>
      <c r="G822" s="1999" t="s">
        <v>5310</v>
      </c>
      <c r="H822" s="1794">
        <v>1</v>
      </c>
      <c r="I822" s="1794">
        <v>0</v>
      </c>
      <c r="J822" s="2000">
        <v>1</v>
      </c>
      <c r="K822" s="1798"/>
      <c r="L822" s="1792">
        <v>13067031115</v>
      </c>
      <c r="M822" s="1793">
        <v>1</v>
      </c>
      <c r="N822" s="1793">
        <v>0</v>
      </c>
      <c r="O822" s="1793">
        <v>1</v>
      </c>
      <c r="AA822" s="27"/>
      <c r="AB822" s="27"/>
      <c r="AC822" s="502"/>
      <c r="AD822" s="502"/>
    </row>
    <row r="823" spans="3:30">
      <c r="C823" s="1799" t="s">
        <v>5311</v>
      </c>
      <c r="D823" s="1796">
        <v>0</v>
      </c>
      <c r="E823" s="1796">
        <v>0</v>
      </c>
      <c r="F823" s="1797">
        <v>0</v>
      </c>
      <c r="G823" s="1999" t="s">
        <v>5311</v>
      </c>
      <c r="H823" s="1794">
        <v>0</v>
      </c>
      <c r="I823" s="1794" t="s">
        <v>4483</v>
      </c>
      <c r="J823" s="2000">
        <v>0</v>
      </c>
      <c r="K823" s="1798"/>
      <c r="L823" s="1792">
        <v>13067031116</v>
      </c>
      <c r="M823" s="1793">
        <v>0</v>
      </c>
      <c r="N823" s="1793">
        <v>0</v>
      </c>
      <c r="O823" s="1793">
        <v>0</v>
      </c>
      <c r="AA823" s="27"/>
      <c r="AB823" s="27"/>
      <c r="AC823" s="502"/>
      <c r="AD823" s="502"/>
    </row>
    <row r="824" spans="3:30">
      <c r="C824" s="1799" t="s">
        <v>5312</v>
      </c>
      <c r="D824" s="1796">
        <v>1</v>
      </c>
      <c r="E824" s="1796">
        <v>1</v>
      </c>
      <c r="F824" s="1797">
        <v>2</v>
      </c>
      <c r="G824" s="1999" t="s">
        <v>5312</v>
      </c>
      <c r="H824" s="1794">
        <v>1</v>
      </c>
      <c r="I824" s="1794">
        <v>1</v>
      </c>
      <c r="J824" s="2000">
        <v>2</v>
      </c>
      <c r="K824" s="1798"/>
      <c r="L824" s="1792">
        <v>13067031117</v>
      </c>
      <c r="M824" s="1793">
        <v>1</v>
      </c>
      <c r="N824" s="1793">
        <v>1</v>
      </c>
      <c r="O824" s="1793">
        <v>2</v>
      </c>
      <c r="AA824" s="27"/>
      <c r="AB824" s="27"/>
      <c r="AC824" s="502"/>
      <c r="AD824" s="502"/>
    </row>
    <row r="825" spans="3:30">
      <c r="C825" s="1799" t="s">
        <v>5313</v>
      </c>
      <c r="D825" s="1796">
        <v>1</v>
      </c>
      <c r="E825" s="1796">
        <v>1</v>
      </c>
      <c r="F825" s="1797">
        <v>2</v>
      </c>
      <c r="G825" s="1999" t="s">
        <v>5313</v>
      </c>
      <c r="H825" s="1794">
        <v>1</v>
      </c>
      <c r="I825" s="1794">
        <v>1</v>
      </c>
      <c r="J825" s="2000">
        <v>2</v>
      </c>
      <c r="K825" s="1798"/>
      <c r="L825" s="1792">
        <v>13067031118</v>
      </c>
      <c r="M825" s="1793">
        <v>1</v>
      </c>
      <c r="N825" s="1793">
        <v>1</v>
      </c>
      <c r="O825" s="1793">
        <v>2</v>
      </c>
      <c r="AA825" s="27"/>
      <c r="AB825" s="27"/>
      <c r="AC825" s="502"/>
      <c r="AD825" s="502"/>
    </row>
    <row r="826" spans="3:30">
      <c r="C826" s="1799" t="s">
        <v>5314</v>
      </c>
      <c r="D826" s="1796">
        <v>1</v>
      </c>
      <c r="E826" s="1796">
        <v>1</v>
      </c>
      <c r="F826" s="1797">
        <v>2</v>
      </c>
      <c r="G826" s="1999" t="s">
        <v>5314</v>
      </c>
      <c r="H826" s="1794">
        <v>1</v>
      </c>
      <c r="I826" s="1794">
        <v>1</v>
      </c>
      <c r="J826" s="2000">
        <v>2</v>
      </c>
      <c r="K826" s="1798"/>
      <c r="L826" s="1792">
        <v>13067031205</v>
      </c>
      <c r="M826" s="1793">
        <v>1</v>
      </c>
      <c r="N826" s="1793">
        <v>1</v>
      </c>
      <c r="O826" s="1793">
        <v>2</v>
      </c>
      <c r="AA826" s="27"/>
      <c r="AB826" s="27"/>
      <c r="AC826" s="502"/>
      <c r="AD826" s="502"/>
    </row>
    <row r="827" spans="3:30">
      <c r="C827" s="1799" t="s">
        <v>5315</v>
      </c>
      <c r="D827" s="1796">
        <v>1</v>
      </c>
      <c r="E827" s="1796">
        <v>1</v>
      </c>
      <c r="F827" s="1797">
        <v>2</v>
      </c>
      <c r="G827" s="1999" t="s">
        <v>5315</v>
      </c>
      <c r="H827" s="1794">
        <v>1</v>
      </c>
      <c r="I827" s="1794">
        <v>1</v>
      </c>
      <c r="J827" s="2000">
        <v>2</v>
      </c>
      <c r="K827" s="1798"/>
      <c r="L827" s="1792">
        <v>13067031206</v>
      </c>
      <c r="M827" s="1793">
        <v>1</v>
      </c>
      <c r="N827" s="1793">
        <v>1</v>
      </c>
      <c r="O827" s="1793">
        <v>2</v>
      </c>
      <c r="AA827" s="27"/>
      <c r="AB827" s="27"/>
      <c r="AC827" s="502"/>
      <c r="AD827" s="502"/>
    </row>
    <row r="828" spans="3:30">
      <c r="C828" s="1799" t="s">
        <v>5316</v>
      </c>
      <c r="D828" s="1796">
        <v>1</v>
      </c>
      <c r="E828" s="1796">
        <v>1</v>
      </c>
      <c r="F828" s="1797">
        <v>2</v>
      </c>
      <c r="G828" s="1999" t="s">
        <v>5316</v>
      </c>
      <c r="H828" s="1794">
        <v>1</v>
      </c>
      <c r="I828" s="1794" t="s">
        <v>4483</v>
      </c>
      <c r="J828" s="2000">
        <v>1</v>
      </c>
      <c r="K828" s="1798"/>
      <c r="L828" s="1792">
        <v>13067031207</v>
      </c>
      <c r="M828" s="1793">
        <v>1</v>
      </c>
      <c r="N828" s="1793">
        <v>1</v>
      </c>
      <c r="O828" s="1793">
        <v>2</v>
      </c>
      <c r="AA828" s="27"/>
      <c r="AB828" s="27"/>
      <c r="AC828" s="502"/>
      <c r="AD828" s="502"/>
    </row>
    <row r="829" spans="3:30">
      <c r="C829" s="1799" t="s">
        <v>5317</v>
      </c>
      <c r="D829" s="1796">
        <v>1</v>
      </c>
      <c r="E829" s="1796">
        <v>1</v>
      </c>
      <c r="F829" s="1797">
        <v>2</v>
      </c>
      <c r="G829" s="1999" t="s">
        <v>5317</v>
      </c>
      <c r="H829" s="1794">
        <v>1</v>
      </c>
      <c r="I829" s="1794">
        <v>1</v>
      </c>
      <c r="J829" s="2000">
        <v>2</v>
      </c>
      <c r="K829" s="1798"/>
      <c r="L829" s="1792">
        <v>13067031208</v>
      </c>
      <c r="M829" s="1793">
        <v>1</v>
      </c>
      <c r="N829" s="1793">
        <v>1</v>
      </c>
      <c r="O829" s="1793">
        <v>2</v>
      </c>
      <c r="AA829" s="27"/>
      <c r="AB829" s="27"/>
      <c r="AC829" s="502"/>
      <c r="AD829" s="502"/>
    </row>
    <row r="830" spans="3:30">
      <c r="C830" s="1799" t="s">
        <v>5318</v>
      </c>
      <c r="D830" s="1796">
        <v>1</v>
      </c>
      <c r="E830" s="1796">
        <v>1</v>
      </c>
      <c r="F830" s="1797">
        <v>2</v>
      </c>
      <c r="G830" s="1999" t="s">
        <v>5318</v>
      </c>
      <c r="H830" s="1794">
        <v>1</v>
      </c>
      <c r="I830" s="1794">
        <v>1</v>
      </c>
      <c r="J830" s="2000">
        <v>2</v>
      </c>
      <c r="K830" s="1798"/>
      <c r="L830" s="1792">
        <v>13067031209</v>
      </c>
      <c r="M830" s="1793">
        <v>1</v>
      </c>
      <c r="N830" s="1793">
        <v>1</v>
      </c>
      <c r="O830" s="1793">
        <v>2</v>
      </c>
      <c r="AA830" s="27"/>
      <c r="AB830" s="27"/>
      <c r="AC830" s="502"/>
      <c r="AD830" s="502"/>
    </row>
    <row r="831" spans="3:30">
      <c r="C831" s="1799" t="s">
        <v>5319</v>
      </c>
      <c r="D831" s="1796">
        <v>1</v>
      </c>
      <c r="E831" s="1796">
        <v>1</v>
      </c>
      <c r="F831" s="1797">
        <v>2</v>
      </c>
      <c r="G831" s="1999" t="s">
        <v>5319</v>
      </c>
      <c r="H831" s="1794">
        <v>1</v>
      </c>
      <c r="I831" s="1794">
        <v>1</v>
      </c>
      <c r="J831" s="2000">
        <v>2</v>
      </c>
      <c r="K831" s="1798"/>
      <c r="L831" s="1792">
        <v>13067031211</v>
      </c>
      <c r="M831" s="1793">
        <v>1</v>
      </c>
      <c r="N831" s="1793">
        <v>1</v>
      </c>
      <c r="O831" s="1793">
        <v>2</v>
      </c>
      <c r="AA831" s="27"/>
      <c r="AB831" s="27"/>
      <c r="AC831" s="502"/>
      <c r="AD831" s="502"/>
    </row>
    <row r="832" spans="3:30">
      <c r="C832" s="1799" t="s">
        <v>5320</v>
      </c>
      <c r="D832" s="1796">
        <v>1</v>
      </c>
      <c r="E832" s="1796">
        <v>1</v>
      </c>
      <c r="F832" s="1797">
        <v>2</v>
      </c>
      <c r="G832" s="1999" t="s">
        <v>5320</v>
      </c>
      <c r="H832" s="1794">
        <v>1</v>
      </c>
      <c r="I832" s="1794">
        <v>1</v>
      </c>
      <c r="J832" s="2000">
        <v>2</v>
      </c>
      <c r="K832" s="1798"/>
      <c r="L832" s="1792">
        <v>13067031212</v>
      </c>
      <c r="M832" s="1793">
        <v>1</v>
      </c>
      <c r="N832" s="1793">
        <v>1</v>
      </c>
      <c r="O832" s="1793">
        <v>2</v>
      </c>
      <c r="AA832" s="27"/>
      <c r="AB832" s="27"/>
      <c r="AC832" s="502"/>
      <c r="AD832" s="502"/>
    </row>
    <row r="833" spans="3:30">
      <c r="C833" s="1799" t="s">
        <v>5321</v>
      </c>
      <c r="D833" s="1796">
        <v>1</v>
      </c>
      <c r="E833" s="1796">
        <v>0</v>
      </c>
      <c r="F833" s="1797">
        <v>1</v>
      </c>
      <c r="G833" s="1999" t="s">
        <v>5321</v>
      </c>
      <c r="H833" s="1794">
        <v>1</v>
      </c>
      <c r="I833" s="1794">
        <v>0</v>
      </c>
      <c r="J833" s="2000">
        <v>1</v>
      </c>
      <c r="K833" s="1798"/>
      <c r="L833" s="1792">
        <v>13067031306</v>
      </c>
      <c r="M833" s="1793">
        <v>1</v>
      </c>
      <c r="N833" s="1793">
        <v>0</v>
      </c>
      <c r="O833" s="1793">
        <v>1</v>
      </c>
      <c r="AA833" s="27"/>
      <c r="AB833" s="27"/>
      <c r="AC833" s="502"/>
      <c r="AD833" s="502"/>
    </row>
    <row r="834" spans="3:30">
      <c r="C834" s="1799" t="s">
        <v>5322</v>
      </c>
      <c r="D834" s="1796">
        <v>1</v>
      </c>
      <c r="E834" s="1796">
        <v>1</v>
      </c>
      <c r="F834" s="1797">
        <v>2</v>
      </c>
      <c r="G834" s="1999" t="s">
        <v>5322</v>
      </c>
      <c r="H834" s="1794">
        <v>1</v>
      </c>
      <c r="I834" s="1794">
        <v>1</v>
      </c>
      <c r="J834" s="2000">
        <v>2</v>
      </c>
      <c r="K834" s="1798"/>
      <c r="L834" s="1792">
        <v>13067031307</v>
      </c>
      <c r="M834" s="1793">
        <v>1</v>
      </c>
      <c r="N834" s="1793">
        <v>1</v>
      </c>
      <c r="O834" s="1793">
        <v>2</v>
      </c>
      <c r="AA834" s="27"/>
      <c r="AB834" s="27"/>
      <c r="AC834" s="502"/>
      <c r="AD834" s="502"/>
    </row>
    <row r="835" spans="3:30">
      <c r="C835" s="1799" t="s">
        <v>5323</v>
      </c>
      <c r="D835" s="1796">
        <v>0</v>
      </c>
      <c r="E835" s="1796">
        <v>0</v>
      </c>
      <c r="F835" s="1797">
        <v>0</v>
      </c>
      <c r="G835" s="1999" t="s">
        <v>5323</v>
      </c>
      <c r="H835" s="1794">
        <v>0</v>
      </c>
      <c r="I835" s="1794">
        <v>0</v>
      </c>
      <c r="J835" s="2000">
        <v>0</v>
      </c>
      <c r="K835" s="1798"/>
      <c r="L835" s="1792">
        <v>13067031308</v>
      </c>
      <c r="M835" s="1793">
        <v>0</v>
      </c>
      <c r="N835" s="1793">
        <v>0</v>
      </c>
      <c r="O835" s="1793">
        <v>0</v>
      </c>
      <c r="AA835" s="27"/>
      <c r="AB835" s="27"/>
      <c r="AC835" s="502"/>
      <c r="AD835" s="502"/>
    </row>
    <row r="836" spans="3:30">
      <c r="C836" s="1799" t="s">
        <v>5324</v>
      </c>
      <c r="D836" s="1796">
        <v>0</v>
      </c>
      <c r="E836" s="1796">
        <v>0</v>
      </c>
      <c r="F836" s="1797">
        <v>0</v>
      </c>
      <c r="G836" s="1999" t="s">
        <v>5324</v>
      </c>
      <c r="H836" s="1794">
        <v>1</v>
      </c>
      <c r="I836" s="1794">
        <v>0</v>
      </c>
      <c r="J836" s="2000">
        <v>1</v>
      </c>
      <c r="K836" s="1798"/>
      <c r="L836" s="1792">
        <v>13067031309</v>
      </c>
      <c r="M836" s="1793">
        <v>1</v>
      </c>
      <c r="N836" s="1793">
        <v>0</v>
      </c>
      <c r="O836" s="1793">
        <v>1</v>
      </c>
      <c r="AA836" s="27"/>
      <c r="AB836" s="27"/>
      <c r="AC836" s="502"/>
      <c r="AD836" s="502"/>
    </row>
    <row r="837" spans="3:30">
      <c r="C837" s="1799" t="s">
        <v>5325</v>
      </c>
      <c r="D837" s="1796">
        <v>0</v>
      </c>
      <c r="E837" s="1796">
        <v>0</v>
      </c>
      <c r="F837" s="1797">
        <v>0</v>
      </c>
      <c r="G837" s="1999" t="s">
        <v>5325</v>
      </c>
      <c r="H837" s="1794">
        <v>0</v>
      </c>
      <c r="I837" s="1794">
        <v>0</v>
      </c>
      <c r="J837" s="2000">
        <v>0</v>
      </c>
      <c r="K837" s="1798"/>
      <c r="L837" s="1792">
        <v>13067031310</v>
      </c>
      <c r="M837" s="1793">
        <v>0</v>
      </c>
      <c r="N837" s="1793">
        <v>0</v>
      </c>
      <c r="O837" s="1793">
        <v>0</v>
      </c>
      <c r="AA837" s="27"/>
      <c r="AC837" s="502"/>
    </row>
    <row r="838" spans="3:30">
      <c r="C838" s="1799" t="s">
        <v>5326</v>
      </c>
      <c r="D838" s="1796">
        <v>0</v>
      </c>
      <c r="E838" s="1796">
        <v>0</v>
      </c>
      <c r="F838" s="1797">
        <v>0</v>
      </c>
      <c r="G838" s="1999" t="s">
        <v>5326</v>
      </c>
      <c r="H838" s="1794">
        <v>0</v>
      </c>
      <c r="I838" s="1794">
        <v>0</v>
      </c>
      <c r="J838" s="2000">
        <v>0</v>
      </c>
      <c r="K838" s="1798"/>
      <c r="L838" s="1792">
        <v>13067031311</v>
      </c>
      <c r="M838" s="1793">
        <v>0</v>
      </c>
      <c r="N838" s="1793">
        <v>0</v>
      </c>
      <c r="O838" s="1793">
        <v>0</v>
      </c>
      <c r="AA838" s="27"/>
      <c r="AC838" s="502"/>
    </row>
    <row r="839" spans="3:30">
      <c r="C839" s="1799" t="s">
        <v>5327</v>
      </c>
      <c r="D839" s="1796">
        <v>1</v>
      </c>
      <c r="E839" s="1796">
        <v>1</v>
      </c>
      <c r="F839" s="1797">
        <v>2</v>
      </c>
      <c r="G839" s="1999" t="s">
        <v>5327</v>
      </c>
      <c r="H839" s="1794">
        <v>1</v>
      </c>
      <c r="I839" s="1794">
        <v>1</v>
      </c>
      <c r="J839" s="2000">
        <v>2</v>
      </c>
      <c r="K839" s="1798"/>
      <c r="L839" s="1792">
        <v>13067031312</v>
      </c>
      <c r="M839" s="1793">
        <v>1</v>
      </c>
      <c r="N839" s="1793">
        <v>1</v>
      </c>
      <c r="O839" s="1793">
        <v>2</v>
      </c>
      <c r="AA839" s="27"/>
      <c r="AC839" s="502"/>
    </row>
    <row r="840" spans="3:30">
      <c r="C840" s="1799" t="s">
        <v>5328</v>
      </c>
      <c r="D840" s="1796">
        <v>1</v>
      </c>
      <c r="E840" s="1796">
        <v>1</v>
      </c>
      <c r="F840" s="1797">
        <v>2</v>
      </c>
      <c r="G840" s="1999" t="s">
        <v>5328</v>
      </c>
      <c r="H840" s="1794">
        <v>1</v>
      </c>
      <c r="I840" s="1794">
        <v>1</v>
      </c>
      <c r="J840" s="2000">
        <v>2</v>
      </c>
      <c r="K840" s="1798"/>
      <c r="L840" s="1792">
        <v>13067031313</v>
      </c>
      <c r="M840" s="1793">
        <v>1</v>
      </c>
      <c r="N840" s="1793">
        <v>1</v>
      </c>
      <c r="O840" s="1793">
        <v>2</v>
      </c>
      <c r="AA840" s="27"/>
      <c r="AC840" s="502"/>
    </row>
    <row r="841" spans="3:30">
      <c r="C841" s="1799" t="s">
        <v>5329</v>
      </c>
      <c r="D841" s="1796">
        <v>1</v>
      </c>
      <c r="E841" s="1796">
        <v>1</v>
      </c>
      <c r="F841" s="1797">
        <v>2</v>
      </c>
      <c r="G841" s="1999" t="s">
        <v>5329</v>
      </c>
      <c r="H841" s="1794">
        <v>1</v>
      </c>
      <c r="I841" s="1794">
        <v>1</v>
      </c>
      <c r="J841" s="2000">
        <v>2</v>
      </c>
      <c r="K841" s="1798"/>
      <c r="L841" s="1792">
        <v>13067031404</v>
      </c>
      <c r="M841" s="1793">
        <v>1</v>
      </c>
      <c r="N841" s="1793">
        <v>1</v>
      </c>
      <c r="O841" s="1793">
        <v>2</v>
      </c>
      <c r="AA841" s="27"/>
      <c r="AC841" s="502"/>
    </row>
    <row r="842" spans="3:30">
      <c r="C842" s="1799" t="s">
        <v>5330</v>
      </c>
      <c r="D842" s="1796">
        <v>0</v>
      </c>
      <c r="E842" s="1796">
        <v>1</v>
      </c>
      <c r="F842" s="1797">
        <v>1</v>
      </c>
      <c r="G842" s="1999" t="s">
        <v>5330</v>
      </c>
      <c r="H842" s="1794">
        <v>1</v>
      </c>
      <c r="I842" s="1794">
        <v>0</v>
      </c>
      <c r="J842" s="2000">
        <v>1</v>
      </c>
      <c r="K842" s="1798"/>
      <c r="L842" s="1792">
        <v>13067031405</v>
      </c>
      <c r="M842" s="1793">
        <v>1</v>
      </c>
      <c r="N842" s="1793">
        <v>1</v>
      </c>
      <c r="O842" s="1793">
        <v>1</v>
      </c>
      <c r="AA842" s="27"/>
      <c r="AC842" s="502"/>
    </row>
    <row r="843" spans="3:30">
      <c r="C843" s="1799" t="s">
        <v>5331</v>
      </c>
      <c r="D843" s="1796">
        <v>0</v>
      </c>
      <c r="E843" s="1796">
        <v>0</v>
      </c>
      <c r="F843" s="1797">
        <v>0</v>
      </c>
      <c r="G843" s="1999" t="s">
        <v>5331</v>
      </c>
      <c r="H843" s="1794">
        <v>0</v>
      </c>
      <c r="I843" s="1794">
        <v>0</v>
      </c>
      <c r="J843" s="2000">
        <v>0</v>
      </c>
      <c r="K843" s="1798"/>
      <c r="L843" s="1792">
        <v>13067031406</v>
      </c>
      <c r="M843" s="1793">
        <v>0</v>
      </c>
      <c r="N843" s="1793">
        <v>0</v>
      </c>
      <c r="O843" s="1793">
        <v>0</v>
      </c>
      <c r="AA843" s="27"/>
      <c r="AC843" s="502"/>
    </row>
    <row r="844" spans="3:30">
      <c r="C844" s="1799" t="s">
        <v>5332</v>
      </c>
      <c r="D844" s="1796">
        <v>0</v>
      </c>
      <c r="E844" s="1796">
        <v>0</v>
      </c>
      <c r="F844" s="1797">
        <v>0</v>
      </c>
      <c r="G844" s="1999" t="s">
        <v>5332</v>
      </c>
      <c r="H844" s="1794">
        <v>1</v>
      </c>
      <c r="I844" s="1794">
        <v>0</v>
      </c>
      <c r="J844" s="2000">
        <v>0</v>
      </c>
      <c r="K844" s="1798"/>
      <c r="L844" s="1792">
        <v>13067031408</v>
      </c>
      <c r="M844" s="1793">
        <v>1</v>
      </c>
      <c r="N844" s="1793">
        <v>0</v>
      </c>
      <c r="O844" s="1793">
        <v>0</v>
      </c>
      <c r="AA844" s="27"/>
      <c r="AC844" s="502"/>
    </row>
    <row r="845" spans="3:30">
      <c r="C845" s="1799" t="s">
        <v>5333</v>
      </c>
      <c r="D845" s="1796">
        <v>0</v>
      </c>
      <c r="E845" s="1796">
        <v>0</v>
      </c>
      <c r="F845" s="1797">
        <v>0</v>
      </c>
      <c r="G845" s="1999" t="s">
        <v>5333</v>
      </c>
      <c r="H845" s="1794">
        <v>0</v>
      </c>
      <c r="I845" s="1794">
        <v>0</v>
      </c>
      <c r="J845" s="2000">
        <v>0</v>
      </c>
      <c r="K845" s="1798"/>
      <c r="L845" s="1792">
        <v>13067031409</v>
      </c>
      <c r="M845" s="1793">
        <v>0</v>
      </c>
      <c r="N845" s="1793">
        <v>0</v>
      </c>
      <c r="O845" s="1793">
        <v>0</v>
      </c>
      <c r="AA845" s="27"/>
      <c r="AC845" s="502"/>
    </row>
    <row r="846" spans="3:30">
      <c r="C846" s="1799" t="s">
        <v>5334</v>
      </c>
      <c r="D846" s="1796">
        <v>1</v>
      </c>
      <c r="E846" s="1796">
        <v>0</v>
      </c>
      <c r="F846" s="1797">
        <v>1</v>
      </c>
      <c r="G846" s="1999" t="s">
        <v>5334</v>
      </c>
      <c r="H846" s="1794">
        <v>1</v>
      </c>
      <c r="I846" s="1794">
        <v>1</v>
      </c>
      <c r="J846" s="2000">
        <v>2</v>
      </c>
      <c r="K846" s="1798"/>
      <c r="L846" s="1792">
        <v>13067031503</v>
      </c>
      <c r="M846" s="1793">
        <v>1</v>
      </c>
      <c r="N846" s="1793">
        <v>1</v>
      </c>
      <c r="O846" s="1793">
        <v>2</v>
      </c>
      <c r="AA846" s="27"/>
      <c r="AC846" s="502"/>
    </row>
    <row r="847" spans="3:30">
      <c r="C847" s="1799" t="s">
        <v>5335</v>
      </c>
      <c r="D847" s="1796">
        <v>1</v>
      </c>
      <c r="E847" s="1796">
        <v>1</v>
      </c>
      <c r="F847" s="1797">
        <v>2</v>
      </c>
      <c r="G847" s="1999" t="s">
        <v>5335</v>
      </c>
      <c r="H847" s="1794">
        <v>1</v>
      </c>
      <c r="I847" s="1794">
        <v>1</v>
      </c>
      <c r="J847" s="2000">
        <v>2</v>
      </c>
      <c r="K847" s="1798"/>
      <c r="L847" s="1792">
        <v>13067031505</v>
      </c>
      <c r="M847" s="1793">
        <v>1</v>
      </c>
      <c r="N847" s="1793">
        <v>1</v>
      </c>
      <c r="O847" s="1793">
        <v>2</v>
      </c>
      <c r="AA847" s="27"/>
      <c r="AC847" s="502"/>
    </row>
    <row r="848" spans="3:30">
      <c r="C848" s="1799" t="s">
        <v>5336</v>
      </c>
      <c r="D848" s="1796">
        <v>0</v>
      </c>
      <c r="E848" s="1796">
        <v>1</v>
      </c>
      <c r="F848" s="1797">
        <v>1</v>
      </c>
      <c r="G848" s="1999" t="s">
        <v>5336</v>
      </c>
      <c r="H848" s="1794">
        <v>0</v>
      </c>
      <c r="I848" s="1794">
        <v>0</v>
      </c>
      <c r="J848" s="2000">
        <v>0</v>
      </c>
      <c r="K848" s="1798"/>
      <c r="L848" s="1792">
        <v>13067031506</v>
      </c>
      <c r="M848" s="1793">
        <v>0</v>
      </c>
      <c r="N848" s="1793">
        <v>1</v>
      </c>
      <c r="O848" s="1793">
        <v>1</v>
      </c>
      <c r="AA848" s="27"/>
      <c r="AC848" s="502"/>
    </row>
    <row r="849" spans="3:29">
      <c r="C849" s="1799" t="s">
        <v>5337</v>
      </c>
      <c r="D849" s="1796">
        <v>0</v>
      </c>
      <c r="E849" s="1796">
        <v>0</v>
      </c>
      <c r="F849" s="1797">
        <v>0</v>
      </c>
      <c r="G849" s="1999" t="s">
        <v>5337</v>
      </c>
      <c r="H849" s="1794">
        <v>0</v>
      </c>
      <c r="I849" s="1794">
        <v>1</v>
      </c>
      <c r="J849" s="2000">
        <v>1</v>
      </c>
      <c r="K849" s="1798"/>
      <c r="L849" s="1792">
        <v>13067031507</v>
      </c>
      <c r="M849" s="1793">
        <v>0</v>
      </c>
      <c r="N849" s="1793">
        <v>1</v>
      </c>
      <c r="O849" s="1793">
        <v>1</v>
      </c>
      <c r="AA849" s="27"/>
      <c r="AC849" s="502"/>
    </row>
    <row r="850" spans="3:29">
      <c r="C850" s="1799" t="s">
        <v>5338</v>
      </c>
      <c r="D850" s="1796">
        <v>1</v>
      </c>
      <c r="E850" s="1796">
        <v>1</v>
      </c>
      <c r="F850" s="1797">
        <v>2</v>
      </c>
      <c r="G850" s="1999" t="s">
        <v>5338</v>
      </c>
      <c r="H850" s="1794">
        <v>1</v>
      </c>
      <c r="I850" s="1794">
        <v>1</v>
      </c>
      <c r="J850" s="2000">
        <v>2</v>
      </c>
      <c r="K850" s="1798"/>
      <c r="L850" s="1792">
        <v>13067031508</v>
      </c>
      <c r="M850" s="1793">
        <v>1</v>
      </c>
      <c r="N850" s="1793">
        <v>1</v>
      </c>
      <c r="O850" s="1793">
        <v>2</v>
      </c>
      <c r="AA850" s="27"/>
      <c r="AC850" s="502"/>
    </row>
    <row r="851" spans="3:29">
      <c r="C851" s="1799" t="s">
        <v>5339</v>
      </c>
      <c r="D851" s="1796">
        <v>1</v>
      </c>
      <c r="E851" s="1796">
        <v>1</v>
      </c>
      <c r="F851" s="1797">
        <v>2</v>
      </c>
      <c r="G851" s="1999" t="s">
        <v>5339</v>
      </c>
      <c r="H851" s="1794">
        <v>1</v>
      </c>
      <c r="I851" s="1794">
        <v>1</v>
      </c>
      <c r="J851" s="2000">
        <v>2</v>
      </c>
      <c r="K851" s="1798"/>
      <c r="L851" s="1792">
        <v>13067031509</v>
      </c>
      <c r="M851" s="1793">
        <v>1</v>
      </c>
      <c r="N851" s="1793">
        <v>1</v>
      </c>
      <c r="O851" s="1793">
        <v>2</v>
      </c>
      <c r="AA851" s="27"/>
      <c r="AC851" s="502"/>
    </row>
    <row r="852" spans="3:29">
      <c r="C852" s="1799" t="s">
        <v>5340</v>
      </c>
      <c r="D852" s="1796">
        <v>0</v>
      </c>
      <c r="E852" s="1796">
        <v>0</v>
      </c>
      <c r="F852" s="1797">
        <v>0</v>
      </c>
      <c r="G852" s="1999" t="s">
        <v>5340</v>
      </c>
      <c r="H852" s="1794">
        <v>0</v>
      </c>
      <c r="I852" s="1794">
        <v>0</v>
      </c>
      <c r="J852" s="2000">
        <v>0</v>
      </c>
      <c r="K852" s="1798"/>
      <c r="L852" s="1792">
        <v>13069010100</v>
      </c>
      <c r="M852" s="1793">
        <v>0</v>
      </c>
      <c r="N852" s="1793">
        <v>0</v>
      </c>
      <c r="O852" s="1793">
        <v>0</v>
      </c>
      <c r="AA852" s="27"/>
      <c r="AC852" s="502"/>
    </row>
    <row r="853" spans="3:29">
      <c r="C853" s="1799" t="s">
        <v>5341</v>
      </c>
      <c r="D853" s="1796">
        <v>0</v>
      </c>
      <c r="E853" s="1796">
        <v>0</v>
      </c>
      <c r="F853" s="1797">
        <v>0</v>
      </c>
      <c r="G853" s="1999" t="s">
        <v>5341</v>
      </c>
      <c r="H853" s="1794">
        <v>0</v>
      </c>
      <c r="I853" s="1794" t="s">
        <v>4483</v>
      </c>
      <c r="J853" s="2000">
        <v>0</v>
      </c>
      <c r="K853" s="1798"/>
      <c r="L853" s="1792">
        <v>13069010200</v>
      </c>
      <c r="M853" s="1793">
        <v>0</v>
      </c>
      <c r="N853" s="1793">
        <v>0</v>
      </c>
      <c r="O853" s="1793">
        <v>0</v>
      </c>
      <c r="AA853" s="27"/>
      <c r="AC853" s="502"/>
    </row>
    <row r="854" spans="3:29">
      <c r="C854" s="1799" t="s">
        <v>5342</v>
      </c>
      <c r="D854" s="1796">
        <v>0</v>
      </c>
      <c r="E854" s="1796">
        <v>0</v>
      </c>
      <c r="F854" s="1797">
        <v>0</v>
      </c>
      <c r="G854" s="1999" t="s">
        <v>5342</v>
      </c>
      <c r="H854" s="1794">
        <v>0</v>
      </c>
      <c r="I854" s="1794">
        <v>0</v>
      </c>
      <c r="J854" s="2000">
        <v>0</v>
      </c>
      <c r="K854" s="1798"/>
      <c r="L854" s="1792">
        <v>13069010300</v>
      </c>
      <c r="M854" s="1793">
        <v>0</v>
      </c>
      <c r="N854" s="1793">
        <v>0</v>
      </c>
      <c r="O854" s="1793">
        <v>0</v>
      </c>
      <c r="AA854" s="27"/>
      <c r="AC854" s="502"/>
    </row>
    <row r="855" spans="3:29">
      <c r="C855" s="1799" t="s">
        <v>5343</v>
      </c>
      <c r="D855" s="1796">
        <v>0</v>
      </c>
      <c r="E855" s="1796">
        <v>0</v>
      </c>
      <c r="F855" s="1797">
        <v>0</v>
      </c>
      <c r="G855" s="1999" t="s">
        <v>5343</v>
      </c>
      <c r="H855" s="1794">
        <v>0</v>
      </c>
      <c r="I855" s="1794">
        <v>0</v>
      </c>
      <c r="J855" s="2000">
        <v>0</v>
      </c>
      <c r="K855" s="1798"/>
      <c r="L855" s="1792">
        <v>13069010400</v>
      </c>
      <c r="M855" s="1793">
        <v>0</v>
      </c>
      <c r="N855" s="1793">
        <v>0</v>
      </c>
      <c r="O855" s="1793">
        <v>0</v>
      </c>
      <c r="AA855" s="27"/>
      <c r="AC855" s="502"/>
    </row>
    <row r="856" spans="3:29">
      <c r="C856" s="1799" t="s">
        <v>5344</v>
      </c>
      <c r="D856" s="1796">
        <v>0</v>
      </c>
      <c r="E856" s="1796">
        <v>0</v>
      </c>
      <c r="F856" s="1797">
        <v>0</v>
      </c>
      <c r="G856" s="1999" t="s">
        <v>5344</v>
      </c>
      <c r="H856" s="1794">
        <v>0</v>
      </c>
      <c r="I856" s="1794">
        <v>0</v>
      </c>
      <c r="J856" s="2000">
        <v>0</v>
      </c>
      <c r="K856" s="1798"/>
      <c r="L856" s="1792">
        <v>13069010500</v>
      </c>
      <c r="M856" s="1793">
        <v>0</v>
      </c>
      <c r="N856" s="1793">
        <v>0</v>
      </c>
      <c r="O856" s="1793">
        <v>0</v>
      </c>
      <c r="AA856" s="27"/>
      <c r="AC856" s="502"/>
    </row>
    <row r="857" spans="3:29">
      <c r="C857" s="1799" t="s">
        <v>5345</v>
      </c>
      <c r="D857" s="1796">
        <v>1</v>
      </c>
      <c r="E857" s="1796">
        <v>1</v>
      </c>
      <c r="F857" s="1797">
        <v>2</v>
      </c>
      <c r="G857" s="1999" t="s">
        <v>5345</v>
      </c>
      <c r="H857" s="1794">
        <v>0</v>
      </c>
      <c r="I857" s="1794">
        <v>0</v>
      </c>
      <c r="J857" s="2000">
        <v>0</v>
      </c>
      <c r="K857" s="1798"/>
      <c r="L857" s="1792">
        <v>13069010600</v>
      </c>
      <c r="M857" s="1793">
        <v>1</v>
      </c>
      <c r="N857" s="1793">
        <v>1</v>
      </c>
      <c r="O857" s="1793">
        <v>2</v>
      </c>
      <c r="AA857" s="27"/>
      <c r="AC857" s="502"/>
    </row>
    <row r="858" spans="3:29">
      <c r="C858" s="1799" t="s">
        <v>5346</v>
      </c>
      <c r="D858" s="1796">
        <v>0</v>
      </c>
      <c r="E858" s="1796">
        <v>0</v>
      </c>
      <c r="F858" s="1797">
        <v>0</v>
      </c>
      <c r="G858" s="1999" t="s">
        <v>5346</v>
      </c>
      <c r="H858" s="1794">
        <v>0</v>
      </c>
      <c r="I858" s="1794">
        <v>0</v>
      </c>
      <c r="J858" s="2000">
        <v>0</v>
      </c>
      <c r="K858" s="1798"/>
      <c r="L858" s="1792">
        <v>13069010700</v>
      </c>
      <c r="M858" s="1793">
        <v>0</v>
      </c>
      <c r="N858" s="1793">
        <v>0</v>
      </c>
      <c r="O858" s="1793">
        <v>0</v>
      </c>
      <c r="AA858" s="27"/>
      <c r="AC858" s="502"/>
    </row>
    <row r="859" spans="3:29">
      <c r="C859" s="1799" t="s">
        <v>5347</v>
      </c>
      <c r="D859" s="1796">
        <v>0</v>
      </c>
      <c r="E859" s="1796">
        <v>0</v>
      </c>
      <c r="F859" s="1797">
        <v>0</v>
      </c>
      <c r="G859" s="1999" t="s">
        <v>5347</v>
      </c>
      <c r="H859" s="1794">
        <v>0</v>
      </c>
      <c r="I859" s="1794">
        <v>0</v>
      </c>
      <c r="J859" s="2000">
        <v>0</v>
      </c>
      <c r="K859" s="1798"/>
      <c r="L859" s="1792">
        <v>13069010801</v>
      </c>
      <c r="M859" s="1793">
        <v>0</v>
      </c>
      <c r="N859" s="1793">
        <v>0</v>
      </c>
      <c r="O859" s="1793">
        <v>0</v>
      </c>
      <c r="AA859" s="27"/>
      <c r="AC859" s="502"/>
    </row>
    <row r="860" spans="3:29">
      <c r="C860" s="1799" t="s">
        <v>5348</v>
      </c>
      <c r="D860" s="1796">
        <v>0</v>
      </c>
      <c r="E860" s="1796">
        <v>0</v>
      </c>
      <c r="F860" s="1797">
        <v>0</v>
      </c>
      <c r="G860" s="1999" t="s">
        <v>5348</v>
      </c>
      <c r="H860" s="1794">
        <v>0</v>
      </c>
      <c r="I860" s="1794">
        <v>0</v>
      </c>
      <c r="J860" s="2000">
        <v>0</v>
      </c>
      <c r="K860" s="1798"/>
      <c r="L860" s="1792">
        <v>13069010802</v>
      </c>
      <c r="M860" s="1793">
        <v>0</v>
      </c>
      <c r="N860" s="1793">
        <v>0</v>
      </c>
      <c r="O860" s="1793">
        <v>0</v>
      </c>
      <c r="AA860" s="27"/>
      <c r="AC860" s="502"/>
    </row>
    <row r="861" spans="3:29">
      <c r="C861" s="1799" t="s">
        <v>5349</v>
      </c>
      <c r="D861" s="1796">
        <v>0</v>
      </c>
      <c r="E861" s="1796">
        <v>0</v>
      </c>
      <c r="F861" s="1797">
        <v>0</v>
      </c>
      <c r="G861" s="1999" t="s">
        <v>5349</v>
      </c>
      <c r="H861" s="1794">
        <v>0</v>
      </c>
      <c r="I861" s="1794">
        <v>0</v>
      </c>
      <c r="J861" s="2000">
        <v>0</v>
      </c>
      <c r="K861" s="1798"/>
      <c r="L861" s="1792">
        <v>13071970100</v>
      </c>
      <c r="M861" s="1793">
        <v>0</v>
      </c>
      <c r="N861" s="1793">
        <v>0</v>
      </c>
      <c r="O861" s="1793">
        <v>0</v>
      </c>
      <c r="AA861" s="27"/>
      <c r="AC861" s="502"/>
    </row>
    <row r="862" spans="3:29">
      <c r="C862" s="1799" t="s">
        <v>5350</v>
      </c>
      <c r="D862" s="1796">
        <v>0</v>
      </c>
      <c r="E862" s="1796">
        <v>0</v>
      </c>
      <c r="F862" s="1797">
        <v>0</v>
      </c>
      <c r="G862" s="1999" t="s">
        <v>5350</v>
      </c>
      <c r="H862" s="1794">
        <v>0</v>
      </c>
      <c r="I862" s="1794">
        <v>0</v>
      </c>
      <c r="J862" s="2000">
        <v>0</v>
      </c>
      <c r="K862" s="1798"/>
      <c r="L862" s="1792">
        <v>13071970200</v>
      </c>
      <c r="M862" s="1793">
        <v>0</v>
      </c>
      <c r="N862" s="1793">
        <v>0</v>
      </c>
      <c r="O862" s="1793">
        <v>0</v>
      </c>
      <c r="AA862" s="27"/>
      <c r="AC862" s="502"/>
    </row>
    <row r="863" spans="3:29">
      <c r="C863" s="1799" t="s">
        <v>5351</v>
      </c>
      <c r="D863" s="1796">
        <v>0</v>
      </c>
      <c r="E863" s="1796">
        <v>0</v>
      </c>
      <c r="F863" s="1797">
        <v>0</v>
      </c>
      <c r="G863" s="1999" t="s">
        <v>5351</v>
      </c>
      <c r="H863" s="1794">
        <v>0</v>
      </c>
      <c r="I863" s="1794">
        <v>0</v>
      </c>
      <c r="J863" s="2000">
        <v>0</v>
      </c>
      <c r="K863" s="1798"/>
      <c r="L863" s="1792">
        <v>13071970300</v>
      </c>
      <c r="M863" s="1793">
        <v>0</v>
      </c>
      <c r="N863" s="1793">
        <v>0</v>
      </c>
      <c r="O863" s="1793">
        <v>0</v>
      </c>
      <c r="AA863" s="27"/>
      <c r="AC863" s="502"/>
    </row>
    <row r="864" spans="3:29">
      <c r="C864" s="1799" t="s">
        <v>5352</v>
      </c>
      <c r="D864" s="1796">
        <v>0</v>
      </c>
      <c r="E864" s="1796">
        <v>0</v>
      </c>
      <c r="F864" s="1797">
        <v>0</v>
      </c>
      <c r="G864" s="1999" t="s">
        <v>5352</v>
      </c>
      <c r="H864" s="1794">
        <v>0</v>
      </c>
      <c r="I864" s="1794">
        <v>0</v>
      </c>
      <c r="J864" s="2000">
        <v>0</v>
      </c>
      <c r="K864" s="1798"/>
      <c r="L864" s="1792">
        <v>13071970400</v>
      </c>
      <c r="M864" s="1793">
        <v>0</v>
      </c>
      <c r="N864" s="1793">
        <v>0</v>
      </c>
      <c r="O864" s="1793">
        <v>0</v>
      </c>
      <c r="AA864" s="27"/>
      <c r="AC864" s="502"/>
    </row>
    <row r="865" spans="3:29">
      <c r="C865" s="1799" t="s">
        <v>5353</v>
      </c>
      <c r="D865" s="1796">
        <v>0</v>
      </c>
      <c r="E865" s="1796">
        <v>0</v>
      </c>
      <c r="F865" s="1797">
        <v>0</v>
      </c>
      <c r="G865" s="1999" t="s">
        <v>5353</v>
      </c>
      <c r="H865" s="1794">
        <v>0</v>
      </c>
      <c r="I865" s="1794">
        <v>0</v>
      </c>
      <c r="J865" s="2000">
        <v>0</v>
      </c>
      <c r="K865" s="1798"/>
      <c r="L865" s="1792">
        <v>13071970500</v>
      </c>
      <c r="M865" s="1793">
        <v>0</v>
      </c>
      <c r="N865" s="1793">
        <v>0</v>
      </c>
      <c r="O865" s="1793">
        <v>0</v>
      </c>
      <c r="AA865" s="27"/>
      <c r="AC865" s="502"/>
    </row>
    <row r="866" spans="3:29">
      <c r="C866" s="1799" t="s">
        <v>5354</v>
      </c>
      <c r="D866" s="1796">
        <v>0</v>
      </c>
      <c r="E866" s="1796">
        <v>0</v>
      </c>
      <c r="F866" s="1797">
        <v>0</v>
      </c>
      <c r="G866" s="1999" t="s">
        <v>5354</v>
      </c>
      <c r="H866" s="1794">
        <v>0</v>
      </c>
      <c r="I866" s="1794">
        <v>0</v>
      </c>
      <c r="J866" s="2000">
        <v>0</v>
      </c>
      <c r="K866" s="1798"/>
      <c r="L866" s="1792">
        <v>13071970600</v>
      </c>
      <c r="M866" s="1793">
        <v>0</v>
      </c>
      <c r="N866" s="1793">
        <v>0</v>
      </c>
      <c r="O866" s="1793">
        <v>0</v>
      </c>
      <c r="AA866" s="27"/>
      <c r="AC866" s="502"/>
    </row>
    <row r="867" spans="3:29">
      <c r="C867" s="1799" t="s">
        <v>5355</v>
      </c>
      <c r="D867" s="1796">
        <v>0</v>
      </c>
      <c r="E867" s="1796">
        <v>0</v>
      </c>
      <c r="F867" s="1797">
        <v>0</v>
      </c>
      <c r="G867" s="1999" t="s">
        <v>5355</v>
      </c>
      <c r="H867" s="1794">
        <v>0</v>
      </c>
      <c r="I867" s="1794">
        <v>0</v>
      </c>
      <c r="J867" s="2000">
        <v>0</v>
      </c>
      <c r="K867" s="1798"/>
      <c r="L867" s="1792">
        <v>13071970701</v>
      </c>
      <c r="M867" s="1793">
        <v>0</v>
      </c>
      <c r="N867" s="1793">
        <v>0</v>
      </c>
      <c r="O867" s="1793">
        <v>0</v>
      </c>
      <c r="AA867" s="27"/>
      <c r="AC867" s="502"/>
    </row>
    <row r="868" spans="3:29">
      <c r="C868" s="1799" t="s">
        <v>5356</v>
      </c>
      <c r="D868" s="1796">
        <v>0</v>
      </c>
      <c r="E868" s="1796">
        <v>0</v>
      </c>
      <c r="F868" s="1797">
        <v>0</v>
      </c>
      <c r="G868" s="1999" t="s">
        <v>5356</v>
      </c>
      <c r="H868" s="1794">
        <v>0</v>
      </c>
      <c r="I868" s="1794">
        <v>0</v>
      </c>
      <c r="J868" s="2000">
        <v>0</v>
      </c>
      <c r="K868" s="1798"/>
      <c r="L868" s="1792">
        <v>13071970702</v>
      </c>
      <c r="M868" s="1793">
        <v>0</v>
      </c>
      <c r="N868" s="1793">
        <v>0</v>
      </c>
      <c r="O868" s="1793">
        <v>0</v>
      </c>
      <c r="AA868" s="27"/>
      <c r="AC868" s="502"/>
    </row>
    <row r="869" spans="3:29">
      <c r="C869" s="1799" t="s">
        <v>5357</v>
      </c>
      <c r="D869" s="1796">
        <v>0</v>
      </c>
      <c r="E869" s="1796">
        <v>0</v>
      </c>
      <c r="F869" s="1797">
        <v>0</v>
      </c>
      <c r="G869" s="1999" t="s">
        <v>5357</v>
      </c>
      <c r="H869" s="1794">
        <v>0</v>
      </c>
      <c r="I869" s="1794">
        <v>0</v>
      </c>
      <c r="J869" s="2000">
        <v>0</v>
      </c>
      <c r="K869" s="1798"/>
      <c r="L869" s="1792">
        <v>13071970800</v>
      </c>
      <c r="M869" s="1793">
        <v>0</v>
      </c>
      <c r="N869" s="1793">
        <v>0</v>
      </c>
      <c r="O869" s="1793">
        <v>0</v>
      </c>
      <c r="AA869" s="27"/>
      <c r="AC869" s="502"/>
    </row>
    <row r="870" spans="3:29">
      <c r="C870" s="1799" t="s">
        <v>5358</v>
      </c>
      <c r="D870" s="1796">
        <v>0</v>
      </c>
      <c r="E870" s="1796">
        <v>0</v>
      </c>
      <c r="F870" s="1797">
        <v>0</v>
      </c>
      <c r="G870" s="1999" t="s">
        <v>5358</v>
      </c>
      <c r="H870" s="1794">
        <v>0</v>
      </c>
      <c r="I870" s="1794">
        <v>0</v>
      </c>
      <c r="J870" s="2000">
        <v>0</v>
      </c>
      <c r="K870" s="1798"/>
      <c r="L870" s="1792">
        <v>13071970900</v>
      </c>
      <c r="M870" s="1793">
        <v>0</v>
      </c>
      <c r="N870" s="1793">
        <v>0</v>
      </c>
      <c r="O870" s="1793">
        <v>0</v>
      </c>
      <c r="AA870" s="27"/>
      <c r="AC870" s="502"/>
    </row>
    <row r="871" spans="3:29">
      <c r="C871" s="1799" t="s">
        <v>5359</v>
      </c>
      <c r="D871" s="1796">
        <v>1</v>
      </c>
      <c r="E871" s="1796">
        <v>1</v>
      </c>
      <c r="F871" s="1797">
        <v>2</v>
      </c>
      <c r="G871" s="1999" t="s">
        <v>5359</v>
      </c>
      <c r="H871" s="1794">
        <v>1</v>
      </c>
      <c r="I871" s="1794" t="s">
        <v>4483</v>
      </c>
      <c r="J871" s="2000">
        <v>1</v>
      </c>
      <c r="K871" s="1798"/>
      <c r="L871" s="1792">
        <v>13073030102</v>
      </c>
      <c r="M871" s="1793">
        <v>1</v>
      </c>
      <c r="N871" s="1793">
        <v>1</v>
      </c>
      <c r="O871" s="1793">
        <v>2</v>
      </c>
      <c r="AA871" s="27"/>
      <c r="AC871" s="502"/>
    </row>
    <row r="872" spans="3:29">
      <c r="C872" s="1799" t="s">
        <v>5360</v>
      </c>
      <c r="D872" s="1796">
        <v>1</v>
      </c>
      <c r="E872" s="1796">
        <v>1</v>
      </c>
      <c r="F872" s="1797">
        <v>2</v>
      </c>
      <c r="G872" s="1999" t="s">
        <v>5360</v>
      </c>
      <c r="H872" s="1794">
        <v>1</v>
      </c>
      <c r="I872" s="1794">
        <v>1</v>
      </c>
      <c r="J872" s="2000">
        <v>2</v>
      </c>
      <c r="K872" s="1798"/>
      <c r="L872" s="1792">
        <v>13073030103</v>
      </c>
      <c r="M872" s="1793">
        <v>1</v>
      </c>
      <c r="N872" s="1793">
        <v>1</v>
      </c>
      <c r="O872" s="1793">
        <v>2</v>
      </c>
      <c r="AA872" s="27"/>
      <c r="AC872" s="502"/>
    </row>
    <row r="873" spans="3:29">
      <c r="C873" s="1799" t="s">
        <v>5361</v>
      </c>
      <c r="D873" s="1796">
        <v>1</v>
      </c>
      <c r="E873" s="1796">
        <v>1</v>
      </c>
      <c r="F873" s="1797">
        <v>2</v>
      </c>
      <c r="G873" s="1999" t="s">
        <v>5361</v>
      </c>
      <c r="H873" s="1794">
        <v>1</v>
      </c>
      <c r="I873" s="1794">
        <v>1</v>
      </c>
      <c r="J873" s="2000">
        <v>2</v>
      </c>
      <c r="K873" s="1798"/>
      <c r="L873" s="1792">
        <v>13073030105</v>
      </c>
      <c r="M873" s="1793">
        <v>1</v>
      </c>
      <c r="N873" s="1793">
        <v>1</v>
      </c>
      <c r="O873" s="1793">
        <v>2</v>
      </c>
      <c r="AA873" s="27"/>
      <c r="AC873" s="502"/>
    </row>
    <row r="874" spans="3:29">
      <c r="C874" s="1799" t="s">
        <v>5362</v>
      </c>
      <c r="D874" s="1796">
        <v>1</v>
      </c>
      <c r="E874" s="1796">
        <v>1</v>
      </c>
      <c r="F874" s="1797">
        <v>2</v>
      </c>
      <c r="G874" s="1999" t="s">
        <v>5362</v>
      </c>
      <c r="H874" s="1794">
        <v>1</v>
      </c>
      <c r="I874" s="1794">
        <v>1</v>
      </c>
      <c r="J874" s="2000">
        <v>2</v>
      </c>
      <c r="K874" s="1798"/>
      <c r="L874" s="1792">
        <v>13073030106</v>
      </c>
      <c r="M874" s="1793">
        <v>1</v>
      </c>
      <c r="N874" s="1793">
        <v>1</v>
      </c>
      <c r="O874" s="1793">
        <v>2</v>
      </c>
      <c r="AA874" s="27"/>
      <c r="AC874" s="502"/>
    </row>
    <row r="875" spans="3:29">
      <c r="C875" s="1799" t="s">
        <v>5363</v>
      </c>
      <c r="D875" s="1796">
        <v>1</v>
      </c>
      <c r="E875" s="1796">
        <v>1</v>
      </c>
      <c r="F875" s="1797">
        <v>2</v>
      </c>
      <c r="G875" s="1999" t="s">
        <v>5363</v>
      </c>
      <c r="H875" s="1794">
        <v>0</v>
      </c>
      <c r="I875" s="1794">
        <v>1</v>
      </c>
      <c r="J875" s="2000">
        <v>1</v>
      </c>
      <c r="K875" s="1798"/>
      <c r="L875" s="1792">
        <v>13073030201</v>
      </c>
      <c r="M875" s="1793">
        <v>1</v>
      </c>
      <c r="N875" s="1793">
        <v>1</v>
      </c>
      <c r="O875" s="1793">
        <v>2</v>
      </c>
      <c r="AA875" s="27"/>
      <c r="AC875" s="502"/>
    </row>
    <row r="876" spans="3:29">
      <c r="C876" s="1799" t="s">
        <v>5364</v>
      </c>
      <c r="D876" s="1796">
        <v>0</v>
      </c>
      <c r="E876" s="1796">
        <v>1</v>
      </c>
      <c r="F876" s="1797">
        <v>1</v>
      </c>
      <c r="G876" s="1999" t="s">
        <v>5364</v>
      </c>
      <c r="H876" s="1794">
        <v>0</v>
      </c>
      <c r="I876" s="1794">
        <v>1</v>
      </c>
      <c r="J876" s="2000">
        <v>1</v>
      </c>
      <c r="K876" s="1798"/>
      <c r="L876" s="1792">
        <v>13073030202</v>
      </c>
      <c r="M876" s="1793">
        <v>0</v>
      </c>
      <c r="N876" s="1793">
        <v>1</v>
      </c>
      <c r="O876" s="1793">
        <v>1</v>
      </c>
      <c r="AA876" s="27"/>
      <c r="AC876" s="502"/>
    </row>
    <row r="877" spans="3:29">
      <c r="C877" s="1799" t="s">
        <v>5365</v>
      </c>
      <c r="D877" s="1796">
        <v>1</v>
      </c>
      <c r="E877" s="1796">
        <v>1</v>
      </c>
      <c r="F877" s="1797">
        <v>2</v>
      </c>
      <c r="G877" s="1999" t="s">
        <v>5365</v>
      </c>
      <c r="H877" s="1794">
        <v>1</v>
      </c>
      <c r="I877" s="1794">
        <v>1</v>
      </c>
      <c r="J877" s="2000">
        <v>2</v>
      </c>
      <c r="K877" s="1798"/>
      <c r="L877" s="1792">
        <v>13073030203</v>
      </c>
      <c r="M877" s="1793">
        <v>1</v>
      </c>
      <c r="N877" s="1793">
        <v>1</v>
      </c>
      <c r="O877" s="1793">
        <v>2</v>
      </c>
      <c r="AA877" s="27"/>
      <c r="AC877" s="502"/>
    </row>
    <row r="878" spans="3:29">
      <c r="C878" s="1799" t="s">
        <v>5366</v>
      </c>
      <c r="D878" s="1796">
        <v>1</v>
      </c>
      <c r="E878" s="1796">
        <v>1</v>
      </c>
      <c r="F878" s="1797">
        <v>2</v>
      </c>
      <c r="G878" s="1999" t="s">
        <v>5366</v>
      </c>
      <c r="H878" s="1794">
        <v>1</v>
      </c>
      <c r="I878" s="1794">
        <v>1</v>
      </c>
      <c r="J878" s="2000">
        <v>2</v>
      </c>
      <c r="K878" s="1798"/>
      <c r="L878" s="1792">
        <v>13073030302</v>
      </c>
      <c r="M878" s="1793">
        <v>1</v>
      </c>
      <c r="N878" s="1793">
        <v>1</v>
      </c>
      <c r="O878" s="1793">
        <v>2</v>
      </c>
      <c r="AA878" s="27"/>
      <c r="AC878" s="502"/>
    </row>
    <row r="879" spans="3:29">
      <c r="C879" s="1799" t="s">
        <v>5367</v>
      </c>
      <c r="D879" s="1796">
        <v>1</v>
      </c>
      <c r="E879" s="1796">
        <v>1</v>
      </c>
      <c r="F879" s="1797">
        <v>2</v>
      </c>
      <c r="G879" s="1999" t="s">
        <v>5367</v>
      </c>
      <c r="H879" s="1794">
        <v>1</v>
      </c>
      <c r="I879" s="1794">
        <v>1</v>
      </c>
      <c r="J879" s="2000">
        <v>2</v>
      </c>
      <c r="K879" s="1798"/>
      <c r="L879" s="1792">
        <v>13073030304</v>
      </c>
      <c r="M879" s="1793">
        <v>1</v>
      </c>
      <c r="N879" s="1793">
        <v>1</v>
      </c>
      <c r="O879" s="1793">
        <v>2</v>
      </c>
    </row>
    <row r="880" spans="3:29">
      <c r="C880" s="1799" t="s">
        <v>5368</v>
      </c>
      <c r="D880" s="1796">
        <v>1</v>
      </c>
      <c r="E880" s="1796">
        <v>1</v>
      </c>
      <c r="F880" s="1797">
        <v>2</v>
      </c>
      <c r="G880" s="1999" t="s">
        <v>5368</v>
      </c>
      <c r="H880" s="1794">
        <v>1</v>
      </c>
      <c r="I880" s="1794">
        <v>1</v>
      </c>
      <c r="J880" s="2000">
        <v>2</v>
      </c>
      <c r="K880" s="1798"/>
      <c r="L880" s="1792">
        <v>13073030306</v>
      </c>
      <c r="M880" s="1793">
        <v>1</v>
      </c>
      <c r="N880" s="1793">
        <v>1</v>
      </c>
      <c r="O880" s="1793">
        <v>2</v>
      </c>
    </row>
    <row r="881" spans="3:15">
      <c r="C881" s="1799" t="s">
        <v>5369</v>
      </c>
      <c r="D881" s="1796">
        <v>1</v>
      </c>
      <c r="E881" s="1796">
        <v>1</v>
      </c>
      <c r="F881" s="1797">
        <v>2</v>
      </c>
      <c r="G881" s="1999" t="s">
        <v>5369</v>
      </c>
      <c r="H881" s="1794">
        <v>1</v>
      </c>
      <c r="I881" s="1794">
        <v>1</v>
      </c>
      <c r="J881" s="2000">
        <v>2</v>
      </c>
      <c r="K881" s="1798"/>
      <c r="L881" s="1792">
        <v>13073030307</v>
      </c>
      <c r="M881" s="1793">
        <v>1</v>
      </c>
      <c r="N881" s="1793">
        <v>1</v>
      </c>
      <c r="O881" s="1793">
        <v>2</v>
      </c>
    </row>
    <row r="882" spans="3:15">
      <c r="C882" s="1799" t="s">
        <v>5370</v>
      </c>
      <c r="D882" s="1796">
        <v>1</v>
      </c>
      <c r="E882" s="1796">
        <v>1</v>
      </c>
      <c r="F882" s="1797">
        <v>2</v>
      </c>
      <c r="G882" s="1999" t="s">
        <v>5370</v>
      </c>
      <c r="H882" s="1794">
        <v>1</v>
      </c>
      <c r="I882" s="1794">
        <v>1</v>
      </c>
      <c r="J882" s="2000">
        <v>2</v>
      </c>
      <c r="K882" s="1798"/>
      <c r="L882" s="1792">
        <v>13073030308</v>
      </c>
      <c r="M882" s="1793">
        <v>1</v>
      </c>
      <c r="N882" s="1793">
        <v>1</v>
      </c>
      <c r="O882" s="1793">
        <v>2</v>
      </c>
    </row>
    <row r="883" spans="3:15">
      <c r="C883" s="1799" t="s">
        <v>5371</v>
      </c>
      <c r="D883" s="1796">
        <v>1</v>
      </c>
      <c r="E883" s="1796">
        <v>1</v>
      </c>
      <c r="F883" s="1797">
        <v>2</v>
      </c>
      <c r="G883" s="1999" t="s">
        <v>5371</v>
      </c>
      <c r="H883" s="1794">
        <v>1</v>
      </c>
      <c r="I883" s="1794">
        <v>1</v>
      </c>
      <c r="J883" s="2000">
        <v>2</v>
      </c>
      <c r="K883" s="1798"/>
      <c r="L883" s="1792">
        <v>13073030309</v>
      </c>
      <c r="M883" s="1793">
        <v>1</v>
      </c>
      <c r="N883" s="1793">
        <v>1</v>
      </c>
      <c r="O883" s="1793">
        <v>2</v>
      </c>
    </row>
    <row r="884" spans="3:15">
      <c r="C884" s="1799" t="s">
        <v>5372</v>
      </c>
      <c r="D884" s="1796">
        <v>0</v>
      </c>
      <c r="E884" s="1796">
        <v>0</v>
      </c>
      <c r="F884" s="1797">
        <v>0</v>
      </c>
      <c r="G884" s="1999" t="s">
        <v>5372</v>
      </c>
      <c r="H884" s="1794">
        <v>0</v>
      </c>
      <c r="I884" s="1794">
        <v>0</v>
      </c>
      <c r="J884" s="2000">
        <v>0</v>
      </c>
      <c r="K884" s="1798"/>
      <c r="L884" s="1792">
        <v>13073030401</v>
      </c>
      <c r="M884" s="1793">
        <v>0</v>
      </c>
      <c r="N884" s="1793">
        <v>0</v>
      </c>
      <c r="O884" s="1793">
        <v>0</v>
      </c>
    </row>
    <row r="885" spans="3:15">
      <c r="C885" s="1799" t="s">
        <v>5373</v>
      </c>
      <c r="D885" s="1796">
        <v>1</v>
      </c>
      <c r="E885" s="1796">
        <v>1</v>
      </c>
      <c r="F885" s="1797">
        <v>2</v>
      </c>
      <c r="G885" s="1999" t="s">
        <v>5373</v>
      </c>
      <c r="H885" s="1794">
        <v>1</v>
      </c>
      <c r="I885" s="1794">
        <v>1</v>
      </c>
      <c r="J885" s="2000">
        <v>2</v>
      </c>
      <c r="K885" s="1798"/>
      <c r="L885" s="1792">
        <v>13073030402</v>
      </c>
      <c r="M885" s="1793">
        <v>1</v>
      </c>
      <c r="N885" s="1793">
        <v>1</v>
      </c>
      <c r="O885" s="1793">
        <v>2</v>
      </c>
    </row>
    <row r="886" spans="3:15">
      <c r="C886" s="1799" t="s">
        <v>5374</v>
      </c>
      <c r="D886" s="1796">
        <v>1</v>
      </c>
      <c r="E886" s="1796">
        <v>1</v>
      </c>
      <c r="F886" s="1797">
        <v>2</v>
      </c>
      <c r="G886" s="1999" t="s">
        <v>5374</v>
      </c>
      <c r="H886" s="1794">
        <v>1</v>
      </c>
      <c r="I886" s="1794">
        <v>0</v>
      </c>
      <c r="J886" s="2000">
        <v>1</v>
      </c>
      <c r="K886" s="1798"/>
      <c r="L886" s="1792">
        <v>13073030503</v>
      </c>
      <c r="M886" s="1793">
        <v>1</v>
      </c>
      <c r="N886" s="1793">
        <v>1</v>
      </c>
      <c r="O886" s="1793">
        <v>2</v>
      </c>
    </row>
    <row r="887" spans="3:15">
      <c r="C887" s="1799" t="s">
        <v>5375</v>
      </c>
      <c r="D887" s="1796">
        <v>1</v>
      </c>
      <c r="E887" s="1796">
        <v>1</v>
      </c>
      <c r="F887" s="1797">
        <v>2</v>
      </c>
      <c r="G887" s="1999" t="s">
        <v>5375</v>
      </c>
      <c r="H887" s="1794">
        <v>0</v>
      </c>
      <c r="I887" s="1794">
        <v>1</v>
      </c>
      <c r="J887" s="2000">
        <v>1</v>
      </c>
      <c r="K887" s="1798"/>
      <c r="L887" s="1792">
        <v>13073030504</v>
      </c>
      <c r="M887" s="1793">
        <v>1</v>
      </c>
      <c r="N887" s="1793">
        <v>1</v>
      </c>
      <c r="O887" s="1793">
        <v>2</v>
      </c>
    </row>
    <row r="888" spans="3:15">
      <c r="C888" s="1799" t="s">
        <v>5376</v>
      </c>
      <c r="D888" s="1796">
        <v>1</v>
      </c>
      <c r="E888" s="1796">
        <v>1</v>
      </c>
      <c r="F888" s="1797">
        <v>2</v>
      </c>
      <c r="G888" s="1999" t="s">
        <v>5376</v>
      </c>
      <c r="H888" s="1794">
        <v>0</v>
      </c>
      <c r="I888" s="1794" t="s">
        <v>4483</v>
      </c>
      <c r="J888" s="2000">
        <v>0</v>
      </c>
      <c r="K888" s="1798"/>
      <c r="L888" s="1792">
        <v>13073030505</v>
      </c>
      <c r="M888" s="1793">
        <v>1</v>
      </c>
      <c r="N888" s="1793">
        <v>1</v>
      </c>
      <c r="O888" s="1793">
        <v>2</v>
      </c>
    </row>
    <row r="889" spans="3:15">
      <c r="C889" s="1799" t="s">
        <v>5377</v>
      </c>
      <c r="D889" s="1796">
        <v>0</v>
      </c>
      <c r="E889" s="1796">
        <v>1</v>
      </c>
      <c r="F889" s="1797">
        <v>1</v>
      </c>
      <c r="G889" s="1999" t="s">
        <v>5377</v>
      </c>
      <c r="H889" s="1794">
        <v>0</v>
      </c>
      <c r="I889" s="1794">
        <v>0</v>
      </c>
      <c r="J889" s="2000">
        <v>0</v>
      </c>
      <c r="K889" s="1798"/>
      <c r="L889" s="1792">
        <v>13073030506</v>
      </c>
      <c r="M889" s="1793">
        <v>0</v>
      </c>
      <c r="N889" s="1793">
        <v>1</v>
      </c>
      <c r="O889" s="1793">
        <v>1</v>
      </c>
    </row>
    <row r="890" spans="3:15">
      <c r="C890" s="1799" t="s">
        <v>5378</v>
      </c>
      <c r="D890" s="1796">
        <v>0</v>
      </c>
      <c r="E890" s="1796">
        <v>0</v>
      </c>
      <c r="F890" s="1797">
        <v>0</v>
      </c>
      <c r="G890" s="1999" t="s">
        <v>5378</v>
      </c>
      <c r="H890" s="1794">
        <v>0</v>
      </c>
      <c r="I890" s="1794">
        <v>0</v>
      </c>
      <c r="J890" s="2000">
        <v>0</v>
      </c>
      <c r="K890" s="1798"/>
      <c r="L890" s="1792">
        <v>13073030603</v>
      </c>
      <c r="M890" s="1793">
        <v>0</v>
      </c>
      <c r="N890" s="1793">
        <v>0</v>
      </c>
      <c r="O890" s="1793">
        <v>0</v>
      </c>
    </row>
    <row r="891" spans="3:15">
      <c r="C891" s="1799" t="s">
        <v>5379</v>
      </c>
      <c r="D891" s="1796">
        <v>0</v>
      </c>
      <c r="E891" s="1796">
        <v>0</v>
      </c>
      <c r="F891" s="1797">
        <v>0</v>
      </c>
      <c r="G891" s="1999" t="s">
        <v>5379</v>
      </c>
      <c r="H891" s="1794">
        <v>0</v>
      </c>
      <c r="I891" s="1794">
        <v>0</v>
      </c>
      <c r="J891" s="2000">
        <v>0</v>
      </c>
      <c r="K891" s="1798"/>
      <c r="L891" s="1792">
        <v>13075960100</v>
      </c>
      <c r="M891" s="1793">
        <v>0</v>
      </c>
      <c r="N891" s="1793">
        <v>0</v>
      </c>
      <c r="O891" s="1793">
        <v>0</v>
      </c>
    </row>
    <row r="892" spans="3:15">
      <c r="C892" s="1799" t="s">
        <v>5380</v>
      </c>
      <c r="D892" s="1796">
        <v>0</v>
      </c>
      <c r="E892" s="1796">
        <v>0</v>
      </c>
      <c r="F892" s="1797">
        <v>0</v>
      </c>
      <c r="G892" s="1999" t="s">
        <v>5380</v>
      </c>
      <c r="H892" s="1794">
        <v>0</v>
      </c>
      <c r="I892" s="1794">
        <v>0</v>
      </c>
      <c r="J892" s="2000">
        <v>0</v>
      </c>
      <c r="K892" s="1798"/>
      <c r="L892" s="1792">
        <v>13075960200</v>
      </c>
      <c r="M892" s="1793">
        <v>0</v>
      </c>
      <c r="N892" s="1793">
        <v>0</v>
      </c>
      <c r="O892" s="1793">
        <v>0</v>
      </c>
    </row>
    <row r="893" spans="3:15">
      <c r="C893" s="1799" t="s">
        <v>5381</v>
      </c>
      <c r="D893" s="1796">
        <v>0</v>
      </c>
      <c r="E893" s="1796">
        <v>0</v>
      </c>
      <c r="F893" s="1797">
        <v>0</v>
      </c>
      <c r="G893" s="1999" t="s">
        <v>5381</v>
      </c>
      <c r="H893" s="1794">
        <v>0</v>
      </c>
      <c r="I893" s="1794">
        <v>0</v>
      </c>
      <c r="J893" s="2000">
        <v>0</v>
      </c>
      <c r="K893" s="1798"/>
      <c r="L893" s="1792">
        <v>13075960300</v>
      </c>
      <c r="M893" s="1793">
        <v>0</v>
      </c>
      <c r="N893" s="1793">
        <v>0</v>
      </c>
      <c r="O893" s="1793">
        <v>0</v>
      </c>
    </row>
    <row r="894" spans="3:15">
      <c r="C894" s="1799" t="s">
        <v>5382</v>
      </c>
      <c r="D894" s="1796">
        <v>0</v>
      </c>
      <c r="E894" s="1796">
        <v>0</v>
      </c>
      <c r="F894" s="1797">
        <v>0</v>
      </c>
      <c r="G894" s="1999" t="s">
        <v>5382</v>
      </c>
      <c r="H894" s="1794">
        <v>0</v>
      </c>
      <c r="I894" s="1794">
        <v>0</v>
      </c>
      <c r="J894" s="2000">
        <v>0</v>
      </c>
      <c r="K894" s="1798"/>
      <c r="L894" s="1792">
        <v>13075960400</v>
      </c>
      <c r="M894" s="1793">
        <v>0</v>
      </c>
      <c r="N894" s="1793">
        <v>0</v>
      </c>
      <c r="O894" s="1793">
        <v>0</v>
      </c>
    </row>
    <row r="895" spans="3:15">
      <c r="C895" s="1799" t="s">
        <v>5383</v>
      </c>
      <c r="D895" s="1796">
        <v>1</v>
      </c>
      <c r="E895" s="1796">
        <v>1</v>
      </c>
      <c r="F895" s="1797">
        <v>2</v>
      </c>
      <c r="G895" s="1999" t="s">
        <v>5383</v>
      </c>
      <c r="H895" s="1794">
        <v>1</v>
      </c>
      <c r="I895" s="1794">
        <v>0</v>
      </c>
      <c r="J895" s="2000">
        <v>1</v>
      </c>
      <c r="K895" s="1798"/>
      <c r="L895" s="1792">
        <v>13077170100</v>
      </c>
      <c r="M895" s="1793">
        <v>1</v>
      </c>
      <c r="N895" s="1793">
        <v>1</v>
      </c>
      <c r="O895" s="1793">
        <v>2</v>
      </c>
    </row>
    <row r="896" spans="3:15">
      <c r="C896" s="1799" t="s">
        <v>5384</v>
      </c>
      <c r="D896" s="1796">
        <v>1</v>
      </c>
      <c r="E896" s="1796">
        <v>0</v>
      </c>
      <c r="F896" s="1797">
        <v>1</v>
      </c>
      <c r="G896" s="1999" t="s">
        <v>5384</v>
      </c>
      <c r="H896" s="1794">
        <v>1</v>
      </c>
      <c r="I896" s="1794">
        <v>0</v>
      </c>
      <c r="J896" s="2000">
        <v>1</v>
      </c>
      <c r="K896" s="1798"/>
      <c r="L896" s="1792">
        <v>13077170200</v>
      </c>
      <c r="M896" s="1793">
        <v>1</v>
      </c>
      <c r="N896" s="1793">
        <v>0</v>
      </c>
      <c r="O896" s="1793">
        <v>1</v>
      </c>
    </row>
    <row r="897" spans="3:15">
      <c r="C897" s="1799" t="s">
        <v>5385</v>
      </c>
      <c r="D897" s="1796">
        <v>1</v>
      </c>
      <c r="E897" s="1796">
        <v>1</v>
      </c>
      <c r="F897" s="1797">
        <v>2</v>
      </c>
      <c r="G897" s="1999" t="s">
        <v>5385</v>
      </c>
      <c r="H897" s="1794">
        <v>1</v>
      </c>
      <c r="I897" s="1794">
        <v>1</v>
      </c>
      <c r="J897" s="2000">
        <v>2</v>
      </c>
      <c r="K897" s="1798"/>
      <c r="L897" s="1792">
        <v>13077170303</v>
      </c>
      <c r="M897" s="1793">
        <v>1</v>
      </c>
      <c r="N897" s="1793">
        <v>1</v>
      </c>
      <c r="O897" s="1793">
        <v>2</v>
      </c>
    </row>
    <row r="898" spans="3:15">
      <c r="C898" s="1799" t="s">
        <v>5386</v>
      </c>
      <c r="D898" s="1796">
        <v>1</v>
      </c>
      <c r="E898" s="1796">
        <v>1</v>
      </c>
      <c r="F898" s="1797">
        <v>2</v>
      </c>
      <c r="G898" s="1999" t="s">
        <v>5386</v>
      </c>
      <c r="H898" s="1794">
        <v>1</v>
      </c>
      <c r="I898" s="1794">
        <v>1</v>
      </c>
      <c r="J898" s="2000">
        <v>2</v>
      </c>
      <c r="K898" s="1798"/>
      <c r="L898" s="1792">
        <v>13077170304</v>
      </c>
      <c r="M898" s="1793">
        <v>1</v>
      </c>
      <c r="N898" s="1793">
        <v>1</v>
      </c>
      <c r="O898" s="1793">
        <v>2</v>
      </c>
    </row>
    <row r="899" spans="3:15">
      <c r="C899" s="1799" t="s">
        <v>5387</v>
      </c>
      <c r="D899" s="1796">
        <v>0</v>
      </c>
      <c r="E899" s="1796">
        <v>0</v>
      </c>
      <c r="F899" s="1797">
        <v>0</v>
      </c>
      <c r="G899" s="1999" t="s">
        <v>5387</v>
      </c>
      <c r="H899" s="1794">
        <v>0</v>
      </c>
      <c r="I899" s="1794">
        <v>0</v>
      </c>
      <c r="J899" s="2000">
        <v>0</v>
      </c>
      <c r="K899" s="1798"/>
      <c r="L899" s="1792">
        <v>13077170305</v>
      </c>
      <c r="M899" s="1793">
        <v>0</v>
      </c>
      <c r="N899" s="1793">
        <v>0</v>
      </c>
      <c r="O899" s="1793">
        <v>0</v>
      </c>
    </row>
    <row r="900" spans="3:15">
      <c r="C900" s="1799" t="s">
        <v>5388</v>
      </c>
      <c r="D900" s="1796">
        <v>1</v>
      </c>
      <c r="E900" s="1796">
        <v>1</v>
      </c>
      <c r="F900" s="1797">
        <v>2</v>
      </c>
      <c r="G900" s="1999" t="s">
        <v>5388</v>
      </c>
      <c r="H900" s="1794">
        <v>1</v>
      </c>
      <c r="I900" s="1794">
        <v>1</v>
      </c>
      <c r="J900" s="2000">
        <v>2</v>
      </c>
      <c r="K900" s="1798"/>
      <c r="L900" s="1792">
        <v>13077170306</v>
      </c>
      <c r="M900" s="1793">
        <v>1</v>
      </c>
      <c r="N900" s="1793">
        <v>1</v>
      </c>
      <c r="O900" s="1793">
        <v>2</v>
      </c>
    </row>
    <row r="901" spans="3:15">
      <c r="C901" s="1799" t="s">
        <v>5389</v>
      </c>
      <c r="D901" s="1796">
        <v>1</v>
      </c>
      <c r="E901" s="1796">
        <v>1</v>
      </c>
      <c r="F901" s="1797">
        <v>2</v>
      </c>
      <c r="G901" s="1999" t="s">
        <v>5389</v>
      </c>
      <c r="H901" s="1794">
        <v>1</v>
      </c>
      <c r="I901" s="1794">
        <v>1</v>
      </c>
      <c r="J901" s="2000">
        <v>2</v>
      </c>
      <c r="K901" s="1798"/>
      <c r="L901" s="1792">
        <v>13077170402</v>
      </c>
      <c r="M901" s="1793">
        <v>1</v>
      </c>
      <c r="N901" s="1793">
        <v>1</v>
      </c>
      <c r="O901" s="1793">
        <v>2</v>
      </c>
    </row>
    <row r="902" spans="3:15">
      <c r="C902" s="1799" t="s">
        <v>5390</v>
      </c>
      <c r="D902" s="1796">
        <v>1</v>
      </c>
      <c r="E902" s="1796">
        <v>1</v>
      </c>
      <c r="F902" s="1797">
        <v>2</v>
      </c>
      <c r="G902" s="1999" t="s">
        <v>5390</v>
      </c>
      <c r="H902" s="1794">
        <v>1</v>
      </c>
      <c r="I902" s="1794">
        <v>1</v>
      </c>
      <c r="J902" s="2000">
        <v>2</v>
      </c>
      <c r="K902" s="1798"/>
      <c r="L902" s="1792">
        <v>13077170403</v>
      </c>
      <c r="M902" s="1793">
        <v>1</v>
      </c>
      <c r="N902" s="1793">
        <v>1</v>
      </c>
      <c r="O902" s="1793">
        <v>2</v>
      </c>
    </row>
    <row r="903" spans="3:15">
      <c r="C903" s="1799" t="s">
        <v>5391</v>
      </c>
      <c r="D903" s="1796">
        <v>1</v>
      </c>
      <c r="E903" s="1796">
        <v>1</v>
      </c>
      <c r="F903" s="1797">
        <v>2</v>
      </c>
      <c r="G903" s="1999" t="s">
        <v>5391</v>
      </c>
      <c r="H903" s="1794">
        <v>1</v>
      </c>
      <c r="I903" s="1794">
        <v>1</v>
      </c>
      <c r="J903" s="2000">
        <v>2</v>
      </c>
      <c r="K903" s="1798"/>
      <c r="L903" s="1792">
        <v>13077170404</v>
      </c>
      <c r="M903" s="1793">
        <v>1</v>
      </c>
      <c r="N903" s="1793">
        <v>1</v>
      </c>
      <c r="O903" s="1793">
        <v>2</v>
      </c>
    </row>
    <row r="904" spans="3:15">
      <c r="C904" s="1799" t="s">
        <v>5392</v>
      </c>
      <c r="D904" s="1796">
        <v>1</v>
      </c>
      <c r="E904" s="1796">
        <v>1</v>
      </c>
      <c r="F904" s="1797">
        <v>2</v>
      </c>
      <c r="G904" s="1999" t="s">
        <v>5392</v>
      </c>
      <c r="H904" s="1794">
        <v>1</v>
      </c>
      <c r="I904" s="1794">
        <v>1</v>
      </c>
      <c r="J904" s="2000">
        <v>2</v>
      </c>
      <c r="K904" s="1798"/>
      <c r="L904" s="1792">
        <v>13077170405</v>
      </c>
      <c r="M904" s="1793">
        <v>1</v>
      </c>
      <c r="N904" s="1793">
        <v>1</v>
      </c>
      <c r="O904" s="1793">
        <v>2</v>
      </c>
    </row>
    <row r="905" spans="3:15">
      <c r="C905" s="1799" t="s">
        <v>5393</v>
      </c>
      <c r="D905" s="1796">
        <v>1</v>
      </c>
      <c r="E905" s="1796">
        <v>1</v>
      </c>
      <c r="F905" s="1797">
        <v>2</v>
      </c>
      <c r="G905" s="1999" t="s">
        <v>5393</v>
      </c>
      <c r="H905" s="1794">
        <v>1</v>
      </c>
      <c r="I905" s="1794">
        <v>1</v>
      </c>
      <c r="J905" s="2000">
        <v>2</v>
      </c>
      <c r="K905" s="1798"/>
      <c r="L905" s="1792">
        <v>13077170406</v>
      </c>
      <c r="M905" s="1793">
        <v>1</v>
      </c>
      <c r="N905" s="1793">
        <v>1</v>
      </c>
      <c r="O905" s="1793">
        <v>2</v>
      </c>
    </row>
    <row r="906" spans="3:15">
      <c r="C906" s="1799" t="s">
        <v>5394</v>
      </c>
      <c r="D906" s="1796">
        <v>1</v>
      </c>
      <c r="E906" s="1796">
        <v>1</v>
      </c>
      <c r="F906" s="1797">
        <v>2</v>
      </c>
      <c r="G906" s="1999" t="s">
        <v>5394</v>
      </c>
      <c r="H906" s="1794">
        <v>1</v>
      </c>
      <c r="I906" s="1794">
        <v>1</v>
      </c>
      <c r="J906" s="2000">
        <v>2</v>
      </c>
      <c r="K906" s="1798"/>
      <c r="L906" s="1792">
        <v>13077170501</v>
      </c>
      <c r="M906" s="1793">
        <v>1</v>
      </c>
      <c r="N906" s="1793">
        <v>1</v>
      </c>
      <c r="O906" s="1793">
        <v>2</v>
      </c>
    </row>
    <row r="907" spans="3:15">
      <c r="C907" s="1799" t="s">
        <v>5395</v>
      </c>
      <c r="D907" s="1796">
        <v>1</v>
      </c>
      <c r="E907" s="1796">
        <v>1</v>
      </c>
      <c r="F907" s="1797">
        <v>2</v>
      </c>
      <c r="G907" s="1999" t="s">
        <v>5395</v>
      </c>
      <c r="H907" s="1794">
        <v>1</v>
      </c>
      <c r="I907" s="1794">
        <v>1</v>
      </c>
      <c r="J907" s="2000">
        <v>2</v>
      </c>
      <c r="K907" s="1798"/>
      <c r="L907" s="1792">
        <v>13077170502</v>
      </c>
      <c r="M907" s="1793">
        <v>1</v>
      </c>
      <c r="N907" s="1793">
        <v>1</v>
      </c>
      <c r="O907" s="1793">
        <v>2</v>
      </c>
    </row>
    <row r="908" spans="3:15">
      <c r="C908" s="1799" t="s">
        <v>5396</v>
      </c>
      <c r="D908" s="1796">
        <v>1</v>
      </c>
      <c r="E908" s="1796">
        <v>1</v>
      </c>
      <c r="F908" s="1797">
        <v>2</v>
      </c>
      <c r="G908" s="1999" t="s">
        <v>5396</v>
      </c>
      <c r="H908" s="1794">
        <v>1</v>
      </c>
      <c r="I908" s="1794">
        <v>1</v>
      </c>
      <c r="J908" s="2000">
        <v>2</v>
      </c>
      <c r="K908" s="1798"/>
      <c r="L908" s="1792">
        <v>13077170503</v>
      </c>
      <c r="M908" s="1793">
        <v>1</v>
      </c>
      <c r="N908" s="1793">
        <v>1</v>
      </c>
      <c r="O908" s="1793">
        <v>2</v>
      </c>
    </row>
    <row r="909" spans="3:15">
      <c r="C909" s="1799" t="s">
        <v>5397</v>
      </c>
      <c r="D909" s="1796">
        <v>0</v>
      </c>
      <c r="E909" s="1796">
        <v>0</v>
      </c>
      <c r="F909" s="1797">
        <v>0</v>
      </c>
      <c r="G909" s="1999" t="s">
        <v>5397</v>
      </c>
      <c r="H909" s="1794">
        <v>0</v>
      </c>
      <c r="I909" s="1794">
        <v>0</v>
      </c>
      <c r="J909" s="2000">
        <v>0</v>
      </c>
      <c r="K909" s="1798"/>
      <c r="L909" s="1792">
        <v>13077170601</v>
      </c>
      <c r="M909" s="1793">
        <v>0</v>
      </c>
      <c r="N909" s="1793">
        <v>0</v>
      </c>
      <c r="O909" s="1793">
        <v>0</v>
      </c>
    </row>
    <row r="910" spans="3:15">
      <c r="C910" s="1799" t="s">
        <v>5398</v>
      </c>
      <c r="D910" s="1796">
        <v>1</v>
      </c>
      <c r="E910" s="1796">
        <v>1</v>
      </c>
      <c r="F910" s="1797">
        <v>2</v>
      </c>
      <c r="G910" s="1999" t="s">
        <v>5398</v>
      </c>
      <c r="H910" s="1794">
        <v>1</v>
      </c>
      <c r="I910" s="1794" t="s">
        <v>4483</v>
      </c>
      <c r="J910" s="2000">
        <v>1</v>
      </c>
      <c r="K910" s="1798"/>
      <c r="L910" s="1792">
        <v>13077170602</v>
      </c>
      <c r="M910" s="1793">
        <v>1</v>
      </c>
      <c r="N910" s="1793">
        <v>1</v>
      </c>
      <c r="O910" s="1793">
        <v>2</v>
      </c>
    </row>
    <row r="911" spans="3:15">
      <c r="C911" s="1799" t="s">
        <v>5399</v>
      </c>
      <c r="D911" s="1796">
        <v>1</v>
      </c>
      <c r="E911" s="1796">
        <v>1</v>
      </c>
      <c r="F911" s="1797">
        <v>2</v>
      </c>
      <c r="G911" s="1999" t="s">
        <v>5399</v>
      </c>
      <c r="H911" s="1794">
        <v>1</v>
      </c>
      <c r="I911" s="1794">
        <v>1</v>
      </c>
      <c r="J911" s="2000">
        <v>2</v>
      </c>
      <c r="K911" s="1798"/>
      <c r="L911" s="1792">
        <v>13077170603</v>
      </c>
      <c r="M911" s="1793">
        <v>1</v>
      </c>
      <c r="N911" s="1793">
        <v>1</v>
      </c>
      <c r="O911" s="1793">
        <v>2</v>
      </c>
    </row>
    <row r="912" spans="3:15">
      <c r="C912" s="1799" t="s">
        <v>5400</v>
      </c>
      <c r="D912" s="1796">
        <v>0</v>
      </c>
      <c r="E912" s="1796">
        <v>0</v>
      </c>
      <c r="F912" s="1797">
        <v>0</v>
      </c>
      <c r="G912" s="1999" t="s">
        <v>5400</v>
      </c>
      <c r="H912" s="1794">
        <v>0</v>
      </c>
      <c r="I912" s="1794">
        <v>0</v>
      </c>
      <c r="J912" s="2000">
        <v>0</v>
      </c>
      <c r="K912" s="1798"/>
      <c r="L912" s="1792">
        <v>13077170700</v>
      </c>
      <c r="M912" s="1793">
        <v>0</v>
      </c>
      <c r="N912" s="1793">
        <v>0</v>
      </c>
      <c r="O912" s="1793">
        <v>0</v>
      </c>
    </row>
    <row r="913" spans="3:15">
      <c r="C913" s="1799" t="s">
        <v>5401</v>
      </c>
      <c r="D913" s="1796">
        <v>0</v>
      </c>
      <c r="E913" s="1796">
        <v>1</v>
      </c>
      <c r="F913" s="1797">
        <v>1</v>
      </c>
      <c r="G913" s="1999" t="s">
        <v>5401</v>
      </c>
      <c r="H913" s="1794">
        <v>0</v>
      </c>
      <c r="I913" s="1794">
        <v>0</v>
      </c>
      <c r="J913" s="2000">
        <v>0</v>
      </c>
      <c r="K913" s="1798"/>
      <c r="L913" s="1792">
        <v>13077170801</v>
      </c>
      <c r="M913" s="1793">
        <v>0</v>
      </c>
      <c r="N913" s="1793">
        <v>1</v>
      </c>
      <c r="O913" s="1793">
        <v>1</v>
      </c>
    </row>
    <row r="914" spans="3:15">
      <c r="C914" s="1799" t="s">
        <v>5402</v>
      </c>
      <c r="D914" s="1796">
        <v>1</v>
      </c>
      <c r="E914" s="1796">
        <v>1</v>
      </c>
      <c r="F914" s="1797">
        <v>2</v>
      </c>
      <c r="G914" s="1999" t="s">
        <v>5402</v>
      </c>
      <c r="H914" s="1794">
        <v>1</v>
      </c>
      <c r="I914" s="1794">
        <v>1</v>
      </c>
      <c r="J914" s="2000">
        <v>2</v>
      </c>
      <c r="K914" s="1798"/>
      <c r="L914" s="1792">
        <v>13077170802</v>
      </c>
      <c r="M914" s="1793">
        <v>1</v>
      </c>
      <c r="N914" s="1793">
        <v>1</v>
      </c>
      <c r="O914" s="1793">
        <v>2</v>
      </c>
    </row>
    <row r="915" spans="3:15">
      <c r="C915" s="1799" t="s">
        <v>5403</v>
      </c>
      <c r="D915" s="1796">
        <v>0</v>
      </c>
      <c r="E915" s="1796">
        <v>0</v>
      </c>
      <c r="F915" s="1797">
        <v>0</v>
      </c>
      <c r="G915" s="1999" t="s">
        <v>5403</v>
      </c>
      <c r="H915" s="1794">
        <v>0</v>
      </c>
      <c r="I915" s="1794">
        <v>0</v>
      </c>
      <c r="J915" s="2000">
        <v>0</v>
      </c>
      <c r="K915" s="1798"/>
      <c r="L915" s="1792">
        <v>13079070100</v>
      </c>
      <c r="M915" s="1793">
        <v>0</v>
      </c>
      <c r="N915" s="1793">
        <v>0</v>
      </c>
      <c r="O915" s="1793">
        <v>0</v>
      </c>
    </row>
    <row r="916" spans="3:15">
      <c r="C916" s="1799" t="s">
        <v>5404</v>
      </c>
      <c r="D916" s="1796">
        <v>0</v>
      </c>
      <c r="E916" s="1796">
        <v>1</v>
      </c>
      <c r="F916" s="1797">
        <v>1</v>
      </c>
      <c r="G916" s="1999" t="s">
        <v>5404</v>
      </c>
      <c r="H916" s="1794">
        <v>0</v>
      </c>
      <c r="I916" s="1794">
        <v>1</v>
      </c>
      <c r="J916" s="2000">
        <v>1</v>
      </c>
      <c r="K916" s="1798"/>
      <c r="L916" s="1792">
        <v>13079070201</v>
      </c>
      <c r="M916" s="1793">
        <v>0</v>
      </c>
      <c r="N916" s="1793">
        <v>1</v>
      </c>
      <c r="O916" s="1793">
        <v>1</v>
      </c>
    </row>
    <row r="917" spans="3:15">
      <c r="C917" s="1799" t="s">
        <v>5405</v>
      </c>
      <c r="D917" s="1796">
        <v>0</v>
      </c>
      <c r="E917" s="1796">
        <v>1</v>
      </c>
      <c r="F917" s="1797">
        <v>1</v>
      </c>
      <c r="G917" s="1999" t="s">
        <v>5405</v>
      </c>
      <c r="H917" s="1794">
        <v>0</v>
      </c>
      <c r="I917" s="1794">
        <v>0</v>
      </c>
      <c r="J917" s="2000">
        <v>0</v>
      </c>
      <c r="K917" s="1798"/>
      <c r="L917" s="1792">
        <v>13079070202</v>
      </c>
      <c r="M917" s="1793">
        <v>0</v>
      </c>
      <c r="N917" s="1793">
        <v>1</v>
      </c>
      <c r="O917" s="1793">
        <v>1</v>
      </c>
    </row>
    <row r="918" spans="3:15">
      <c r="C918" s="1799" t="s">
        <v>5406</v>
      </c>
      <c r="D918" s="1796">
        <v>0</v>
      </c>
      <c r="E918" s="1796">
        <v>0</v>
      </c>
      <c r="F918" s="1797">
        <v>0</v>
      </c>
      <c r="G918" s="1999" t="s">
        <v>5406</v>
      </c>
      <c r="H918" s="1794">
        <v>0</v>
      </c>
      <c r="I918" s="1794">
        <v>0</v>
      </c>
      <c r="J918" s="2000">
        <v>0</v>
      </c>
      <c r="K918" s="1798"/>
      <c r="L918" s="1792">
        <v>13081010100</v>
      </c>
      <c r="M918" s="1793">
        <v>0</v>
      </c>
      <c r="N918" s="1793">
        <v>0</v>
      </c>
      <c r="O918" s="1793">
        <v>0</v>
      </c>
    </row>
    <row r="919" spans="3:15">
      <c r="C919" s="1799" t="s">
        <v>5407</v>
      </c>
      <c r="D919" s="1796">
        <v>0</v>
      </c>
      <c r="E919" s="1796">
        <v>0</v>
      </c>
      <c r="F919" s="1797">
        <v>0</v>
      </c>
      <c r="G919" s="1999" t="s">
        <v>5407</v>
      </c>
      <c r="H919" s="1794">
        <v>0</v>
      </c>
      <c r="I919" s="1794">
        <v>0</v>
      </c>
      <c r="J919" s="2000">
        <v>0</v>
      </c>
      <c r="K919" s="1798"/>
      <c r="L919" s="1792">
        <v>13081010201</v>
      </c>
      <c r="M919" s="1793">
        <v>0</v>
      </c>
      <c r="N919" s="1793">
        <v>0</v>
      </c>
      <c r="O919" s="1793">
        <v>0</v>
      </c>
    </row>
    <row r="920" spans="3:15">
      <c r="C920" s="1799" t="s">
        <v>5408</v>
      </c>
      <c r="D920" s="1796">
        <v>0</v>
      </c>
      <c r="E920" s="1796">
        <v>0</v>
      </c>
      <c r="F920" s="1797">
        <v>0</v>
      </c>
      <c r="G920" s="1999" t="s">
        <v>5408</v>
      </c>
      <c r="H920" s="1794">
        <v>0</v>
      </c>
      <c r="I920" s="1794">
        <v>0</v>
      </c>
      <c r="J920" s="2000">
        <v>0</v>
      </c>
      <c r="K920" s="1798"/>
      <c r="L920" s="1792">
        <v>13081010202</v>
      </c>
      <c r="M920" s="1793">
        <v>0</v>
      </c>
      <c r="N920" s="1793">
        <v>0</v>
      </c>
      <c r="O920" s="1793">
        <v>0</v>
      </c>
    </row>
    <row r="921" spans="3:15">
      <c r="C921" s="1799" t="s">
        <v>5409</v>
      </c>
      <c r="D921" s="1796">
        <v>0</v>
      </c>
      <c r="E921" s="1796">
        <v>0</v>
      </c>
      <c r="F921" s="1797">
        <v>0</v>
      </c>
      <c r="G921" s="1999" t="s">
        <v>5409</v>
      </c>
      <c r="H921" s="1794">
        <v>0</v>
      </c>
      <c r="I921" s="1794">
        <v>0</v>
      </c>
      <c r="J921" s="2000">
        <v>0</v>
      </c>
      <c r="K921" s="1798"/>
      <c r="L921" s="1792">
        <v>13081010300</v>
      </c>
      <c r="M921" s="1793">
        <v>0</v>
      </c>
      <c r="N921" s="1793">
        <v>0</v>
      </c>
      <c r="O921" s="1793">
        <v>0</v>
      </c>
    </row>
    <row r="922" spans="3:15">
      <c r="C922" s="1799" t="s">
        <v>5410</v>
      </c>
      <c r="D922" s="1796">
        <v>0</v>
      </c>
      <c r="E922" s="1796">
        <v>0</v>
      </c>
      <c r="F922" s="1797">
        <v>0</v>
      </c>
      <c r="G922" s="1999" t="s">
        <v>5410</v>
      </c>
      <c r="H922" s="1794">
        <v>0</v>
      </c>
      <c r="I922" s="1794">
        <v>0</v>
      </c>
      <c r="J922" s="2000">
        <v>0</v>
      </c>
      <c r="K922" s="1798"/>
      <c r="L922" s="1792">
        <v>13081010400</v>
      </c>
      <c r="M922" s="1793">
        <v>0</v>
      </c>
      <c r="N922" s="1793">
        <v>0</v>
      </c>
      <c r="O922" s="1793">
        <v>0</v>
      </c>
    </row>
    <row r="923" spans="3:15">
      <c r="C923" s="1799" t="s">
        <v>5411</v>
      </c>
      <c r="D923" s="1796">
        <v>0</v>
      </c>
      <c r="E923" s="1796">
        <v>0</v>
      </c>
      <c r="F923" s="1797">
        <v>0</v>
      </c>
      <c r="G923" s="1999" t="s">
        <v>5411</v>
      </c>
      <c r="H923" s="1794">
        <v>0</v>
      </c>
      <c r="I923" s="1794">
        <v>0</v>
      </c>
      <c r="J923" s="2000">
        <v>0</v>
      </c>
      <c r="K923" s="1798"/>
      <c r="L923" s="1792">
        <v>13081010500</v>
      </c>
      <c r="M923" s="1793">
        <v>0</v>
      </c>
      <c r="N923" s="1793">
        <v>0</v>
      </c>
      <c r="O923" s="1793">
        <v>0</v>
      </c>
    </row>
    <row r="924" spans="3:15">
      <c r="C924" s="1799" t="s">
        <v>5412</v>
      </c>
      <c r="D924" s="1796">
        <v>0</v>
      </c>
      <c r="E924" s="1796">
        <v>0</v>
      </c>
      <c r="F924" s="1797">
        <v>0</v>
      </c>
      <c r="G924" s="1999" t="s">
        <v>5412</v>
      </c>
      <c r="H924" s="1794">
        <v>0</v>
      </c>
      <c r="I924" s="1794">
        <v>0</v>
      </c>
      <c r="J924" s="2000">
        <v>0</v>
      </c>
      <c r="K924" s="1798"/>
      <c r="L924" s="1792">
        <v>13083040101</v>
      </c>
      <c r="M924" s="1793">
        <v>0</v>
      </c>
      <c r="N924" s="1793">
        <v>0</v>
      </c>
      <c r="O924" s="1793">
        <v>0</v>
      </c>
    </row>
    <row r="925" spans="3:15">
      <c r="C925" s="1799" t="s">
        <v>5413</v>
      </c>
      <c r="D925" s="1796">
        <v>1</v>
      </c>
      <c r="E925" s="1796">
        <v>1</v>
      </c>
      <c r="F925" s="1797">
        <v>2</v>
      </c>
      <c r="G925" s="1999" t="s">
        <v>5413</v>
      </c>
      <c r="H925" s="1794">
        <v>0</v>
      </c>
      <c r="I925" s="1794">
        <v>1</v>
      </c>
      <c r="J925" s="2000">
        <v>1</v>
      </c>
      <c r="K925" s="1798"/>
      <c r="L925" s="1792">
        <v>13083040102</v>
      </c>
      <c r="M925" s="1793">
        <v>1</v>
      </c>
      <c r="N925" s="1793">
        <v>1</v>
      </c>
      <c r="O925" s="1793">
        <v>2</v>
      </c>
    </row>
    <row r="926" spans="3:15">
      <c r="C926" s="1799" t="s">
        <v>5414</v>
      </c>
      <c r="D926" s="1796">
        <v>0</v>
      </c>
      <c r="E926" s="1796">
        <v>0</v>
      </c>
      <c r="F926" s="1797">
        <v>0</v>
      </c>
      <c r="G926" s="1999" t="s">
        <v>5414</v>
      </c>
      <c r="H926" s="1794">
        <v>0</v>
      </c>
      <c r="I926" s="1794">
        <v>0</v>
      </c>
      <c r="J926" s="2000">
        <v>0</v>
      </c>
      <c r="K926" s="1798"/>
      <c r="L926" s="1792">
        <v>13083040200</v>
      </c>
      <c r="M926" s="1793">
        <v>0</v>
      </c>
      <c r="N926" s="1793">
        <v>0</v>
      </c>
      <c r="O926" s="1793">
        <v>0</v>
      </c>
    </row>
    <row r="927" spans="3:15">
      <c r="C927" s="1799" t="s">
        <v>5415</v>
      </c>
      <c r="D927" s="1796">
        <v>1</v>
      </c>
      <c r="E927" s="1796">
        <v>1</v>
      </c>
      <c r="F927" s="1797">
        <v>2</v>
      </c>
      <c r="G927" s="1999" t="s">
        <v>5415</v>
      </c>
      <c r="H927" s="1794">
        <v>0</v>
      </c>
      <c r="I927" s="1794">
        <v>1</v>
      </c>
      <c r="J927" s="2000">
        <v>1</v>
      </c>
      <c r="K927" s="1798"/>
      <c r="L927" s="1792">
        <v>13083040300</v>
      </c>
      <c r="M927" s="1793">
        <v>1</v>
      </c>
      <c r="N927" s="1793">
        <v>1</v>
      </c>
      <c r="O927" s="1793">
        <v>2</v>
      </c>
    </row>
    <row r="928" spans="3:15">
      <c r="C928" s="1799" t="s">
        <v>5416</v>
      </c>
      <c r="D928" s="1796">
        <v>1</v>
      </c>
      <c r="E928" s="1796">
        <v>1</v>
      </c>
      <c r="F928" s="1797">
        <v>2</v>
      </c>
      <c r="G928" s="1999" t="s">
        <v>5416</v>
      </c>
      <c r="H928" s="1794">
        <v>1</v>
      </c>
      <c r="I928" s="1794">
        <v>1</v>
      </c>
      <c r="J928" s="2000">
        <v>2</v>
      </c>
      <c r="K928" s="1798"/>
      <c r="L928" s="1792">
        <v>13085970100</v>
      </c>
      <c r="M928" s="1793">
        <v>1</v>
      </c>
      <c r="N928" s="1793">
        <v>1</v>
      </c>
      <c r="O928" s="1793">
        <v>2</v>
      </c>
    </row>
    <row r="929" spans="3:15">
      <c r="C929" s="1799" t="s">
        <v>5417</v>
      </c>
      <c r="D929" s="1796">
        <v>1</v>
      </c>
      <c r="E929" s="1796">
        <v>1</v>
      </c>
      <c r="F929" s="1797">
        <v>2</v>
      </c>
      <c r="G929" s="1999" t="s">
        <v>5417</v>
      </c>
      <c r="H929" s="1794">
        <v>1</v>
      </c>
      <c r="I929" s="1794">
        <v>1</v>
      </c>
      <c r="J929" s="2000">
        <v>2</v>
      </c>
      <c r="K929" s="1798"/>
      <c r="L929" s="1792">
        <v>13085970201</v>
      </c>
      <c r="M929" s="1793">
        <v>1</v>
      </c>
      <c r="N929" s="1793">
        <v>1</v>
      </c>
      <c r="O929" s="1793">
        <v>2</v>
      </c>
    </row>
    <row r="930" spans="3:15">
      <c r="C930" s="1799" t="s">
        <v>5418</v>
      </c>
      <c r="D930" s="1796">
        <v>0</v>
      </c>
      <c r="E930" s="1796">
        <v>1</v>
      </c>
      <c r="F930" s="1797">
        <v>1</v>
      </c>
      <c r="G930" s="1999" t="s">
        <v>5418</v>
      </c>
      <c r="H930" s="1794">
        <v>1</v>
      </c>
      <c r="I930" s="1794">
        <v>0</v>
      </c>
      <c r="J930" s="2000">
        <v>1</v>
      </c>
      <c r="K930" s="1798"/>
      <c r="L930" s="1792">
        <v>13085970202</v>
      </c>
      <c r="M930" s="1793">
        <v>1</v>
      </c>
      <c r="N930" s="1793">
        <v>1</v>
      </c>
      <c r="O930" s="1793">
        <v>1</v>
      </c>
    </row>
    <row r="931" spans="3:15">
      <c r="C931" s="1799" t="s">
        <v>5419</v>
      </c>
      <c r="D931" s="1796">
        <v>1</v>
      </c>
      <c r="E931" s="1796">
        <v>0</v>
      </c>
      <c r="F931" s="1797">
        <v>1</v>
      </c>
      <c r="G931" s="1999" t="s">
        <v>5419</v>
      </c>
      <c r="H931" s="1794">
        <v>0</v>
      </c>
      <c r="I931" s="1794">
        <v>0</v>
      </c>
      <c r="J931" s="2000">
        <v>0</v>
      </c>
      <c r="K931" s="1798"/>
      <c r="L931" s="1792">
        <v>13087970100</v>
      </c>
      <c r="M931" s="1793">
        <v>1</v>
      </c>
      <c r="N931" s="1793">
        <v>0</v>
      </c>
      <c r="O931" s="1793">
        <v>1</v>
      </c>
    </row>
    <row r="932" spans="3:15">
      <c r="C932" s="1799" t="s">
        <v>5420</v>
      </c>
      <c r="D932" s="1796">
        <v>0</v>
      </c>
      <c r="E932" s="1796">
        <v>0</v>
      </c>
      <c r="F932" s="1797">
        <v>0</v>
      </c>
      <c r="G932" s="1999" t="s">
        <v>5420</v>
      </c>
      <c r="H932" s="1794">
        <v>0</v>
      </c>
      <c r="I932" s="1794">
        <v>0</v>
      </c>
      <c r="J932" s="2000">
        <v>0</v>
      </c>
      <c r="K932" s="1798"/>
      <c r="L932" s="1792">
        <v>13087970200</v>
      </c>
      <c r="M932" s="1793">
        <v>0</v>
      </c>
      <c r="N932" s="1793">
        <v>0</v>
      </c>
      <c r="O932" s="1793">
        <v>0</v>
      </c>
    </row>
    <row r="933" spans="3:15">
      <c r="C933" s="1799" t="s">
        <v>5421</v>
      </c>
      <c r="D933" s="1796">
        <v>0</v>
      </c>
      <c r="E933" s="1796">
        <v>0</v>
      </c>
      <c r="F933" s="1797">
        <v>0</v>
      </c>
      <c r="G933" s="1999" t="s">
        <v>5421</v>
      </c>
      <c r="H933" s="1794">
        <v>0</v>
      </c>
      <c r="I933" s="1794">
        <v>0</v>
      </c>
      <c r="J933" s="2000">
        <v>0</v>
      </c>
      <c r="K933" s="1798"/>
      <c r="L933" s="1792">
        <v>13087970300</v>
      </c>
      <c r="M933" s="1793">
        <v>0</v>
      </c>
      <c r="N933" s="1793">
        <v>0</v>
      </c>
      <c r="O933" s="1793">
        <v>0</v>
      </c>
    </row>
    <row r="934" spans="3:15">
      <c r="C934" s="1799" t="s">
        <v>5422</v>
      </c>
      <c r="D934" s="1796">
        <v>0</v>
      </c>
      <c r="E934" s="1796">
        <v>0</v>
      </c>
      <c r="F934" s="1797">
        <v>0</v>
      </c>
      <c r="G934" s="1999" t="s">
        <v>5422</v>
      </c>
      <c r="H934" s="1794">
        <v>0</v>
      </c>
      <c r="I934" s="1794">
        <v>0</v>
      </c>
      <c r="J934" s="2000">
        <v>0</v>
      </c>
      <c r="K934" s="1798"/>
      <c r="L934" s="1792">
        <v>13087970400</v>
      </c>
      <c r="M934" s="1793">
        <v>0</v>
      </c>
      <c r="N934" s="1793">
        <v>0</v>
      </c>
      <c r="O934" s="1793">
        <v>0</v>
      </c>
    </row>
    <row r="935" spans="3:15">
      <c r="C935" s="1799" t="s">
        <v>5423</v>
      </c>
      <c r="D935" s="1796">
        <v>1</v>
      </c>
      <c r="E935" s="1796">
        <v>0</v>
      </c>
      <c r="F935" s="1797">
        <v>1</v>
      </c>
      <c r="G935" s="1999" t="s">
        <v>5423</v>
      </c>
      <c r="H935" s="1794">
        <v>0</v>
      </c>
      <c r="I935" s="1794">
        <v>1</v>
      </c>
      <c r="J935" s="2000">
        <v>1</v>
      </c>
      <c r="K935" s="1798"/>
      <c r="L935" s="1792">
        <v>13087970600</v>
      </c>
      <c r="M935" s="1793">
        <v>1</v>
      </c>
      <c r="N935" s="1793">
        <v>1</v>
      </c>
      <c r="O935" s="1793">
        <v>1</v>
      </c>
    </row>
    <row r="936" spans="3:15">
      <c r="C936" s="1799" t="s">
        <v>5424</v>
      </c>
      <c r="D936" s="1796">
        <v>0</v>
      </c>
      <c r="E936" s="1796">
        <v>0</v>
      </c>
      <c r="F936" s="1797">
        <v>0</v>
      </c>
      <c r="G936" s="1999" t="s">
        <v>5424</v>
      </c>
      <c r="H936" s="1794">
        <v>0</v>
      </c>
      <c r="I936" s="1794">
        <v>0</v>
      </c>
      <c r="J936" s="2000">
        <v>0</v>
      </c>
      <c r="K936" s="1798"/>
      <c r="L936" s="1792">
        <v>13087970700</v>
      </c>
      <c r="M936" s="1793">
        <v>0</v>
      </c>
      <c r="N936" s="1793">
        <v>0</v>
      </c>
      <c r="O936" s="1793">
        <v>0</v>
      </c>
    </row>
    <row r="937" spans="3:15">
      <c r="C937" s="1799" t="s">
        <v>5425</v>
      </c>
      <c r="D937" s="1796">
        <v>0</v>
      </c>
      <c r="E937" s="1796">
        <v>0</v>
      </c>
      <c r="F937" s="1797">
        <v>0</v>
      </c>
      <c r="G937" s="1999" t="s">
        <v>5425</v>
      </c>
      <c r="H937" s="1794">
        <v>0</v>
      </c>
      <c r="I937" s="1794">
        <v>0</v>
      </c>
      <c r="J937" s="2000">
        <v>0</v>
      </c>
      <c r="K937" s="1798"/>
      <c r="L937" s="1792">
        <v>13087970800</v>
      </c>
      <c r="M937" s="1793">
        <v>0</v>
      </c>
      <c r="N937" s="1793">
        <v>0</v>
      </c>
      <c r="O937" s="1793">
        <v>0</v>
      </c>
    </row>
    <row r="938" spans="3:15">
      <c r="C938" s="1799" t="s">
        <v>5426</v>
      </c>
      <c r="D938" s="1796">
        <v>1</v>
      </c>
      <c r="E938" s="1796">
        <v>1</v>
      </c>
      <c r="F938" s="1797">
        <v>2</v>
      </c>
      <c r="G938" s="1999" t="s">
        <v>5426</v>
      </c>
      <c r="H938" s="1794">
        <v>1</v>
      </c>
      <c r="I938" s="1794">
        <v>1</v>
      </c>
      <c r="J938" s="2000">
        <v>2</v>
      </c>
      <c r="K938" s="1798"/>
      <c r="L938" s="1792">
        <v>13089020100</v>
      </c>
      <c r="M938" s="1793">
        <v>1</v>
      </c>
      <c r="N938" s="1793">
        <v>1</v>
      </c>
      <c r="O938" s="1793">
        <v>2</v>
      </c>
    </row>
    <row r="939" spans="3:15">
      <c r="C939" s="1799" t="s">
        <v>5427</v>
      </c>
      <c r="D939" s="1796">
        <v>1</v>
      </c>
      <c r="E939" s="1796">
        <v>1</v>
      </c>
      <c r="F939" s="1797">
        <v>2</v>
      </c>
      <c r="G939" s="1999" t="s">
        <v>5427</v>
      </c>
      <c r="H939" s="1794">
        <v>1</v>
      </c>
      <c r="I939" s="1794">
        <v>1</v>
      </c>
      <c r="J939" s="2000">
        <v>2</v>
      </c>
      <c r="K939" s="1798"/>
      <c r="L939" s="1792">
        <v>13089020200</v>
      </c>
      <c r="M939" s="1793">
        <v>1</v>
      </c>
      <c r="N939" s="1793">
        <v>1</v>
      </c>
      <c r="O939" s="1793">
        <v>2</v>
      </c>
    </row>
    <row r="940" spans="3:15">
      <c r="C940" s="1799" t="s">
        <v>5428</v>
      </c>
      <c r="D940" s="1796">
        <v>1</v>
      </c>
      <c r="E940" s="1796">
        <v>1</v>
      </c>
      <c r="F940" s="1797">
        <v>2</v>
      </c>
      <c r="G940" s="1999" t="s">
        <v>5428</v>
      </c>
      <c r="H940" s="1794">
        <v>1</v>
      </c>
      <c r="I940" s="1794" t="s">
        <v>4483</v>
      </c>
      <c r="J940" s="2000">
        <v>1</v>
      </c>
      <c r="K940" s="1798"/>
      <c r="L940" s="1792">
        <v>13089020300</v>
      </c>
      <c r="M940" s="1793">
        <v>1</v>
      </c>
      <c r="N940" s="1793">
        <v>1</v>
      </c>
      <c r="O940" s="1793">
        <v>2</v>
      </c>
    </row>
    <row r="941" spans="3:15">
      <c r="C941" s="1799" t="s">
        <v>5429</v>
      </c>
      <c r="D941" s="1796">
        <v>1</v>
      </c>
      <c r="E941" s="1796">
        <v>1</v>
      </c>
      <c r="F941" s="1797">
        <v>2</v>
      </c>
      <c r="G941" s="1999" t="s">
        <v>5429</v>
      </c>
      <c r="H941" s="1794">
        <v>1</v>
      </c>
      <c r="I941" s="1794" t="s">
        <v>4483</v>
      </c>
      <c r="J941" s="2000">
        <v>1</v>
      </c>
      <c r="K941" s="1798"/>
      <c r="L941" s="1792">
        <v>13089020400</v>
      </c>
      <c r="M941" s="1793">
        <v>1</v>
      </c>
      <c r="N941" s="1793">
        <v>1</v>
      </c>
      <c r="O941" s="1793">
        <v>2</v>
      </c>
    </row>
    <row r="942" spans="3:15">
      <c r="C942" s="1799" t="s">
        <v>5430</v>
      </c>
      <c r="D942" s="1796">
        <v>0</v>
      </c>
      <c r="E942" s="1796">
        <v>0</v>
      </c>
      <c r="F942" s="1797">
        <v>0</v>
      </c>
      <c r="G942" s="1999" t="s">
        <v>5430</v>
      </c>
      <c r="H942" s="1794">
        <v>0</v>
      </c>
      <c r="I942" s="1794">
        <v>0</v>
      </c>
      <c r="J942" s="2000">
        <v>0</v>
      </c>
      <c r="K942" s="1798"/>
      <c r="L942" s="1792">
        <v>13089020500</v>
      </c>
      <c r="M942" s="1793">
        <v>0</v>
      </c>
      <c r="N942" s="1793">
        <v>0</v>
      </c>
      <c r="O942" s="1793">
        <v>0</v>
      </c>
    </row>
    <row r="943" spans="3:15">
      <c r="C943" s="1799" t="s">
        <v>5431</v>
      </c>
      <c r="D943" s="1796">
        <v>0</v>
      </c>
      <c r="E943" s="1796">
        <v>0</v>
      </c>
      <c r="F943" s="1797">
        <v>0</v>
      </c>
      <c r="G943" s="1999" t="s">
        <v>5431</v>
      </c>
      <c r="H943" s="1794">
        <v>0</v>
      </c>
      <c r="I943" s="1794">
        <v>0</v>
      </c>
      <c r="J943" s="2000">
        <v>0</v>
      </c>
      <c r="K943" s="1798"/>
      <c r="L943" s="1792">
        <v>13089020600</v>
      </c>
      <c r="M943" s="1793">
        <v>0</v>
      </c>
      <c r="N943" s="1793">
        <v>0</v>
      </c>
      <c r="O943" s="1793">
        <v>0</v>
      </c>
    </row>
    <row r="944" spans="3:15">
      <c r="C944" s="1799" t="s">
        <v>5432</v>
      </c>
      <c r="D944" s="1796">
        <v>1</v>
      </c>
      <c r="E944" s="1796">
        <v>0</v>
      </c>
      <c r="F944" s="1797">
        <v>1</v>
      </c>
      <c r="G944" s="1999" t="s">
        <v>5432</v>
      </c>
      <c r="H944" s="1794">
        <v>1</v>
      </c>
      <c r="I944" s="1794">
        <v>1</v>
      </c>
      <c r="J944" s="2000">
        <v>2</v>
      </c>
      <c r="K944" s="1798"/>
      <c r="L944" s="1792">
        <v>13089020700</v>
      </c>
      <c r="M944" s="1793">
        <v>1</v>
      </c>
      <c r="N944" s="1793">
        <v>1</v>
      </c>
      <c r="O944" s="1793">
        <v>2</v>
      </c>
    </row>
    <row r="945" spans="3:15">
      <c r="C945" s="1799" t="s">
        <v>5433</v>
      </c>
      <c r="D945" s="1796">
        <v>1</v>
      </c>
      <c r="E945" s="1796">
        <v>1</v>
      </c>
      <c r="F945" s="1797">
        <v>2</v>
      </c>
      <c r="G945" s="1999" t="s">
        <v>5433</v>
      </c>
      <c r="H945" s="1794">
        <v>1</v>
      </c>
      <c r="I945" s="1794">
        <v>1</v>
      </c>
      <c r="J945" s="2000">
        <v>2</v>
      </c>
      <c r="K945" s="1798"/>
      <c r="L945" s="1792">
        <v>13089020801</v>
      </c>
      <c r="M945" s="1793">
        <v>1</v>
      </c>
      <c r="N945" s="1793">
        <v>1</v>
      </c>
      <c r="O945" s="1793">
        <v>2</v>
      </c>
    </row>
    <row r="946" spans="3:15">
      <c r="C946" s="1799" t="s">
        <v>5434</v>
      </c>
      <c r="D946" s="1796">
        <v>1</v>
      </c>
      <c r="E946" s="1796">
        <v>0</v>
      </c>
      <c r="F946" s="1797">
        <v>1</v>
      </c>
      <c r="G946" s="1999" t="s">
        <v>5434</v>
      </c>
      <c r="H946" s="1794">
        <v>1</v>
      </c>
      <c r="I946" s="1794">
        <v>0</v>
      </c>
      <c r="J946" s="2000">
        <v>1</v>
      </c>
      <c r="K946" s="1798"/>
      <c r="L946" s="1792">
        <v>13089020802</v>
      </c>
      <c r="M946" s="1793">
        <v>1</v>
      </c>
      <c r="N946" s="1793">
        <v>0</v>
      </c>
      <c r="O946" s="1793">
        <v>1</v>
      </c>
    </row>
    <row r="947" spans="3:15">
      <c r="C947" s="1799" t="s">
        <v>5435</v>
      </c>
      <c r="D947" s="1796">
        <v>1</v>
      </c>
      <c r="E947" s="1796">
        <v>0</v>
      </c>
      <c r="F947" s="1797">
        <v>1</v>
      </c>
      <c r="G947" s="1999" t="s">
        <v>5435</v>
      </c>
      <c r="H947" s="1794">
        <v>1</v>
      </c>
      <c r="I947" s="1794">
        <v>0</v>
      </c>
      <c r="J947" s="2000">
        <v>1</v>
      </c>
      <c r="K947" s="1798"/>
      <c r="L947" s="1792">
        <v>13089020900</v>
      </c>
      <c r="M947" s="1793">
        <v>1</v>
      </c>
      <c r="N947" s="1793">
        <v>0</v>
      </c>
      <c r="O947" s="1793">
        <v>1</v>
      </c>
    </row>
    <row r="948" spans="3:15">
      <c r="C948" s="1799" t="s">
        <v>5436</v>
      </c>
      <c r="D948" s="1796">
        <v>1</v>
      </c>
      <c r="E948" s="1796">
        <v>1</v>
      </c>
      <c r="F948" s="1797">
        <v>2</v>
      </c>
      <c r="G948" s="1999" t="s">
        <v>5436</v>
      </c>
      <c r="H948" s="1794">
        <v>1</v>
      </c>
      <c r="I948" s="1794">
        <v>1</v>
      </c>
      <c r="J948" s="2000">
        <v>2</v>
      </c>
      <c r="K948" s="1798"/>
      <c r="L948" s="1792">
        <v>13089021101</v>
      </c>
      <c r="M948" s="1793">
        <v>1</v>
      </c>
      <c r="N948" s="1793">
        <v>1</v>
      </c>
      <c r="O948" s="1793">
        <v>2</v>
      </c>
    </row>
    <row r="949" spans="3:15">
      <c r="C949" s="1799" t="s">
        <v>5437</v>
      </c>
      <c r="D949" s="1796">
        <v>1</v>
      </c>
      <c r="E949" s="1796">
        <v>1</v>
      </c>
      <c r="F949" s="1797">
        <v>2</v>
      </c>
      <c r="G949" s="1999" t="s">
        <v>5437</v>
      </c>
      <c r="H949" s="1794">
        <v>1</v>
      </c>
      <c r="I949" s="1794">
        <v>1</v>
      </c>
      <c r="J949" s="2000">
        <v>2</v>
      </c>
      <c r="K949" s="1798"/>
      <c r="L949" s="1792">
        <v>13089021102</v>
      </c>
      <c r="M949" s="1793">
        <v>1</v>
      </c>
      <c r="N949" s="1793">
        <v>1</v>
      </c>
      <c r="O949" s="1793">
        <v>2</v>
      </c>
    </row>
    <row r="950" spans="3:15">
      <c r="C950" s="1799" t="s">
        <v>5438</v>
      </c>
      <c r="D950" s="1796">
        <v>1</v>
      </c>
      <c r="E950" s="1796">
        <v>1</v>
      </c>
      <c r="F950" s="1797">
        <v>2</v>
      </c>
      <c r="G950" s="1999" t="s">
        <v>5438</v>
      </c>
      <c r="H950" s="1794">
        <v>1</v>
      </c>
      <c r="I950" s="1794">
        <v>1</v>
      </c>
      <c r="J950" s="2000">
        <v>2</v>
      </c>
      <c r="K950" s="1798"/>
      <c r="L950" s="1792">
        <v>13089021202</v>
      </c>
      <c r="M950" s="1793">
        <v>1</v>
      </c>
      <c r="N950" s="1793">
        <v>1</v>
      </c>
      <c r="O950" s="1793">
        <v>2</v>
      </c>
    </row>
    <row r="951" spans="3:15">
      <c r="C951" s="1799" t="s">
        <v>5439</v>
      </c>
      <c r="D951" s="1796">
        <v>0</v>
      </c>
      <c r="E951" s="1796">
        <v>0</v>
      </c>
      <c r="F951" s="1797">
        <v>0</v>
      </c>
      <c r="G951" s="1999" t="s">
        <v>5439</v>
      </c>
      <c r="H951" s="1794">
        <v>0</v>
      </c>
      <c r="I951" s="1794" t="s">
        <v>4483</v>
      </c>
      <c r="J951" s="2000">
        <v>0</v>
      </c>
      <c r="K951" s="1798"/>
      <c r="L951" s="1792">
        <v>13089021204</v>
      </c>
      <c r="M951" s="1793">
        <v>0</v>
      </c>
      <c r="N951" s="1793">
        <v>0</v>
      </c>
      <c r="O951" s="1793">
        <v>0</v>
      </c>
    </row>
    <row r="952" spans="3:15">
      <c r="C952" s="1799" t="s">
        <v>5440</v>
      </c>
      <c r="D952" s="1796">
        <v>1</v>
      </c>
      <c r="E952" s="1796">
        <v>1</v>
      </c>
      <c r="F952" s="1797">
        <v>2</v>
      </c>
      <c r="G952" s="1999" t="s">
        <v>5440</v>
      </c>
      <c r="H952" s="1794">
        <v>1</v>
      </c>
      <c r="I952" s="1794">
        <v>1</v>
      </c>
      <c r="J952" s="2000">
        <v>2</v>
      </c>
      <c r="K952" s="1798"/>
      <c r="L952" s="1792">
        <v>13089021208</v>
      </c>
      <c r="M952" s="1793">
        <v>1</v>
      </c>
      <c r="N952" s="1793">
        <v>1</v>
      </c>
      <c r="O952" s="1793">
        <v>2</v>
      </c>
    </row>
    <row r="953" spans="3:15">
      <c r="C953" s="1799" t="s">
        <v>5441</v>
      </c>
      <c r="D953" s="1796">
        <v>1</v>
      </c>
      <c r="E953" s="1796">
        <v>1</v>
      </c>
      <c r="F953" s="1797">
        <v>2</v>
      </c>
      <c r="G953" s="1999" t="s">
        <v>5441</v>
      </c>
      <c r="H953" s="1794">
        <v>1</v>
      </c>
      <c r="I953" s="1794">
        <v>1</v>
      </c>
      <c r="J953" s="2000">
        <v>2</v>
      </c>
      <c r="K953" s="1798"/>
      <c r="L953" s="1792">
        <v>13089021209</v>
      </c>
      <c r="M953" s="1793">
        <v>1</v>
      </c>
      <c r="N953" s="1793">
        <v>1</v>
      </c>
      <c r="O953" s="1793">
        <v>2</v>
      </c>
    </row>
    <row r="954" spans="3:15">
      <c r="C954" s="1799" t="s">
        <v>5442</v>
      </c>
      <c r="D954" s="1796">
        <v>1</v>
      </c>
      <c r="E954" s="1796">
        <v>1</v>
      </c>
      <c r="F954" s="1797">
        <v>2</v>
      </c>
      <c r="G954" s="1999" t="s">
        <v>5442</v>
      </c>
      <c r="H954" s="1794">
        <v>1</v>
      </c>
      <c r="I954" s="1794">
        <v>1</v>
      </c>
      <c r="J954" s="2000">
        <v>2</v>
      </c>
      <c r="K954" s="1798"/>
      <c r="L954" s="1792">
        <v>13089021210</v>
      </c>
      <c r="M954" s="1793">
        <v>1</v>
      </c>
      <c r="N954" s="1793">
        <v>1</v>
      </c>
      <c r="O954" s="1793">
        <v>2</v>
      </c>
    </row>
    <row r="955" spans="3:15">
      <c r="C955" s="1799" t="s">
        <v>5443</v>
      </c>
      <c r="D955" s="1796">
        <v>1</v>
      </c>
      <c r="E955" s="1796">
        <v>1</v>
      </c>
      <c r="F955" s="1797">
        <v>2</v>
      </c>
      <c r="G955" s="1999" t="s">
        <v>5443</v>
      </c>
      <c r="H955" s="1794">
        <v>1</v>
      </c>
      <c r="I955" s="1794">
        <v>1</v>
      </c>
      <c r="J955" s="2000">
        <v>2</v>
      </c>
      <c r="K955" s="1798"/>
      <c r="L955" s="1792">
        <v>13089021211</v>
      </c>
      <c r="M955" s="1793">
        <v>1</v>
      </c>
      <c r="N955" s="1793">
        <v>1</v>
      </c>
      <c r="O955" s="1793">
        <v>2</v>
      </c>
    </row>
    <row r="956" spans="3:15">
      <c r="C956" s="1799" t="s">
        <v>5444</v>
      </c>
      <c r="D956" s="1796">
        <v>1</v>
      </c>
      <c r="E956" s="1796">
        <v>1</v>
      </c>
      <c r="F956" s="1797">
        <v>2</v>
      </c>
      <c r="G956" s="1999" t="s">
        <v>5444</v>
      </c>
      <c r="H956" s="1794">
        <v>1</v>
      </c>
      <c r="I956" s="1794">
        <v>1</v>
      </c>
      <c r="J956" s="2000">
        <v>2</v>
      </c>
      <c r="K956" s="1798"/>
      <c r="L956" s="1792">
        <v>13089021213</v>
      </c>
      <c r="M956" s="1793">
        <v>1</v>
      </c>
      <c r="N956" s="1793">
        <v>1</v>
      </c>
      <c r="O956" s="1793">
        <v>2</v>
      </c>
    </row>
    <row r="957" spans="3:15">
      <c r="C957" s="1799" t="s">
        <v>5445</v>
      </c>
      <c r="D957" s="1796">
        <v>1</v>
      </c>
      <c r="E957" s="1796">
        <v>1</v>
      </c>
      <c r="F957" s="1797">
        <v>2</v>
      </c>
      <c r="G957" s="1999" t="s">
        <v>5445</v>
      </c>
      <c r="H957" s="1794">
        <v>1</v>
      </c>
      <c r="I957" s="1794" t="s">
        <v>4483</v>
      </c>
      <c r="J957" s="2000">
        <v>1</v>
      </c>
      <c r="K957" s="1798"/>
      <c r="L957" s="1792">
        <v>13089021214</v>
      </c>
      <c r="M957" s="1793">
        <v>1</v>
      </c>
      <c r="N957" s="1793">
        <v>1</v>
      </c>
      <c r="O957" s="1793">
        <v>2</v>
      </c>
    </row>
    <row r="958" spans="3:15">
      <c r="C958" s="1799" t="s">
        <v>5446</v>
      </c>
      <c r="D958" s="1796">
        <v>1</v>
      </c>
      <c r="E958" s="1796">
        <v>1</v>
      </c>
      <c r="F958" s="1797">
        <v>2</v>
      </c>
      <c r="G958" s="1999" t="s">
        <v>5446</v>
      </c>
      <c r="H958" s="1794">
        <v>1</v>
      </c>
      <c r="I958" s="1794">
        <v>1</v>
      </c>
      <c r="J958" s="2000">
        <v>2</v>
      </c>
      <c r="K958" s="1798"/>
      <c r="L958" s="1792">
        <v>13089021215</v>
      </c>
      <c r="M958" s="1793">
        <v>1</v>
      </c>
      <c r="N958" s="1793">
        <v>1</v>
      </c>
      <c r="O958" s="1793">
        <v>2</v>
      </c>
    </row>
    <row r="959" spans="3:15">
      <c r="C959" s="1799" t="s">
        <v>5447</v>
      </c>
      <c r="D959" s="1796">
        <v>1</v>
      </c>
      <c r="E959" s="1796">
        <v>1</v>
      </c>
      <c r="F959" s="1797">
        <v>2</v>
      </c>
      <c r="G959" s="1999" t="s">
        <v>5447</v>
      </c>
      <c r="H959" s="1794">
        <v>1</v>
      </c>
      <c r="I959" s="1794">
        <v>1</v>
      </c>
      <c r="J959" s="2000">
        <v>2</v>
      </c>
      <c r="K959" s="1798"/>
      <c r="L959" s="1792">
        <v>13089021216</v>
      </c>
      <c r="M959" s="1793">
        <v>1</v>
      </c>
      <c r="N959" s="1793">
        <v>1</v>
      </c>
      <c r="O959" s="1793">
        <v>2</v>
      </c>
    </row>
    <row r="960" spans="3:15">
      <c r="C960" s="1799" t="s">
        <v>5448</v>
      </c>
      <c r="D960" s="1796">
        <v>1</v>
      </c>
      <c r="E960" s="1796">
        <v>1</v>
      </c>
      <c r="F960" s="1797">
        <v>2</v>
      </c>
      <c r="G960" s="1999" t="s">
        <v>5448</v>
      </c>
      <c r="H960" s="1794">
        <v>1</v>
      </c>
      <c r="I960" s="1794">
        <v>1</v>
      </c>
      <c r="J960" s="2000">
        <v>2</v>
      </c>
      <c r="K960" s="1798"/>
      <c r="L960" s="1792">
        <v>13089021217</v>
      </c>
      <c r="M960" s="1793">
        <v>1</v>
      </c>
      <c r="N960" s="1793">
        <v>1</v>
      </c>
      <c r="O960" s="1793">
        <v>2</v>
      </c>
    </row>
    <row r="961" spans="3:15">
      <c r="C961" s="1799" t="s">
        <v>5449</v>
      </c>
      <c r="D961" s="1796">
        <v>1</v>
      </c>
      <c r="E961" s="1796">
        <v>1</v>
      </c>
      <c r="F961" s="1797">
        <v>2</v>
      </c>
      <c r="G961" s="1999" t="s">
        <v>5449</v>
      </c>
      <c r="H961" s="1794">
        <v>1</v>
      </c>
      <c r="I961" s="1794">
        <v>1</v>
      </c>
      <c r="J961" s="2000">
        <v>2</v>
      </c>
      <c r="K961" s="1798"/>
      <c r="L961" s="1792">
        <v>13089021218</v>
      </c>
      <c r="M961" s="1793">
        <v>1</v>
      </c>
      <c r="N961" s="1793">
        <v>1</v>
      </c>
      <c r="O961" s="1793">
        <v>2</v>
      </c>
    </row>
    <row r="962" spans="3:15">
      <c r="C962" s="1799" t="s">
        <v>5450</v>
      </c>
      <c r="D962" s="1796">
        <v>0</v>
      </c>
      <c r="E962" s="1796">
        <v>0</v>
      </c>
      <c r="F962" s="1797">
        <v>0</v>
      </c>
      <c r="G962" s="1999" t="s">
        <v>5450</v>
      </c>
      <c r="H962" s="1794">
        <v>1</v>
      </c>
      <c r="I962" s="1794">
        <v>0</v>
      </c>
      <c r="J962" s="2000">
        <v>1</v>
      </c>
      <c r="K962" s="1798"/>
      <c r="L962" s="1792">
        <v>13089021301</v>
      </c>
      <c r="M962" s="1793">
        <v>1</v>
      </c>
      <c r="N962" s="1793">
        <v>0</v>
      </c>
      <c r="O962" s="1793">
        <v>1</v>
      </c>
    </row>
    <row r="963" spans="3:15">
      <c r="C963" s="1799" t="s">
        <v>5451</v>
      </c>
      <c r="D963" s="1796">
        <v>0</v>
      </c>
      <c r="E963" s="1796">
        <v>0</v>
      </c>
      <c r="F963" s="1797">
        <v>0</v>
      </c>
      <c r="G963" s="1999" t="s">
        <v>5451</v>
      </c>
      <c r="H963" s="1794">
        <v>0</v>
      </c>
      <c r="I963" s="1794">
        <v>0</v>
      </c>
      <c r="J963" s="2000">
        <v>0</v>
      </c>
      <c r="K963" s="1798"/>
      <c r="L963" s="1792">
        <v>13089021303</v>
      </c>
      <c r="M963" s="1793">
        <v>0</v>
      </c>
      <c r="N963" s="1793">
        <v>0</v>
      </c>
      <c r="O963" s="1793">
        <v>0</v>
      </c>
    </row>
    <row r="964" spans="3:15">
      <c r="C964" s="1799" t="s">
        <v>5452</v>
      </c>
      <c r="D964" s="1796">
        <v>0</v>
      </c>
      <c r="E964" s="1796">
        <v>0</v>
      </c>
      <c r="F964" s="1797">
        <v>0</v>
      </c>
      <c r="G964" s="1999" t="s">
        <v>5452</v>
      </c>
      <c r="H964" s="1794">
        <v>1</v>
      </c>
      <c r="I964" s="1794">
        <v>0</v>
      </c>
      <c r="J964" s="2000">
        <v>1</v>
      </c>
      <c r="K964" s="1798"/>
      <c r="L964" s="1792">
        <v>13089021305</v>
      </c>
      <c r="M964" s="1793">
        <v>1</v>
      </c>
      <c r="N964" s="1793">
        <v>0</v>
      </c>
      <c r="O964" s="1793">
        <v>1</v>
      </c>
    </row>
    <row r="965" spans="3:15">
      <c r="C965" s="1799" t="s">
        <v>5453</v>
      </c>
      <c r="D965" s="1796">
        <v>1</v>
      </c>
      <c r="E965" s="1796">
        <v>0</v>
      </c>
      <c r="F965" s="1797">
        <v>1</v>
      </c>
      <c r="G965" s="1999" t="s">
        <v>5453</v>
      </c>
      <c r="H965" s="1794">
        <v>1</v>
      </c>
      <c r="I965" s="1794">
        <v>0</v>
      </c>
      <c r="J965" s="2000">
        <v>1</v>
      </c>
      <c r="K965" s="1798"/>
      <c r="L965" s="1792">
        <v>13089021306</v>
      </c>
      <c r="M965" s="1793">
        <v>1</v>
      </c>
      <c r="N965" s="1793">
        <v>0</v>
      </c>
      <c r="O965" s="1793">
        <v>1</v>
      </c>
    </row>
    <row r="966" spans="3:15">
      <c r="C966" s="1799" t="s">
        <v>5454</v>
      </c>
      <c r="D966" s="1796">
        <v>0</v>
      </c>
      <c r="E966" s="1796">
        <v>0</v>
      </c>
      <c r="F966" s="1797">
        <v>0</v>
      </c>
      <c r="G966" s="1999" t="s">
        <v>5454</v>
      </c>
      <c r="H966" s="1794">
        <v>1</v>
      </c>
      <c r="I966" s="1794">
        <v>0</v>
      </c>
      <c r="J966" s="2000">
        <v>1</v>
      </c>
      <c r="K966" s="1798"/>
      <c r="L966" s="1792">
        <v>13089021307</v>
      </c>
      <c r="M966" s="1793">
        <v>1</v>
      </c>
      <c r="N966" s="1793">
        <v>0</v>
      </c>
      <c r="O966" s="1793">
        <v>1</v>
      </c>
    </row>
    <row r="967" spans="3:15">
      <c r="C967" s="1799" t="s">
        <v>5455</v>
      </c>
      <c r="D967" s="1796">
        <v>1</v>
      </c>
      <c r="E967" s="1796">
        <v>0</v>
      </c>
      <c r="F967" s="1797">
        <v>1</v>
      </c>
      <c r="G967" s="1999" t="s">
        <v>5455</v>
      </c>
      <c r="H967" s="1794">
        <v>1</v>
      </c>
      <c r="I967" s="1794">
        <v>0</v>
      </c>
      <c r="J967" s="2000">
        <v>1</v>
      </c>
      <c r="K967" s="1798"/>
      <c r="L967" s="1792">
        <v>13089021308</v>
      </c>
      <c r="M967" s="1793">
        <v>1</v>
      </c>
      <c r="N967" s="1793">
        <v>0</v>
      </c>
      <c r="O967" s="1793">
        <v>1</v>
      </c>
    </row>
    <row r="968" spans="3:15">
      <c r="C968" s="1799" t="s">
        <v>5456</v>
      </c>
      <c r="D968" s="1796">
        <v>1</v>
      </c>
      <c r="E968" s="1796">
        <v>1</v>
      </c>
      <c r="F968" s="1797">
        <v>2</v>
      </c>
      <c r="G968" s="1999" t="s">
        <v>5456</v>
      </c>
      <c r="H968" s="1794">
        <v>1</v>
      </c>
      <c r="I968" s="1794">
        <v>1</v>
      </c>
      <c r="J968" s="2000">
        <v>2</v>
      </c>
      <c r="K968" s="1798"/>
      <c r="L968" s="1792">
        <v>13089021405</v>
      </c>
      <c r="M968" s="1793">
        <v>1</v>
      </c>
      <c r="N968" s="1793">
        <v>1</v>
      </c>
      <c r="O968" s="1793">
        <v>2</v>
      </c>
    </row>
    <row r="969" spans="3:15">
      <c r="C969" s="1799" t="s">
        <v>5457</v>
      </c>
      <c r="D969" s="1796">
        <v>0</v>
      </c>
      <c r="E969" s="1796">
        <v>0</v>
      </c>
      <c r="F969" s="1797">
        <v>0</v>
      </c>
      <c r="G969" s="1999" t="s">
        <v>5457</v>
      </c>
      <c r="H969" s="1794">
        <v>1</v>
      </c>
      <c r="I969" s="1794" t="s">
        <v>4483</v>
      </c>
      <c r="J969" s="2000">
        <v>1</v>
      </c>
      <c r="K969" s="1798"/>
      <c r="L969" s="1792">
        <v>13089021409</v>
      </c>
      <c r="M969" s="1793">
        <v>1</v>
      </c>
      <c r="N969" s="1793">
        <v>0</v>
      </c>
      <c r="O969" s="1793">
        <v>1</v>
      </c>
    </row>
    <row r="970" spans="3:15">
      <c r="C970" s="1799" t="s">
        <v>5458</v>
      </c>
      <c r="D970" s="1796">
        <v>1</v>
      </c>
      <c r="E970" s="1796">
        <v>0</v>
      </c>
      <c r="F970" s="1797">
        <v>1</v>
      </c>
      <c r="G970" s="1999" t="s">
        <v>5458</v>
      </c>
      <c r="H970" s="1794">
        <v>1</v>
      </c>
      <c r="I970" s="1794" t="s">
        <v>4483</v>
      </c>
      <c r="J970" s="2000">
        <v>1</v>
      </c>
      <c r="K970" s="1798"/>
      <c r="L970" s="1792">
        <v>13089021410</v>
      </c>
      <c r="M970" s="1793">
        <v>1</v>
      </c>
      <c r="N970" s="1793">
        <v>0</v>
      </c>
      <c r="O970" s="1793">
        <v>1</v>
      </c>
    </row>
    <row r="971" spans="3:15">
      <c r="C971" s="1799" t="s">
        <v>5459</v>
      </c>
      <c r="D971" s="1796">
        <v>1</v>
      </c>
      <c r="E971" s="1796">
        <v>1</v>
      </c>
      <c r="F971" s="1797">
        <v>2</v>
      </c>
      <c r="G971" s="1999" t="s">
        <v>5459</v>
      </c>
      <c r="H971" s="1794">
        <v>1</v>
      </c>
      <c r="I971" s="1794">
        <v>1</v>
      </c>
      <c r="J971" s="2000">
        <v>2</v>
      </c>
      <c r="K971" s="1798"/>
      <c r="L971" s="1792">
        <v>13089021411</v>
      </c>
      <c r="M971" s="1793">
        <v>1</v>
      </c>
      <c r="N971" s="1793">
        <v>1</v>
      </c>
      <c r="O971" s="1793">
        <v>2</v>
      </c>
    </row>
    <row r="972" spans="3:15">
      <c r="C972" s="1799" t="s">
        <v>5460</v>
      </c>
      <c r="D972" s="1796">
        <v>1</v>
      </c>
      <c r="E972" s="1796">
        <v>1</v>
      </c>
      <c r="F972" s="1797">
        <v>2</v>
      </c>
      <c r="G972" s="1999" t="s">
        <v>5460</v>
      </c>
      <c r="H972" s="1794">
        <v>1</v>
      </c>
      <c r="I972" s="1794">
        <v>1</v>
      </c>
      <c r="J972" s="2000">
        <v>2</v>
      </c>
      <c r="K972" s="1798"/>
      <c r="L972" s="1792">
        <v>13089021412</v>
      </c>
      <c r="M972" s="1793">
        <v>1</v>
      </c>
      <c r="N972" s="1793">
        <v>1</v>
      </c>
      <c r="O972" s="1793">
        <v>2</v>
      </c>
    </row>
    <row r="973" spans="3:15">
      <c r="C973" s="1799" t="s">
        <v>5461</v>
      </c>
      <c r="D973" s="1796">
        <v>0</v>
      </c>
      <c r="E973" s="1796">
        <v>0</v>
      </c>
      <c r="F973" s="1797">
        <v>0</v>
      </c>
      <c r="G973" s="1999" t="s">
        <v>5461</v>
      </c>
      <c r="H973" s="1794">
        <v>1</v>
      </c>
      <c r="I973" s="1794">
        <v>0</v>
      </c>
      <c r="J973" s="2000">
        <v>1</v>
      </c>
      <c r="K973" s="1798"/>
      <c r="L973" s="1792">
        <v>13089021413</v>
      </c>
      <c r="M973" s="1793">
        <v>1</v>
      </c>
      <c r="N973" s="1793">
        <v>0</v>
      </c>
      <c r="O973" s="1793">
        <v>1</v>
      </c>
    </row>
    <row r="974" spans="3:15">
      <c r="C974" s="1799" t="s">
        <v>5462</v>
      </c>
      <c r="D974" s="1796">
        <v>1</v>
      </c>
      <c r="E974" s="1796">
        <v>0</v>
      </c>
      <c r="F974" s="1797">
        <v>1</v>
      </c>
      <c r="G974" s="1999" t="s">
        <v>5462</v>
      </c>
      <c r="H974" s="1794">
        <v>0</v>
      </c>
      <c r="I974" s="1794">
        <v>0</v>
      </c>
      <c r="J974" s="2000">
        <v>0</v>
      </c>
      <c r="K974" s="1798"/>
      <c r="L974" s="1792">
        <v>13089021414</v>
      </c>
      <c r="M974" s="1793">
        <v>1</v>
      </c>
      <c r="N974" s="1793">
        <v>0</v>
      </c>
      <c r="O974" s="1793">
        <v>1</v>
      </c>
    </row>
    <row r="975" spans="3:15">
      <c r="C975" s="1799" t="s">
        <v>5463</v>
      </c>
      <c r="D975" s="1796">
        <v>1</v>
      </c>
      <c r="E975" s="1796">
        <v>1</v>
      </c>
      <c r="F975" s="1797">
        <v>2</v>
      </c>
      <c r="G975" s="1999" t="s">
        <v>5463</v>
      </c>
      <c r="H975" s="1794">
        <v>1</v>
      </c>
      <c r="I975" s="1794" t="s">
        <v>4483</v>
      </c>
      <c r="J975" s="2000">
        <v>1</v>
      </c>
      <c r="K975" s="1798"/>
      <c r="L975" s="1792">
        <v>13089021415</v>
      </c>
      <c r="M975" s="1793">
        <v>1</v>
      </c>
      <c r="N975" s="1793">
        <v>1</v>
      </c>
      <c r="O975" s="1793">
        <v>2</v>
      </c>
    </row>
    <row r="976" spans="3:15">
      <c r="C976" s="1799" t="s">
        <v>5464</v>
      </c>
      <c r="D976" s="1796">
        <v>1</v>
      </c>
      <c r="E976" s="1796">
        <v>0</v>
      </c>
      <c r="F976" s="1797">
        <v>1</v>
      </c>
      <c r="G976" s="1999" t="s">
        <v>5464</v>
      </c>
      <c r="H976" s="1794">
        <v>1</v>
      </c>
      <c r="I976" s="1794">
        <v>0</v>
      </c>
      <c r="J976" s="2000">
        <v>1</v>
      </c>
      <c r="K976" s="1798"/>
      <c r="L976" s="1792">
        <v>13089021416</v>
      </c>
      <c r="M976" s="1793">
        <v>1</v>
      </c>
      <c r="N976" s="1793">
        <v>0</v>
      </c>
      <c r="O976" s="1793">
        <v>1</v>
      </c>
    </row>
    <row r="977" spans="3:15">
      <c r="C977" s="1799" t="s">
        <v>5465</v>
      </c>
      <c r="D977" s="1796">
        <v>0</v>
      </c>
      <c r="E977" s="1796">
        <v>0</v>
      </c>
      <c r="F977" s="1797">
        <v>0</v>
      </c>
      <c r="G977" s="1999" t="s">
        <v>5465</v>
      </c>
      <c r="H977" s="1794">
        <v>1</v>
      </c>
      <c r="I977" s="1794" t="s">
        <v>4483</v>
      </c>
      <c r="J977" s="2000">
        <v>1</v>
      </c>
      <c r="K977" s="1798"/>
      <c r="L977" s="1792">
        <v>13089021417</v>
      </c>
      <c r="M977" s="1793">
        <v>1</v>
      </c>
      <c r="N977" s="1793">
        <v>0</v>
      </c>
      <c r="O977" s="1793">
        <v>1</v>
      </c>
    </row>
    <row r="978" spans="3:15">
      <c r="C978" s="1799" t="s">
        <v>5466</v>
      </c>
      <c r="D978" s="1796">
        <v>1</v>
      </c>
      <c r="E978" s="1796">
        <v>1</v>
      </c>
      <c r="F978" s="1797">
        <v>2</v>
      </c>
      <c r="G978" s="1999" t="s">
        <v>5466</v>
      </c>
      <c r="H978" s="1794">
        <v>1</v>
      </c>
      <c r="I978" s="1794">
        <v>1</v>
      </c>
      <c r="J978" s="2000">
        <v>2</v>
      </c>
      <c r="K978" s="1798"/>
      <c r="L978" s="1792">
        <v>13089021502</v>
      </c>
      <c r="M978" s="1793">
        <v>1</v>
      </c>
      <c r="N978" s="1793">
        <v>1</v>
      </c>
      <c r="O978" s="1793">
        <v>2</v>
      </c>
    </row>
    <row r="979" spans="3:15">
      <c r="C979" s="1799" t="s">
        <v>5467</v>
      </c>
      <c r="D979" s="1796">
        <v>1</v>
      </c>
      <c r="E979" s="1796">
        <v>0</v>
      </c>
      <c r="F979" s="1797">
        <v>1</v>
      </c>
      <c r="G979" s="1999" t="s">
        <v>5467</v>
      </c>
      <c r="H979" s="1794">
        <v>1</v>
      </c>
      <c r="I979" s="1794">
        <v>1</v>
      </c>
      <c r="J979" s="2000">
        <v>2</v>
      </c>
      <c r="K979" s="1798"/>
      <c r="L979" s="1792">
        <v>13089021503</v>
      </c>
      <c r="M979" s="1793">
        <v>1</v>
      </c>
      <c r="N979" s="1793">
        <v>1</v>
      </c>
      <c r="O979" s="1793">
        <v>2</v>
      </c>
    </row>
    <row r="980" spans="3:15">
      <c r="C980" s="1799" t="s">
        <v>5468</v>
      </c>
      <c r="D980" s="1796">
        <v>1</v>
      </c>
      <c r="E980" s="1796">
        <v>1</v>
      </c>
      <c r="F980" s="1797">
        <v>2</v>
      </c>
      <c r="G980" s="1999" t="s">
        <v>5468</v>
      </c>
      <c r="H980" s="1794">
        <v>1</v>
      </c>
      <c r="I980" s="1794" t="s">
        <v>4483</v>
      </c>
      <c r="J980" s="2000">
        <v>1</v>
      </c>
      <c r="K980" s="1798"/>
      <c r="L980" s="1792">
        <v>13089021504</v>
      </c>
      <c r="M980" s="1793">
        <v>1</v>
      </c>
      <c r="N980" s="1793">
        <v>1</v>
      </c>
      <c r="O980" s="1793">
        <v>2</v>
      </c>
    </row>
    <row r="981" spans="3:15">
      <c r="C981" s="1799" t="s">
        <v>5469</v>
      </c>
      <c r="D981" s="1796">
        <v>1</v>
      </c>
      <c r="E981" s="1796">
        <v>1</v>
      </c>
      <c r="F981" s="1797">
        <v>2</v>
      </c>
      <c r="G981" s="1999" t="s">
        <v>5469</v>
      </c>
      <c r="H981" s="1794">
        <v>1</v>
      </c>
      <c r="I981" s="1794">
        <v>1</v>
      </c>
      <c r="J981" s="2000">
        <v>2</v>
      </c>
      <c r="K981" s="1798"/>
      <c r="L981" s="1792">
        <v>13089021602</v>
      </c>
      <c r="M981" s="1793">
        <v>1</v>
      </c>
      <c r="N981" s="1793">
        <v>1</v>
      </c>
      <c r="O981" s="1793">
        <v>2</v>
      </c>
    </row>
    <row r="982" spans="3:15">
      <c r="C982" s="1799" t="s">
        <v>5470</v>
      </c>
      <c r="D982" s="1796">
        <v>1</v>
      </c>
      <c r="E982" s="1796">
        <v>1</v>
      </c>
      <c r="F982" s="1797">
        <v>2</v>
      </c>
      <c r="G982" s="1999" t="s">
        <v>5470</v>
      </c>
      <c r="H982" s="1794">
        <v>1</v>
      </c>
      <c r="I982" s="1794">
        <v>1</v>
      </c>
      <c r="J982" s="2000">
        <v>2</v>
      </c>
      <c r="K982" s="1798"/>
      <c r="L982" s="1792">
        <v>13089021603</v>
      </c>
      <c r="M982" s="1793">
        <v>1</v>
      </c>
      <c r="N982" s="1793">
        <v>1</v>
      </c>
      <c r="O982" s="1793">
        <v>2</v>
      </c>
    </row>
    <row r="983" spans="3:15">
      <c r="C983" s="1799" t="s">
        <v>5471</v>
      </c>
      <c r="D983" s="1796">
        <v>1</v>
      </c>
      <c r="E983" s="1796">
        <v>1</v>
      </c>
      <c r="F983" s="1797">
        <v>2</v>
      </c>
      <c r="G983" s="1999" t="s">
        <v>5471</v>
      </c>
      <c r="H983" s="1794">
        <v>1</v>
      </c>
      <c r="I983" s="1794">
        <v>1</v>
      </c>
      <c r="J983" s="2000">
        <v>2</v>
      </c>
      <c r="K983" s="1798"/>
      <c r="L983" s="1792">
        <v>13089021604</v>
      </c>
      <c r="M983" s="1793">
        <v>1</v>
      </c>
      <c r="N983" s="1793">
        <v>1</v>
      </c>
      <c r="O983" s="1793">
        <v>2</v>
      </c>
    </row>
    <row r="984" spans="3:15">
      <c r="C984" s="1799" t="s">
        <v>5472</v>
      </c>
      <c r="D984" s="1796">
        <v>1</v>
      </c>
      <c r="E984" s="1796">
        <v>1</v>
      </c>
      <c r="F984" s="1797">
        <v>2</v>
      </c>
      <c r="G984" s="1999" t="s">
        <v>5472</v>
      </c>
      <c r="H984" s="1794">
        <v>1</v>
      </c>
      <c r="I984" s="1794">
        <v>1</v>
      </c>
      <c r="J984" s="2000">
        <v>2</v>
      </c>
      <c r="K984" s="1798"/>
      <c r="L984" s="1792">
        <v>13089021605</v>
      </c>
      <c r="M984" s="1793">
        <v>1</v>
      </c>
      <c r="N984" s="1793">
        <v>1</v>
      </c>
      <c r="O984" s="1793">
        <v>2</v>
      </c>
    </row>
    <row r="985" spans="3:15">
      <c r="C985" s="1799" t="s">
        <v>5473</v>
      </c>
      <c r="D985" s="1796">
        <v>1</v>
      </c>
      <c r="E985" s="1796">
        <v>1</v>
      </c>
      <c r="F985" s="1797">
        <v>2</v>
      </c>
      <c r="G985" s="1999" t="s">
        <v>5473</v>
      </c>
      <c r="H985" s="1794">
        <v>1</v>
      </c>
      <c r="I985" s="1794">
        <v>1</v>
      </c>
      <c r="J985" s="2000">
        <v>2</v>
      </c>
      <c r="K985" s="1798"/>
      <c r="L985" s="1792">
        <v>13089021703</v>
      </c>
      <c r="M985" s="1793">
        <v>1</v>
      </c>
      <c r="N985" s="1793">
        <v>1</v>
      </c>
      <c r="O985" s="1793">
        <v>2</v>
      </c>
    </row>
    <row r="986" spans="3:15">
      <c r="C986" s="1799" t="s">
        <v>5474</v>
      </c>
      <c r="D986" s="1796">
        <v>1</v>
      </c>
      <c r="E986" s="1796">
        <v>1</v>
      </c>
      <c r="F986" s="1797">
        <v>2</v>
      </c>
      <c r="G986" s="1999" t="s">
        <v>5474</v>
      </c>
      <c r="H986" s="1794">
        <v>1</v>
      </c>
      <c r="I986" s="1794">
        <v>1</v>
      </c>
      <c r="J986" s="2000">
        <v>2</v>
      </c>
      <c r="K986" s="1798"/>
      <c r="L986" s="1792">
        <v>13089021704</v>
      </c>
      <c r="M986" s="1793">
        <v>1</v>
      </c>
      <c r="N986" s="1793">
        <v>1</v>
      </c>
      <c r="O986" s="1793">
        <v>2</v>
      </c>
    </row>
    <row r="987" spans="3:15">
      <c r="C987" s="1799" t="s">
        <v>5475</v>
      </c>
      <c r="D987" s="1796">
        <v>1</v>
      </c>
      <c r="E987" s="1796">
        <v>0</v>
      </c>
      <c r="F987" s="1797">
        <v>1</v>
      </c>
      <c r="G987" s="1999" t="s">
        <v>5475</v>
      </c>
      <c r="H987" s="1794">
        <v>1</v>
      </c>
      <c r="I987" s="1794">
        <v>1</v>
      </c>
      <c r="J987" s="2000">
        <v>2</v>
      </c>
      <c r="K987" s="1798"/>
      <c r="L987" s="1792">
        <v>13089021705</v>
      </c>
      <c r="M987" s="1793">
        <v>1</v>
      </c>
      <c r="N987" s="1793">
        <v>1</v>
      </c>
      <c r="O987" s="1793">
        <v>2</v>
      </c>
    </row>
    <row r="988" spans="3:15">
      <c r="C988" s="1799" t="s">
        <v>5476</v>
      </c>
      <c r="D988" s="1796">
        <v>1</v>
      </c>
      <c r="E988" s="1796">
        <v>1</v>
      </c>
      <c r="F988" s="1797">
        <v>2</v>
      </c>
      <c r="G988" s="1999" t="s">
        <v>5476</v>
      </c>
      <c r="H988" s="1794">
        <v>1</v>
      </c>
      <c r="I988" s="1794">
        <v>1</v>
      </c>
      <c r="J988" s="2000">
        <v>2</v>
      </c>
      <c r="K988" s="1798"/>
      <c r="L988" s="1792">
        <v>13089021706</v>
      </c>
      <c r="M988" s="1793">
        <v>1</v>
      </c>
      <c r="N988" s="1793">
        <v>1</v>
      </c>
      <c r="O988" s="1793">
        <v>2</v>
      </c>
    </row>
    <row r="989" spans="3:15">
      <c r="C989" s="1799" t="s">
        <v>5477</v>
      </c>
      <c r="D989" s="1796">
        <v>1</v>
      </c>
      <c r="E989" s="1796">
        <v>0</v>
      </c>
      <c r="F989" s="1797">
        <v>1</v>
      </c>
      <c r="G989" s="1999" t="s">
        <v>5477</v>
      </c>
      <c r="H989" s="1794">
        <v>1</v>
      </c>
      <c r="I989" s="1794">
        <v>0</v>
      </c>
      <c r="J989" s="2000">
        <v>1</v>
      </c>
      <c r="K989" s="1798"/>
      <c r="L989" s="1792">
        <v>13089021805</v>
      </c>
      <c r="M989" s="1793">
        <v>1</v>
      </c>
      <c r="N989" s="1793">
        <v>0</v>
      </c>
      <c r="O989" s="1793">
        <v>1</v>
      </c>
    </row>
    <row r="990" spans="3:15">
      <c r="C990" s="1799" t="s">
        <v>5478</v>
      </c>
      <c r="D990" s="1796">
        <v>1</v>
      </c>
      <c r="E990" s="1796">
        <v>0</v>
      </c>
      <c r="F990" s="1797">
        <v>1</v>
      </c>
      <c r="G990" s="1999" t="s">
        <v>5478</v>
      </c>
      <c r="H990" s="1794">
        <v>1</v>
      </c>
      <c r="I990" s="1794">
        <v>0</v>
      </c>
      <c r="J990" s="2000">
        <v>1</v>
      </c>
      <c r="K990" s="1798"/>
      <c r="L990" s="1792">
        <v>13089021806</v>
      </c>
      <c r="M990" s="1793">
        <v>1</v>
      </c>
      <c r="N990" s="1793">
        <v>0</v>
      </c>
      <c r="O990" s="1793">
        <v>1</v>
      </c>
    </row>
    <row r="991" spans="3:15">
      <c r="C991" s="1799" t="s">
        <v>5479</v>
      </c>
      <c r="D991" s="1796">
        <v>1</v>
      </c>
      <c r="E991" s="1796">
        <v>1</v>
      </c>
      <c r="F991" s="1797">
        <v>2</v>
      </c>
      <c r="G991" s="1999" t="s">
        <v>5479</v>
      </c>
      <c r="H991" s="1794">
        <v>1</v>
      </c>
      <c r="I991" s="1794">
        <v>1</v>
      </c>
      <c r="J991" s="2000">
        <v>2</v>
      </c>
      <c r="K991" s="1798"/>
      <c r="L991" s="1792">
        <v>13089021808</v>
      </c>
      <c r="M991" s="1793">
        <v>1</v>
      </c>
      <c r="N991" s="1793">
        <v>1</v>
      </c>
      <c r="O991" s="1793">
        <v>2</v>
      </c>
    </row>
    <row r="992" spans="3:15">
      <c r="C992" s="1799" t="s">
        <v>5480</v>
      </c>
      <c r="D992" s="1796">
        <v>1</v>
      </c>
      <c r="E992" s="1796">
        <v>1</v>
      </c>
      <c r="F992" s="1797">
        <v>2</v>
      </c>
      <c r="G992" s="1999" t="s">
        <v>5480</v>
      </c>
      <c r="H992" s="1794">
        <v>1</v>
      </c>
      <c r="I992" s="1794">
        <v>1</v>
      </c>
      <c r="J992" s="2000">
        <v>2</v>
      </c>
      <c r="K992" s="1798"/>
      <c r="L992" s="1792">
        <v>13089021809</v>
      </c>
      <c r="M992" s="1793">
        <v>1</v>
      </c>
      <c r="N992" s="1793">
        <v>1</v>
      </c>
      <c r="O992" s="1793">
        <v>2</v>
      </c>
    </row>
    <row r="993" spans="3:15">
      <c r="C993" s="1799" t="s">
        <v>5481</v>
      </c>
      <c r="D993" s="1796">
        <v>1</v>
      </c>
      <c r="E993" s="1796">
        <v>1</v>
      </c>
      <c r="F993" s="1797">
        <v>2</v>
      </c>
      <c r="G993" s="1999" t="s">
        <v>5481</v>
      </c>
      <c r="H993" s="1794">
        <v>1</v>
      </c>
      <c r="I993" s="1794">
        <v>1</v>
      </c>
      <c r="J993" s="2000">
        <v>2</v>
      </c>
      <c r="K993" s="1798"/>
      <c r="L993" s="1792">
        <v>13089021810</v>
      </c>
      <c r="M993" s="1793">
        <v>1</v>
      </c>
      <c r="N993" s="1793">
        <v>1</v>
      </c>
      <c r="O993" s="1793">
        <v>2</v>
      </c>
    </row>
    <row r="994" spans="3:15">
      <c r="C994" s="1799" t="s">
        <v>5482</v>
      </c>
      <c r="D994" s="1796">
        <v>1</v>
      </c>
      <c r="E994" s="1796">
        <v>0</v>
      </c>
      <c r="F994" s="1797">
        <v>1</v>
      </c>
      <c r="G994" s="1999" t="s">
        <v>5482</v>
      </c>
      <c r="H994" s="1794">
        <v>1</v>
      </c>
      <c r="I994" s="1794">
        <v>1</v>
      </c>
      <c r="J994" s="2000">
        <v>2</v>
      </c>
      <c r="K994" s="1798"/>
      <c r="L994" s="1792">
        <v>13089021812</v>
      </c>
      <c r="M994" s="1793">
        <v>1</v>
      </c>
      <c r="N994" s="1793">
        <v>1</v>
      </c>
      <c r="O994" s="1793">
        <v>2</v>
      </c>
    </row>
    <row r="995" spans="3:15">
      <c r="C995" s="1799" t="s">
        <v>5483</v>
      </c>
      <c r="D995" s="1796">
        <v>0</v>
      </c>
      <c r="E995" s="1796">
        <v>0</v>
      </c>
      <c r="F995" s="1797">
        <v>0</v>
      </c>
      <c r="G995" s="1999" t="s">
        <v>5483</v>
      </c>
      <c r="H995" s="1794">
        <v>0</v>
      </c>
      <c r="I995" s="1794" t="s">
        <v>4483</v>
      </c>
      <c r="J995" s="2000">
        <v>0</v>
      </c>
      <c r="K995" s="1798"/>
      <c r="L995" s="1792">
        <v>13089021813</v>
      </c>
      <c r="M995" s="1793">
        <v>0</v>
      </c>
      <c r="N995" s="1793">
        <v>0</v>
      </c>
      <c r="O995" s="1793">
        <v>0</v>
      </c>
    </row>
    <row r="996" spans="3:15">
      <c r="C996" s="1799" t="s">
        <v>5484</v>
      </c>
      <c r="D996" s="1796">
        <v>0</v>
      </c>
      <c r="E996" s="1796">
        <v>0</v>
      </c>
      <c r="F996" s="1797">
        <v>0</v>
      </c>
      <c r="G996" s="1999" t="s">
        <v>5484</v>
      </c>
      <c r="H996" s="1794">
        <v>0</v>
      </c>
      <c r="I996" s="1794">
        <v>0</v>
      </c>
      <c r="J996" s="2000">
        <v>0</v>
      </c>
      <c r="K996" s="1798"/>
      <c r="L996" s="1792">
        <v>13089021814</v>
      </c>
      <c r="M996" s="1793">
        <v>0</v>
      </c>
      <c r="N996" s="1793">
        <v>0</v>
      </c>
      <c r="O996" s="1793">
        <v>0</v>
      </c>
    </row>
    <row r="997" spans="3:15">
      <c r="C997" s="1799" t="s">
        <v>5485</v>
      </c>
      <c r="D997" s="1796">
        <v>0</v>
      </c>
      <c r="E997" s="1796">
        <v>0</v>
      </c>
      <c r="F997" s="1797">
        <v>0</v>
      </c>
      <c r="G997" s="1999" t="s">
        <v>5485</v>
      </c>
      <c r="H997" s="1794">
        <v>0</v>
      </c>
      <c r="I997" s="1794">
        <v>0</v>
      </c>
      <c r="J997" s="2000">
        <v>0</v>
      </c>
      <c r="K997" s="1798"/>
      <c r="L997" s="1792">
        <v>13089021906</v>
      </c>
      <c r="M997" s="1793">
        <v>0</v>
      </c>
      <c r="N997" s="1793">
        <v>0</v>
      </c>
      <c r="O997" s="1793">
        <v>0</v>
      </c>
    </row>
    <row r="998" spans="3:15">
      <c r="C998" s="1799" t="s">
        <v>5486</v>
      </c>
      <c r="D998" s="1796">
        <v>0</v>
      </c>
      <c r="E998" s="1796">
        <v>0</v>
      </c>
      <c r="F998" s="1797">
        <v>0</v>
      </c>
      <c r="G998" s="1999" t="s">
        <v>5486</v>
      </c>
      <c r="H998" s="1794">
        <v>0</v>
      </c>
      <c r="I998" s="1794">
        <v>1</v>
      </c>
      <c r="J998" s="2000">
        <v>1</v>
      </c>
      <c r="K998" s="1798"/>
      <c r="L998" s="1792">
        <v>13089021907</v>
      </c>
      <c r="M998" s="1793">
        <v>0</v>
      </c>
      <c r="N998" s="1793">
        <v>1</v>
      </c>
      <c r="O998" s="1793">
        <v>1</v>
      </c>
    </row>
    <row r="999" spans="3:15">
      <c r="C999" s="1799" t="s">
        <v>5487</v>
      </c>
      <c r="D999" s="1796">
        <v>0</v>
      </c>
      <c r="E999" s="1796">
        <v>0</v>
      </c>
      <c r="F999" s="1797">
        <v>0</v>
      </c>
      <c r="G999" s="1999" t="s">
        <v>5487</v>
      </c>
      <c r="H999" s="1794">
        <v>0</v>
      </c>
      <c r="I999" s="1794">
        <v>0</v>
      </c>
      <c r="J999" s="2000">
        <v>0</v>
      </c>
      <c r="K999" s="1798"/>
      <c r="L999" s="1792">
        <v>13089021908</v>
      </c>
      <c r="M999" s="1793">
        <v>0</v>
      </c>
      <c r="N999" s="1793">
        <v>0</v>
      </c>
      <c r="O999" s="1793">
        <v>0</v>
      </c>
    </row>
    <row r="1000" spans="3:15">
      <c r="C1000" s="1799" t="s">
        <v>5488</v>
      </c>
      <c r="D1000" s="1796">
        <v>0</v>
      </c>
      <c r="E1000" s="1796">
        <v>0</v>
      </c>
      <c r="F1000" s="1797">
        <v>0</v>
      </c>
      <c r="G1000" s="1999" t="s">
        <v>5488</v>
      </c>
      <c r="H1000" s="1794">
        <v>0</v>
      </c>
      <c r="I1000" s="1794">
        <v>0</v>
      </c>
      <c r="J1000" s="2000">
        <v>0</v>
      </c>
      <c r="K1000" s="1798"/>
      <c r="L1000" s="1792">
        <v>13089021909</v>
      </c>
      <c r="M1000" s="1793">
        <v>0</v>
      </c>
      <c r="N1000" s="1793">
        <v>0</v>
      </c>
      <c r="O1000" s="1793">
        <v>0</v>
      </c>
    </row>
    <row r="1001" spans="3:15">
      <c r="C1001" s="1799" t="s">
        <v>5489</v>
      </c>
      <c r="D1001" s="1796">
        <v>0</v>
      </c>
      <c r="E1001" s="1796">
        <v>0</v>
      </c>
      <c r="F1001" s="1797">
        <v>0</v>
      </c>
      <c r="G1001" s="1999" t="s">
        <v>5489</v>
      </c>
      <c r="H1001" s="1794">
        <v>0</v>
      </c>
      <c r="I1001" s="1794">
        <v>0</v>
      </c>
      <c r="J1001" s="2000">
        <v>0</v>
      </c>
      <c r="K1001" s="1798"/>
      <c r="L1001" s="1792">
        <v>13089021910</v>
      </c>
      <c r="M1001" s="1793">
        <v>0</v>
      </c>
      <c r="N1001" s="1793">
        <v>0</v>
      </c>
      <c r="O1001" s="1793">
        <v>0</v>
      </c>
    </row>
    <row r="1002" spans="3:15">
      <c r="C1002" s="1799" t="s">
        <v>5490</v>
      </c>
      <c r="D1002" s="1796">
        <v>0</v>
      </c>
      <c r="E1002" s="1796">
        <v>0</v>
      </c>
      <c r="F1002" s="1797">
        <v>0</v>
      </c>
      <c r="G1002" s="1999" t="s">
        <v>5490</v>
      </c>
      <c r="H1002" s="1794">
        <v>0</v>
      </c>
      <c r="I1002" s="1794" t="s">
        <v>4483</v>
      </c>
      <c r="J1002" s="2000">
        <v>0</v>
      </c>
      <c r="K1002" s="1798"/>
      <c r="L1002" s="1792">
        <v>13089021911</v>
      </c>
      <c r="M1002" s="1793">
        <v>0</v>
      </c>
      <c r="N1002" s="1793">
        <v>0</v>
      </c>
      <c r="O1002" s="1793">
        <v>0</v>
      </c>
    </row>
    <row r="1003" spans="3:15">
      <c r="C1003" s="1799" t="s">
        <v>5491</v>
      </c>
      <c r="D1003" s="1796">
        <v>1</v>
      </c>
      <c r="E1003" s="1796">
        <v>1</v>
      </c>
      <c r="F1003" s="1797">
        <v>2</v>
      </c>
      <c r="G1003" s="1999" t="s">
        <v>5491</v>
      </c>
      <c r="H1003" s="1794">
        <v>1</v>
      </c>
      <c r="I1003" s="1794">
        <v>1</v>
      </c>
      <c r="J1003" s="2000">
        <v>2</v>
      </c>
      <c r="K1003" s="1798"/>
      <c r="L1003" s="1792">
        <v>13089021912</v>
      </c>
      <c r="M1003" s="1793">
        <v>1</v>
      </c>
      <c r="N1003" s="1793">
        <v>1</v>
      </c>
      <c r="O1003" s="1793">
        <v>2</v>
      </c>
    </row>
    <row r="1004" spans="3:15">
      <c r="C1004" s="1799" t="s">
        <v>5492</v>
      </c>
      <c r="D1004" s="1796">
        <v>0</v>
      </c>
      <c r="E1004" s="1796">
        <v>0</v>
      </c>
      <c r="F1004" s="1797">
        <v>0</v>
      </c>
      <c r="G1004" s="1999" t="s">
        <v>5492</v>
      </c>
      <c r="H1004" s="1794">
        <v>0</v>
      </c>
      <c r="I1004" s="1794">
        <v>0</v>
      </c>
      <c r="J1004" s="2000">
        <v>0</v>
      </c>
      <c r="K1004" s="1798"/>
      <c r="L1004" s="1792">
        <v>13089021913</v>
      </c>
      <c r="M1004" s="1793">
        <v>0</v>
      </c>
      <c r="N1004" s="1793">
        <v>0</v>
      </c>
      <c r="O1004" s="1793">
        <v>0</v>
      </c>
    </row>
    <row r="1005" spans="3:15">
      <c r="C1005" s="1799" t="s">
        <v>5493</v>
      </c>
      <c r="D1005" s="1796">
        <v>1</v>
      </c>
      <c r="E1005" s="1796">
        <v>1</v>
      </c>
      <c r="F1005" s="1797">
        <v>2</v>
      </c>
      <c r="G1005" s="1999" t="s">
        <v>5493</v>
      </c>
      <c r="H1005" s="1794">
        <v>1</v>
      </c>
      <c r="I1005" s="1794">
        <v>1</v>
      </c>
      <c r="J1005" s="2000">
        <v>2</v>
      </c>
      <c r="K1005" s="1798"/>
      <c r="L1005" s="1792">
        <v>13089022001</v>
      </c>
      <c r="M1005" s="1793">
        <v>1</v>
      </c>
      <c r="N1005" s="1793">
        <v>1</v>
      </c>
      <c r="O1005" s="1793">
        <v>2</v>
      </c>
    </row>
    <row r="1006" spans="3:15">
      <c r="C1006" s="1799" t="s">
        <v>5494</v>
      </c>
      <c r="D1006" s="1796">
        <v>0</v>
      </c>
      <c r="E1006" s="1796">
        <v>0</v>
      </c>
      <c r="F1006" s="1797">
        <v>0</v>
      </c>
      <c r="G1006" s="1999" t="s">
        <v>5494</v>
      </c>
      <c r="H1006" s="1794">
        <v>0</v>
      </c>
      <c r="I1006" s="1794">
        <v>1</v>
      </c>
      <c r="J1006" s="2000">
        <v>1</v>
      </c>
      <c r="K1006" s="1798"/>
      <c r="L1006" s="1792">
        <v>13089022004</v>
      </c>
      <c r="M1006" s="1793">
        <v>0</v>
      </c>
      <c r="N1006" s="1793">
        <v>1</v>
      </c>
      <c r="O1006" s="1793">
        <v>1</v>
      </c>
    </row>
    <row r="1007" spans="3:15">
      <c r="C1007" s="1799" t="s">
        <v>5495</v>
      </c>
      <c r="D1007" s="1796">
        <v>0</v>
      </c>
      <c r="E1007" s="1796">
        <v>0</v>
      </c>
      <c r="F1007" s="1797">
        <v>0</v>
      </c>
      <c r="G1007" s="1999" t="s">
        <v>5495</v>
      </c>
      <c r="H1007" s="1794">
        <v>0</v>
      </c>
      <c r="I1007" s="1794">
        <v>0</v>
      </c>
      <c r="J1007" s="2000">
        <v>0</v>
      </c>
      <c r="K1007" s="1798"/>
      <c r="L1007" s="1792">
        <v>13089022005</v>
      </c>
      <c r="M1007" s="1793">
        <v>0</v>
      </c>
      <c r="N1007" s="1793">
        <v>0</v>
      </c>
      <c r="O1007" s="1793">
        <v>0</v>
      </c>
    </row>
    <row r="1008" spans="3:15">
      <c r="C1008" s="1799" t="s">
        <v>5496</v>
      </c>
      <c r="D1008" s="1796">
        <v>0</v>
      </c>
      <c r="E1008" s="1796">
        <v>0</v>
      </c>
      <c r="F1008" s="1797">
        <v>0</v>
      </c>
      <c r="G1008" s="1999" t="s">
        <v>5496</v>
      </c>
      <c r="H1008" s="1794">
        <v>0</v>
      </c>
      <c r="I1008" s="1794">
        <v>0</v>
      </c>
      <c r="J1008" s="2000">
        <v>0</v>
      </c>
      <c r="K1008" s="1798"/>
      <c r="L1008" s="1792">
        <v>13089022007</v>
      </c>
      <c r="M1008" s="1793">
        <v>0</v>
      </c>
      <c r="N1008" s="1793">
        <v>0</v>
      </c>
      <c r="O1008" s="1793">
        <v>0</v>
      </c>
    </row>
    <row r="1009" spans="3:15">
      <c r="C1009" s="1799" t="s">
        <v>5497</v>
      </c>
      <c r="D1009" s="1796">
        <v>0</v>
      </c>
      <c r="E1009" s="1796">
        <v>0</v>
      </c>
      <c r="F1009" s="1797">
        <v>0</v>
      </c>
      <c r="G1009" s="1999" t="s">
        <v>5497</v>
      </c>
      <c r="H1009" s="1794">
        <v>0</v>
      </c>
      <c r="I1009" s="1794">
        <v>0</v>
      </c>
      <c r="J1009" s="2000">
        <v>0</v>
      </c>
      <c r="K1009" s="1798"/>
      <c r="L1009" s="1792">
        <v>13089022008</v>
      </c>
      <c r="M1009" s="1793">
        <v>0</v>
      </c>
      <c r="N1009" s="1793">
        <v>0</v>
      </c>
      <c r="O1009" s="1793">
        <v>0</v>
      </c>
    </row>
    <row r="1010" spans="3:15">
      <c r="C1010" s="1799" t="s">
        <v>5498</v>
      </c>
      <c r="D1010" s="1796">
        <v>0</v>
      </c>
      <c r="E1010" s="1796">
        <v>0</v>
      </c>
      <c r="F1010" s="1797">
        <v>0</v>
      </c>
      <c r="G1010" s="1999" t="s">
        <v>5498</v>
      </c>
      <c r="H1010" s="1794">
        <v>0</v>
      </c>
      <c r="I1010" s="1794" t="s">
        <v>4483</v>
      </c>
      <c r="J1010" s="2000">
        <v>0</v>
      </c>
      <c r="K1010" s="1798"/>
      <c r="L1010" s="1792">
        <v>13089022009</v>
      </c>
      <c r="M1010" s="1793">
        <v>0</v>
      </c>
      <c r="N1010" s="1793">
        <v>0</v>
      </c>
      <c r="O1010" s="1793">
        <v>0</v>
      </c>
    </row>
    <row r="1011" spans="3:15">
      <c r="C1011" s="1799" t="s">
        <v>5499</v>
      </c>
      <c r="D1011" s="1796">
        <v>0</v>
      </c>
      <c r="E1011" s="1796">
        <v>0</v>
      </c>
      <c r="F1011" s="1797">
        <v>0</v>
      </c>
      <c r="G1011" s="1999" t="s">
        <v>5499</v>
      </c>
      <c r="H1011" s="1794">
        <v>0</v>
      </c>
      <c r="I1011" s="1794">
        <v>0</v>
      </c>
      <c r="J1011" s="2000">
        <v>0</v>
      </c>
      <c r="K1011" s="1798"/>
      <c r="L1011" s="1792">
        <v>13089022010</v>
      </c>
      <c r="M1011" s="1793">
        <v>0</v>
      </c>
      <c r="N1011" s="1793">
        <v>0</v>
      </c>
      <c r="O1011" s="1793">
        <v>0</v>
      </c>
    </row>
    <row r="1012" spans="3:15">
      <c r="C1012" s="1799" t="s">
        <v>5500</v>
      </c>
      <c r="D1012" s="1796">
        <v>0</v>
      </c>
      <c r="E1012" s="1796">
        <v>0</v>
      </c>
      <c r="F1012" s="1797">
        <v>0</v>
      </c>
      <c r="G1012" s="1999" t="s">
        <v>5500</v>
      </c>
      <c r="H1012" s="1794">
        <v>0</v>
      </c>
      <c r="I1012" s="1794">
        <v>0</v>
      </c>
      <c r="J1012" s="2000">
        <v>0</v>
      </c>
      <c r="K1012" s="1798"/>
      <c r="L1012" s="1792">
        <v>13089022100</v>
      </c>
      <c r="M1012" s="1793">
        <v>0</v>
      </c>
      <c r="N1012" s="1793">
        <v>0</v>
      </c>
      <c r="O1012" s="1793">
        <v>0</v>
      </c>
    </row>
    <row r="1013" spans="3:15">
      <c r="C1013" s="1799" t="s">
        <v>5501</v>
      </c>
      <c r="D1013" s="1796">
        <v>0</v>
      </c>
      <c r="E1013" s="1796">
        <v>0</v>
      </c>
      <c r="F1013" s="1797">
        <v>0</v>
      </c>
      <c r="G1013" s="1999" t="s">
        <v>5501</v>
      </c>
      <c r="H1013" s="1794">
        <v>1</v>
      </c>
      <c r="I1013" s="1794">
        <v>0</v>
      </c>
      <c r="J1013" s="2000">
        <v>1</v>
      </c>
      <c r="K1013" s="1798"/>
      <c r="L1013" s="1792">
        <v>13089022203</v>
      </c>
      <c r="M1013" s="1793">
        <v>1</v>
      </c>
      <c r="N1013" s="1793">
        <v>0</v>
      </c>
      <c r="O1013" s="1793">
        <v>1</v>
      </c>
    </row>
    <row r="1014" spans="3:15">
      <c r="C1014" s="1799" t="s">
        <v>5502</v>
      </c>
      <c r="D1014" s="1796">
        <v>0</v>
      </c>
      <c r="E1014" s="1796">
        <v>0</v>
      </c>
      <c r="F1014" s="1797">
        <v>0</v>
      </c>
      <c r="G1014" s="1999" t="s">
        <v>5502</v>
      </c>
      <c r="H1014" s="1794">
        <v>1</v>
      </c>
      <c r="I1014" s="1794">
        <v>0</v>
      </c>
      <c r="J1014" s="2000">
        <v>1</v>
      </c>
      <c r="K1014" s="1798"/>
      <c r="L1014" s="1792">
        <v>13089022204</v>
      </c>
      <c r="M1014" s="1793">
        <v>1</v>
      </c>
      <c r="N1014" s="1793">
        <v>0</v>
      </c>
      <c r="O1014" s="1793">
        <v>1</v>
      </c>
    </row>
    <row r="1015" spans="3:15">
      <c r="C1015" s="1799" t="s">
        <v>5503</v>
      </c>
      <c r="D1015" s="1796">
        <v>1</v>
      </c>
      <c r="E1015" s="1796">
        <v>1</v>
      </c>
      <c r="F1015" s="1797">
        <v>2</v>
      </c>
      <c r="G1015" s="1999" t="s">
        <v>5503</v>
      </c>
      <c r="H1015" s="1794">
        <v>1</v>
      </c>
      <c r="I1015" s="1794">
        <v>1</v>
      </c>
      <c r="J1015" s="2000">
        <v>2</v>
      </c>
      <c r="K1015" s="1798"/>
      <c r="L1015" s="1792">
        <v>13089022301</v>
      </c>
      <c r="M1015" s="1793">
        <v>1</v>
      </c>
      <c r="N1015" s="1793">
        <v>1</v>
      </c>
      <c r="O1015" s="1793">
        <v>2</v>
      </c>
    </row>
    <row r="1016" spans="3:15">
      <c r="C1016" s="1799" t="s">
        <v>5504</v>
      </c>
      <c r="D1016" s="1796">
        <v>1</v>
      </c>
      <c r="E1016" s="1796">
        <v>1</v>
      </c>
      <c r="F1016" s="1797">
        <v>2</v>
      </c>
      <c r="G1016" s="1999" t="s">
        <v>5504</v>
      </c>
      <c r="H1016" s="1794">
        <v>1</v>
      </c>
      <c r="I1016" s="1794">
        <v>1</v>
      </c>
      <c r="J1016" s="2000">
        <v>2</v>
      </c>
      <c r="K1016" s="1798"/>
      <c r="L1016" s="1792">
        <v>13089022302</v>
      </c>
      <c r="M1016" s="1793">
        <v>1</v>
      </c>
      <c r="N1016" s="1793">
        <v>1</v>
      </c>
      <c r="O1016" s="1793">
        <v>2</v>
      </c>
    </row>
    <row r="1017" spans="3:15">
      <c r="C1017" s="1799" t="s">
        <v>5505</v>
      </c>
      <c r="D1017" s="1796">
        <v>1</v>
      </c>
      <c r="E1017" s="1796">
        <v>1</v>
      </c>
      <c r="F1017" s="1797">
        <v>2</v>
      </c>
      <c r="G1017" s="1999" t="s">
        <v>5505</v>
      </c>
      <c r="H1017" s="1794">
        <v>1</v>
      </c>
      <c r="I1017" s="1794">
        <v>1</v>
      </c>
      <c r="J1017" s="2000">
        <v>2</v>
      </c>
      <c r="K1017" s="1798"/>
      <c r="L1017" s="1792">
        <v>13089022401</v>
      </c>
      <c r="M1017" s="1793">
        <v>1</v>
      </c>
      <c r="N1017" s="1793">
        <v>1</v>
      </c>
      <c r="O1017" s="1793">
        <v>2</v>
      </c>
    </row>
    <row r="1018" spans="3:15">
      <c r="C1018" s="1799" t="s">
        <v>5506</v>
      </c>
      <c r="D1018" s="1796">
        <v>0</v>
      </c>
      <c r="E1018" s="1796">
        <v>0</v>
      </c>
      <c r="F1018" s="1797">
        <v>0</v>
      </c>
      <c r="G1018" s="1999" t="s">
        <v>5506</v>
      </c>
      <c r="H1018" s="1794">
        <v>0</v>
      </c>
      <c r="I1018" s="1794" t="s">
        <v>4483</v>
      </c>
      <c r="J1018" s="2000">
        <v>0</v>
      </c>
      <c r="K1018" s="1798"/>
      <c r="L1018" s="1792">
        <v>13089022402</v>
      </c>
      <c r="M1018" s="1793">
        <v>0</v>
      </c>
      <c r="N1018" s="1793">
        <v>0</v>
      </c>
      <c r="O1018" s="1793">
        <v>0</v>
      </c>
    </row>
    <row r="1019" spans="3:15">
      <c r="C1019" s="1799" t="s">
        <v>5507</v>
      </c>
      <c r="D1019" s="1796">
        <v>1</v>
      </c>
      <c r="E1019" s="1796">
        <v>1</v>
      </c>
      <c r="F1019" s="1797">
        <v>2</v>
      </c>
      <c r="G1019" s="1999" t="s">
        <v>5507</v>
      </c>
      <c r="H1019" s="1794">
        <v>1</v>
      </c>
      <c r="I1019" s="1794">
        <v>1</v>
      </c>
      <c r="J1019" s="2000">
        <v>2</v>
      </c>
      <c r="K1019" s="1798"/>
      <c r="L1019" s="1792">
        <v>13089022403</v>
      </c>
      <c r="M1019" s="1793">
        <v>1</v>
      </c>
      <c r="N1019" s="1793">
        <v>1</v>
      </c>
      <c r="O1019" s="1793">
        <v>2</v>
      </c>
    </row>
    <row r="1020" spans="3:15">
      <c r="C1020" s="1799" t="s">
        <v>5508</v>
      </c>
      <c r="D1020" s="1796">
        <v>1</v>
      </c>
      <c r="E1020" s="1796">
        <v>1</v>
      </c>
      <c r="F1020" s="1797">
        <v>2</v>
      </c>
      <c r="G1020" s="1999" t="s">
        <v>5508</v>
      </c>
      <c r="H1020" s="1794">
        <v>1</v>
      </c>
      <c r="I1020" s="1794">
        <v>1</v>
      </c>
      <c r="J1020" s="2000">
        <v>2</v>
      </c>
      <c r="K1020" s="1798"/>
      <c r="L1020" s="1792">
        <v>13089022500</v>
      </c>
      <c r="M1020" s="1793">
        <v>1</v>
      </c>
      <c r="N1020" s="1793">
        <v>1</v>
      </c>
      <c r="O1020" s="1793">
        <v>2</v>
      </c>
    </row>
    <row r="1021" spans="3:15">
      <c r="C1021" s="1799" t="s">
        <v>5509</v>
      </c>
      <c r="D1021" s="1796">
        <v>1</v>
      </c>
      <c r="E1021" s="1796">
        <v>1</v>
      </c>
      <c r="F1021" s="1797">
        <v>2</v>
      </c>
      <c r="G1021" s="1999" t="s">
        <v>5509</v>
      </c>
      <c r="H1021" s="1794">
        <v>1</v>
      </c>
      <c r="I1021" s="1794">
        <v>1</v>
      </c>
      <c r="J1021" s="2000">
        <v>2</v>
      </c>
      <c r="K1021" s="1798"/>
      <c r="L1021" s="1792">
        <v>13089022600</v>
      </c>
      <c r="M1021" s="1793">
        <v>1</v>
      </c>
      <c r="N1021" s="1793">
        <v>1</v>
      </c>
      <c r="O1021" s="1793">
        <v>2</v>
      </c>
    </row>
    <row r="1022" spans="3:15">
      <c r="C1022" s="1799" t="s">
        <v>5510</v>
      </c>
      <c r="D1022" s="1796">
        <v>1</v>
      </c>
      <c r="E1022" s="1796">
        <v>1</v>
      </c>
      <c r="F1022" s="1797">
        <v>2</v>
      </c>
      <c r="G1022" s="1999" t="s">
        <v>5510</v>
      </c>
      <c r="H1022" s="1794">
        <v>1</v>
      </c>
      <c r="I1022" s="1794">
        <v>1</v>
      </c>
      <c r="J1022" s="2000">
        <v>2</v>
      </c>
      <c r="K1022" s="1798"/>
      <c r="L1022" s="1792">
        <v>13089022700</v>
      </c>
      <c r="M1022" s="1793">
        <v>1</v>
      </c>
      <c r="N1022" s="1793">
        <v>1</v>
      </c>
      <c r="O1022" s="1793">
        <v>2</v>
      </c>
    </row>
    <row r="1023" spans="3:15">
      <c r="C1023" s="1799" t="s">
        <v>5511</v>
      </c>
      <c r="D1023" s="1796">
        <v>1</v>
      </c>
      <c r="E1023" s="1796">
        <v>1</v>
      </c>
      <c r="F1023" s="1797">
        <v>2</v>
      </c>
      <c r="G1023" s="1999" t="s">
        <v>5511</v>
      </c>
      <c r="H1023" s="1794">
        <v>1</v>
      </c>
      <c r="I1023" s="1794">
        <v>1</v>
      </c>
      <c r="J1023" s="2000">
        <v>2</v>
      </c>
      <c r="K1023" s="1798"/>
      <c r="L1023" s="1792">
        <v>13089022800</v>
      </c>
      <c r="M1023" s="1793">
        <v>1</v>
      </c>
      <c r="N1023" s="1793">
        <v>1</v>
      </c>
      <c r="O1023" s="1793">
        <v>2</v>
      </c>
    </row>
    <row r="1024" spans="3:15">
      <c r="C1024" s="1799" t="s">
        <v>5512</v>
      </c>
      <c r="D1024" s="1796">
        <v>1</v>
      </c>
      <c r="E1024" s="1796">
        <v>1</v>
      </c>
      <c r="F1024" s="1797">
        <v>2</v>
      </c>
      <c r="G1024" s="1999" t="s">
        <v>5512</v>
      </c>
      <c r="H1024" s="1794">
        <v>1</v>
      </c>
      <c r="I1024" s="1794">
        <v>1</v>
      </c>
      <c r="J1024" s="2000">
        <v>2</v>
      </c>
      <c r="K1024" s="1798"/>
      <c r="L1024" s="1792">
        <v>13089022900</v>
      </c>
      <c r="M1024" s="1793">
        <v>1</v>
      </c>
      <c r="N1024" s="1793">
        <v>1</v>
      </c>
      <c r="O1024" s="1793">
        <v>2</v>
      </c>
    </row>
    <row r="1025" spans="3:15">
      <c r="C1025" s="1799" t="s">
        <v>5513</v>
      </c>
      <c r="D1025" s="1796">
        <v>1</v>
      </c>
      <c r="E1025" s="1796">
        <v>1</v>
      </c>
      <c r="F1025" s="1797">
        <v>2</v>
      </c>
      <c r="G1025" s="1999" t="s">
        <v>5513</v>
      </c>
      <c r="H1025" s="1794">
        <v>1</v>
      </c>
      <c r="I1025" s="1794">
        <v>1</v>
      </c>
      <c r="J1025" s="2000">
        <v>2</v>
      </c>
      <c r="K1025" s="1798"/>
      <c r="L1025" s="1792">
        <v>13089023000</v>
      </c>
      <c r="M1025" s="1793">
        <v>1</v>
      </c>
      <c r="N1025" s="1793">
        <v>1</v>
      </c>
      <c r="O1025" s="1793">
        <v>2</v>
      </c>
    </row>
    <row r="1026" spans="3:15">
      <c r="C1026" s="1799" t="s">
        <v>5514</v>
      </c>
      <c r="D1026" s="1796">
        <v>0</v>
      </c>
      <c r="E1026" s="1796">
        <v>0</v>
      </c>
      <c r="F1026" s="1797">
        <v>0</v>
      </c>
      <c r="G1026" s="1999" t="s">
        <v>5514</v>
      </c>
      <c r="H1026" s="1794">
        <v>0</v>
      </c>
      <c r="I1026" s="1794">
        <v>0</v>
      </c>
      <c r="J1026" s="2000">
        <v>0</v>
      </c>
      <c r="K1026" s="1798"/>
      <c r="L1026" s="1792">
        <v>13089023101</v>
      </c>
      <c r="M1026" s="1793">
        <v>0</v>
      </c>
      <c r="N1026" s="1793">
        <v>0</v>
      </c>
      <c r="O1026" s="1793">
        <v>0</v>
      </c>
    </row>
    <row r="1027" spans="3:15">
      <c r="C1027" s="1799" t="s">
        <v>5515</v>
      </c>
      <c r="D1027" s="1796">
        <v>0</v>
      </c>
      <c r="E1027" s="1796">
        <v>0</v>
      </c>
      <c r="F1027" s="1797">
        <v>0</v>
      </c>
      <c r="G1027" s="1999" t="s">
        <v>5515</v>
      </c>
      <c r="H1027" s="1794">
        <v>1</v>
      </c>
      <c r="I1027" s="1794">
        <v>0</v>
      </c>
      <c r="J1027" s="2000">
        <v>1</v>
      </c>
      <c r="K1027" s="1798"/>
      <c r="L1027" s="1792">
        <v>13089023102</v>
      </c>
      <c r="M1027" s="1793">
        <v>1</v>
      </c>
      <c r="N1027" s="1793">
        <v>0</v>
      </c>
      <c r="O1027" s="1793">
        <v>1</v>
      </c>
    </row>
    <row r="1028" spans="3:15">
      <c r="C1028" s="1799" t="s">
        <v>5516</v>
      </c>
      <c r="D1028" s="1796">
        <v>0</v>
      </c>
      <c r="E1028" s="1796">
        <v>0</v>
      </c>
      <c r="F1028" s="1797">
        <v>0</v>
      </c>
      <c r="G1028" s="1999" t="s">
        <v>5516</v>
      </c>
      <c r="H1028" s="1794">
        <v>0</v>
      </c>
      <c r="I1028" s="1794">
        <v>0</v>
      </c>
      <c r="J1028" s="2000">
        <v>0</v>
      </c>
      <c r="K1028" s="1798"/>
      <c r="L1028" s="1792">
        <v>13089023107</v>
      </c>
      <c r="M1028" s="1793">
        <v>0</v>
      </c>
      <c r="N1028" s="1793">
        <v>0</v>
      </c>
      <c r="O1028" s="1793">
        <v>0</v>
      </c>
    </row>
    <row r="1029" spans="3:15">
      <c r="C1029" s="1799" t="s">
        <v>5517</v>
      </c>
      <c r="D1029" s="1796">
        <v>0</v>
      </c>
      <c r="E1029" s="1796">
        <v>0</v>
      </c>
      <c r="F1029" s="1797">
        <v>0</v>
      </c>
      <c r="G1029" s="1999" t="s">
        <v>5517</v>
      </c>
      <c r="H1029" s="1794">
        <v>0</v>
      </c>
      <c r="I1029" s="1794">
        <v>0</v>
      </c>
      <c r="J1029" s="2000">
        <v>0</v>
      </c>
      <c r="K1029" s="1798"/>
      <c r="L1029" s="1792">
        <v>13089023108</v>
      </c>
      <c r="M1029" s="1793">
        <v>0</v>
      </c>
      <c r="N1029" s="1793">
        <v>0</v>
      </c>
      <c r="O1029" s="1793">
        <v>0</v>
      </c>
    </row>
    <row r="1030" spans="3:15">
      <c r="C1030" s="1799" t="s">
        <v>5518</v>
      </c>
      <c r="D1030" s="1796">
        <v>0</v>
      </c>
      <c r="E1030" s="1796">
        <v>0</v>
      </c>
      <c r="F1030" s="1797">
        <v>0</v>
      </c>
      <c r="G1030" s="1999" t="s">
        <v>5518</v>
      </c>
      <c r="H1030" s="1794">
        <v>0</v>
      </c>
      <c r="I1030" s="1794">
        <v>0</v>
      </c>
      <c r="J1030" s="2000">
        <v>0</v>
      </c>
      <c r="K1030" s="1798"/>
      <c r="L1030" s="1792">
        <v>13089023111</v>
      </c>
      <c r="M1030" s="1793">
        <v>0</v>
      </c>
      <c r="N1030" s="1793">
        <v>0</v>
      </c>
      <c r="O1030" s="1793">
        <v>0</v>
      </c>
    </row>
    <row r="1031" spans="3:15">
      <c r="C1031" s="1799" t="s">
        <v>5519</v>
      </c>
      <c r="D1031" s="1796">
        <v>0</v>
      </c>
      <c r="E1031" s="1796">
        <v>0</v>
      </c>
      <c r="F1031" s="1797">
        <v>0</v>
      </c>
      <c r="G1031" s="1999" t="s">
        <v>5519</v>
      </c>
      <c r="H1031" s="1794">
        <v>0</v>
      </c>
      <c r="I1031" s="1794" t="s">
        <v>4483</v>
      </c>
      <c r="J1031" s="2000">
        <v>0</v>
      </c>
      <c r="K1031" s="1798"/>
      <c r="L1031" s="1792">
        <v>13089023112</v>
      </c>
      <c r="M1031" s="1793">
        <v>0</v>
      </c>
      <c r="N1031" s="1793">
        <v>0</v>
      </c>
      <c r="O1031" s="1793">
        <v>0</v>
      </c>
    </row>
    <row r="1032" spans="3:15">
      <c r="C1032" s="1799" t="s">
        <v>5520</v>
      </c>
      <c r="D1032" s="1796">
        <v>0</v>
      </c>
      <c r="E1032" s="1796">
        <v>0</v>
      </c>
      <c r="F1032" s="1797">
        <v>0</v>
      </c>
      <c r="G1032" s="1999" t="s">
        <v>5520</v>
      </c>
      <c r="H1032" s="1794">
        <v>0</v>
      </c>
      <c r="I1032" s="1794">
        <v>0</v>
      </c>
      <c r="J1032" s="2000">
        <v>0</v>
      </c>
      <c r="K1032" s="1798"/>
      <c r="L1032" s="1792">
        <v>13089023113</v>
      </c>
      <c r="M1032" s="1793">
        <v>0</v>
      </c>
      <c r="N1032" s="1793">
        <v>0</v>
      </c>
      <c r="O1032" s="1793">
        <v>0</v>
      </c>
    </row>
    <row r="1033" spans="3:15">
      <c r="C1033" s="1799" t="s">
        <v>5521</v>
      </c>
      <c r="D1033" s="1796">
        <v>0</v>
      </c>
      <c r="E1033" s="1796">
        <v>0</v>
      </c>
      <c r="F1033" s="1797">
        <v>0</v>
      </c>
      <c r="G1033" s="1999" t="s">
        <v>5521</v>
      </c>
      <c r="H1033" s="1794">
        <v>0</v>
      </c>
      <c r="I1033" s="1794">
        <v>0</v>
      </c>
      <c r="J1033" s="2000">
        <v>0</v>
      </c>
      <c r="K1033" s="1798"/>
      <c r="L1033" s="1792">
        <v>13089023114</v>
      </c>
      <c r="M1033" s="1793">
        <v>0</v>
      </c>
      <c r="N1033" s="1793">
        <v>0</v>
      </c>
      <c r="O1033" s="1793">
        <v>0</v>
      </c>
    </row>
    <row r="1034" spans="3:15">
      <c r="C1034" s="1799" t="s">
        <v>5522</v>
      </c>
      <c r="D1034" s="1796" t="s">
        <v>4483</v>
      </c>
      <c r="E1034" s="1796" t="s">
        <v>4483</v>
      </c>
      <c r="F1034" s="1797">
        <v>0</v>
      </c>
      <c r="G1034" s="1999" t="s">
        <v>5522</v>
      </c>
      <c r="H1034" s="1794" t="s">
        <v>4483</v>
      </c>
      <c r="I1034" s="1794" t="s">
        <v>4483</v>
      </c>
      <c r="J1034" s="2000">
        <v>0</v>
      </c>
      <c r="K1034" s="1798"/>
      <c r="L1034" s="1792">
        <v>13089023115</v>
      </c>
      <c r="M1034" s="1793">
        <v>0</v>
      </c>
      <c r="N1034" s="1793">
        <v>0</v>
      </c>
      <c r="O1034" s="1793">
        <v>0</v>
      </c>
    </row>
    <row r="1035" spans="3:15">
      <c r="C1035" s="1799" t="s">
        <v>5523</v>
      </c>
      <c r="D1035" s="1796">
        <v>0</v>
      </c>
      <c r="E1035" s="1796">
        <v>0</v>
      </c>
      <c r="F1035" s="1797">
        <v>0</v>
      </c>
      <c r="G1035" s="1999" t="s">
        <v>5523</v>
      </c>
      <c r="H1035" s="1794">
        <v>0</v>
      </c>
      <c r="I1035" s="1794">
        <v>0</v>
      </c>
      <c r="J1035" s="2000">
        <v>0</v>
      </c>
      <c r="K1035" s="1798"/>
      <c r="L1035" s="1792">
        <v>13089023204</v>
      </c>
      <c r="M1035" s="1793">
        <v>0</v>
      </c>
      <c r="N1035" s="1793">
        <v>0</v>
      </c>
      <c r="O1035" s="1793">
        <v>0</v>
      </c>
    </row>
    <row r="1036" spans="3:15">
      <c r="C1036" s="1799" t="s">
        <v>5524</v>
      </c>
      <c r="D1036" s="1796">
        <v>0</v>
      </c>
      <c r="E1036" s="1796">
        <v>0</v>
      </c>
      <c r="F1036" s="1797">
        <v>0</v>
      </c>
      <c r="G1036" s="1999" t="s">
        <v>5524</v>
      </c>
      <c r="H1036" s="1794">
        <v>0</v>
      </c>
      <c r="I1036" s="1794">
        <v>1</v>
      </c>
      <c r="J1036" s="2000">
        <v>1</v>
      </c>
      <c r="K1036" s="1798"/>
      <c r="L1036" s="1792">
        <v>13089023206</v>
      </c>
      <c r="M1036" s="1793">
        <v>0</v>
      </c>
      <c r="N1036" s="1793">
        <v>1</v>
      </c>
      <c r="O1036" s="1793">
        <v>1</v>
      </c>
    </row>
    <row r="1037" spans="3:15">
      <c r="C1037" s="1799" t="s">
        <v>5525</v>
      </c>
      <c r="D1037" s="1796">
        <v>0</v>
      </c>
      <c r="E1037" s="1796">
        <v>0</v>
      </c>
      <c r="F1037" s="1797">
        <v>0</v>
      </c>
      <c r="G1037" s="1999" t="s">
        <v>5525</v>
      </c>
      <c r="H1037" s="1794">
        <v>0</v>
      </c>
      <c r="I1037" s="1794">
        <v>0</v>
      </c>
      <c r="J1037" s="2000">
        <v>0</v>
      </c>
      <c r="K1037" s="1798"/>
      <c r="L1037" s="1792">
        <v>13089023208</v>
      </c>
      <c r="M1037" s="1793">
        <v>0</v>
      </c>
      <c r="N1037" s="1793">
        <v>0</v>
      </c>
      <c r="O1037" s="1793">
        <v>0</v>
      </c>
    </row>
    <row r="1038" spans="3:15">
      <c r="C1038" s="1799" t="s">
        <v>5526</v>
      </c>
      <c r="D1038" s="1796">
        <v>0</v>
      </c>
      <c r="E1038" s="1796">
        <v>0</v>
      </c>
      <c r="F1038" s="1797">
        <v>0</v>
      </c>
      <c r="G1038" s="1999" t="s">
        <v>5526</v>
      </c>
      <c r="H1038" s="1794">
        <v>0</v>
      </c>
      <c r="I1038" s="1794">
        <v>0</v>
      </c>
      <c r="J1038" s="2000">
        <v>0</v>
      </c>
      <c r="K1038" s="1798"/>
      <c r="L1038" s="1792">
        <v>13089023209</v>
      </c>
      <c r="M1038" s="1793">
        <v>0</v>
      </c>
      <c r="N1038" s="1793">
        <v>0</v>
      </c>
      <c r="O1038" s="1793">
        <v>0</v>
      </c>
    </row>
    <row r="1039" spans="3:15">
      <c r="C1039" s="1799" t="s">
        <v>5527</v>
      </c>
      <c r="D1039" s="1796">
        <v>0</v>
      </c>
      <c r="E1039" s="1796">
        <v>0</v>
      </c>
      <c r="F1039" s="1797">
        <v>0</v>
      </c>
      <c r="G1039" s="1999" t="s">
        <v>5527</v>
      </c>
      <c r="H1039" s="1794">
        <v>0</v>
      </c>
      <c r="I1039" s="1794">
        <v>0</v>
      </c>
      <c r="J1039" s="2000">
        <v>0</v>
      </c>
      <c r="K1039" s="1798"/>
      <c r="L1039" s="1792">
        <v>13089023210</v>
      </c>
      <c r="M1039" s="1793">
        <v>0</v>
      </c>
      <c r="N1039" s="1793">
        <v>0</v>
      </c>
      <c r="O1039" s="1793">
        <v>0</v>
      </c>
    </row>
    <row r="1040" spans="3:15">
      <c r="C1040" s="1799" t="s">
        <v>5528</v>
      </c>
      <c r="D1040" s="1796">
        <v>0</v>
      </c>
      <c r="E1040" s="1796">
        <v>0</v>
      </c>
      <c r="F1040" s="1797">
        <v>0</v>
      </c>
      <c r="G1040" s="1999" t="s">
        <v>5528</v>
      </c>
      <c r="H1040" s="1794">
        <v>0</v>
      </c>
      <c r="I1040" s="1794">
        <v>0</v>
      </c>
      <c r="J1040" s="2000">
        <v>0</v>
      </c>
      <c r="K1040" s="1798"/>
      <c r="L1040" s="1792">
        <v>13089023211</v>
      </c>
      <c r="M1040" s="1793">
        <v>0</v>
      </c>
      <c r="N1040" s="1793">
        <v>0</v>
      </c>
      <c r="O1040" s="1793">
        <v>0</v>
      </c>
    </row>
    <row r="1041" spans="3:15">
      <c r="C1041" s="1799" t="s">
        <v>5529</v>
      </c>
      <c r="D1041" s="1796">
        <v>0</v>
      </c>
      <c r="E1041" s="1796">
        <v>0</v>
      </c>
      <c r="F1041" s="1797">
        <v>0</v>
      </c>
      <c r="G1041" s="1999" t="s">
        <v>5529</v>
      </c>
      <c r="H1041" s="1794">
        <v>0</v>
      </c>
      <c r="I1041" s="1794">
        <v>0</v>
      </c>
      <c r="J1041" s="2000">
        <v>0</v>
      </c>
      <c r="K1041" s="1798"/>
      <c r="L1041" s="1792">
        <v>13089023212</v>
      </c>
      <c r="M1041" s="1793">
        <v>0</v>
      </c>
      <c r="N1041" s="1793">
        <v>0</v>
      </c>
      <c r="O1041" s="1793">
        <v>0</v>
      </c>
    </row>
    <row r="1042" spans="3:15">
      <c r="C1042" s="1799" t="s">
        <v>5530</v>
      </c>
      <c r="D1042" s="1796">
        <v>0</v>
      </c>
      <c r="E1042" s="1796">
        <v>0</v>
      </c>
      <c r="F1042" s="1797">
        <v>0</v>
      </c>
      <c r="G1042" s="1999" t="s">
        <v>5530</v>
      </c>
      <c r="H1042" s="1794">
        <v>0</v>
      </c>
      <c r="I1042" s="1794">
        <v>0</v>
      </c>
      <c r="J1042" s="2000">
        <v>0</v>
      </c>
      <c r="K1042" s="1798"/>
      <c r="L1042" s="1792">
        <v>13089023213</v>
      </c>
      <c r="M1042" s="1793">
        <v>0</v>
      </c>
      <c r="N1042" s="1793">
        <v>0</v>
      </c>
      <c r="O1042" s="1793">
        <v>0</v>
      </c>
    </row>
    <row r="1043" spans="3:15">
      <c r="C1043" s="1799" t="s">
        <v>5531</v>
      </c>
      <c r="D1043" s="1796">
        <v>0</v>
      </c>
      <c r="E1043" s="1796">
        <v>0</v>
      </c>
      <c r="F1043" s="1797">
        <v>0</v>
      </c>
      <c r="G1043" s="1999" t="s">
        <v>5531</v>
      </c>
      <c r="H1043" s="1794">
        <v>0</v>
      </c>
      <c r="I1043" s="1794" t="s">
        <v>4483</v>
      </c>
      <c r="J1043" s="2000">
        <v>0</v>
      </c>
      <c r="K1043" s="1798"/>
      <c r="L1043" s="1792">
        <v>13089023214</v>
      </c>
      <c r="M1043" s="1793">
        <v>0</v>
      </c>
      <c r="N1043" s="1793">
        <v>0</v>
      </c>
      <c r="O1043" s="1793">
        <v>0</v>
      </c>
    </row>
    <row r="1044" spans="3:15">
      <c r="C1044" s="1799" t="s">
        <v>5532</v>
      </c>
      <c r="D1044" s="1796">
        <v>0</v>
      </c>
      <c r="E1044" s="1796">
        <v>0</v>
      </c>
      <c r="F1044" s="1797">
        <v>0</v>
      </c>
      <c r="G1044" s="1999" t="s">
        <v>5532</v>
      </c>
      <c r="H1044" s="1794">
        <v>0</v>
      </c>
      <c r="I1044" s="1794">
        <v>0</v>
      </c>
      <c r="J1044" s="2000">
        <v>0</v>
      </c>
      <c r="K1044" s="1798"/>
      <c r="L1044" s="1792">
        <v>13089023303</v>
      </c>
      <c r="M1044" s="1793">
        <v>0</v>
      </c>
      <c r="N1044" s="1793">
        <v>0</v>
      </c>
      <c r="O1044" s="1793">
        <v>0</v>
      </c>
    </row>
    <row r="1045" spans="3:15">
      <c r="C1045" s="1799" t="s">
        <v>5533</v>
      </c>
      <c r="D1045" s="1796">
        <v>1</v>
      </c>
      <c r="E1045" s="1796">
        <v>1</v>
      </c>
      <c r="F1045" s="1797">
        <v>2</v>
      </c>
      <c r="G1045" s="1999" t="s">
        <v>5533</v>
      </c>
      <c r="H1045" s="1794">
        <v>0</v>
      </c>
      <c r="I1045" s="1794">
        <v>1</v>
      </c>
      <c r="J1045" s="2000">
        <v>1</v>
      </c>
      <c r="K1045" s="1798"/>
      <c r="L1045" s="1792">
        <v>13089023306</v>
      </c>
      <c r="M1045" s="1793">
        <v>1</v>
      </c>
      <c r="N1045" s="1793">
        <v>1</v>
      </c>
      <c r="O1045" s="1793">
        <v>2</v>
      </c>
    </row>
    <row r="1046" spans="3:15">
      <c r="C1046" s="1799" t="s">
        <v>5534</v>
      </c>
      <c r="D1046" s="1796">
        <v>0</v>
      </c>
      <c r="E1046" s="1796">
        <v>0</v>
      </c>
      <c r="F1046" s="1797">
        <v>0</v>
      </c>
      <c r="G1046" s="1999" t="s">
        <v>5534</v>
      </c>
      <c r="H1046" s="1794">
        <v>0</v>
      </c>
      <c r="I1046" s="1794">
        <v>0</v>
      </c>
      <c r="J1046" s="2000">
        <v>0</v>
      </c>
      <c r="K1046" s="1798"/>
      <c r="L1046" s="1792">
        <v>13089023309</v>
      </c>
      <c r="M1046" s="1793">
        <v>0</v>
      </c>
      <c r="N1046" s="1793">
        <v>0</v>
      </c>
      <c r="O1046" s="1793">
        <v>0</v>
      </c>
    </row>
    <row r="1047" spans="3:15">
      <c r="C1047" s="1799" t="s">
        <v>5535</v>
      </c>
      <c r="D1047" s="1796">
        <v>0</v>
      </c>
      <c r="E1047" s="1796">
        <v>0</v>
      </c>
      <c r="F1047" s="1797">
        <v>0</v>
      </c>
      <c r="G1047" s="1999" t="s">
        <v>5535</v>
      </c>
      <c r="H1047" s="1794">
        <v>0</v>
      </c>
      <c r="I1047" s="1794">
        <v>0</v>
      </c>
      <c r="J1047" s="2000">
        <v>0</v>
      </c>
      <c r="K1047" s="1798"/>
      <c r="L1047" s="1792">
        <v>13089023310</v>
      </c>
      <c r="M1047" s="1793">
        <v>0</v>
      </c>
      <c r="N1047" s="1793">
        <v>0</v>
      </c>
      <c r="O1047" s="1793">
        <v>0</v>
      </c>
    </row>
    <row r="1048" spans="3:15">
      <c r="C1048" s="1799" t="s">
        <v>5536</v>
      </c>
      <c r="D1048" s="1796">
        <v>1</v>
      </c>
      <c r="E1048" s="1796">
        <v>0</v>
      </c>
      <c r="F1048" s="1797">
        <v>1</v>
      </c>
      <c r="G1048" s="1999" t="s">
        <v>5536</v>
      </c>
      <c r="H1048" s="1794">
        <v>1</v>
      </c>
      <c r="I1048" s="1794">
        <v>0</v>
      </c>
      <c r="J1048" s="2000">
        <v>1</v>
      </c>
      <c r="K1048" s="1798"/>
      <c r="L1048" s="1792">
        <v>13089023311</v>
      </c>
      <c r="M1048" s="1793">
        <v>1</v>
      </c>
      <c r="N1048" s="1793">
        <v>0</v>
      </c>
      <c r="O1048" s="1793">
        <v>1</v>
      </c>
    </row>
    <row r="1049" spans="3:15">
      <c r="C1049" s="1799" t="s">
        <v>5537</v>
      </c>
      <c r="D1049" s="1796">
        <v>0</v>
      </c>
      <c r="E1049" s="1796">
        <v>0</v>
      </c>
      <c r="F1049" s="1797">
        <v>0</v>
      </c>
      <c r="G1049" s="1999" t="s">
        <v>5537</v>
      </c>
      <c r="H1049" s="1794">
        <v>0</v>
      </c>
      <c r="I1049" s="1794">
        <v>0</v>
      </c>
      <c r="J1049" s="2000">
        <v>0</v>
      </c>
      <c r="K1049" s="1798"/>
      <c r="L1049" s="1792">
        <v>13089023312</v>
      </c>
      <c r="M1049" s="1793">
        <v>0</v>
      </c>
      <c r="N1049" s="1793">
        <v>0</v>
      </c>
      <c r="O1049" s="1793">
        <v>0</v>
      </c>
    </row>
    <row r="1050" spans="3:15">
      <c r="C1050" s="1799" t="s">
        <v>5538</v>
      </c>
      <c r="D1050" s="1796">
        <v>0</v>
      </c>
      <c r="E1050" s="1796">
        <v>0</v>
      </c>
      <c r="F1050" s="1797">
        <v>0</v>
      </c>
      <c r="G1050" s="1999" t="s">
        <v>5538</v>
      </c>
      <c r="H1050" s="1794">
        <v>0</v>
      </c>
      <c r="I1050" s="1794">
        <v>0</v>
      </c>
      <c r="J1050" s="2000">
        <v>0</v>
      </c>
      <c r="K1050" s="1798"/>
      <c r="L1050" s="1792">
        <v>13089023313</v>
      </c>
      <c r="M1050" s="1793">
        <v>0</v>
      </c>
      <c r="N1050" s="1793">
        <v>0</v>
      </c>
      <c r="O1050" s="1793">
        <v>0</v>
      </c>
    </row>
    <row r="1051" spans="3:15">
      <c r="C1051" s="1799" t="s">
        <v>5539</v>
      </c>
      <c r="D1051" s="1796">
        <v>0</v>
      </c>
      <c r="E1051" s="1796">
        <v>0</v>
      </c>
      <c r="F1051" s="1797">
        <v>0</v>
      </c>
      <c r="G1051" s="1999" t="s">
        <v>5539</v>
      </c>
      <c r="H1051" s="1794">
        <v>0</v>
      </c>
      <c r="I1051" s="1794">
        <v>0</v>
      </c>
      <c r="J1051" s="2000">
        <v>0</v>
      </c>
      <c r="K1051" s="1798"/>
      <c r="L1051" s="1792">
        <v>13089023314</v>
      </c>
      <c r="M1051" s="1793">
        <v>0</v>
      </c>
      <c r="N1051" s="1793">
        <v>0</v>
      </c>
      <c r="O1051" s="1793">
        <v>0</v>
      </c>
    </row>
    <row r="1052" spans="3:15">
      <c r="C1052" s="1799" t="s">
        <v>5540</v>
      </c>
      <c r="D1052" s="1796">
        <v>1</v>
      </c>
      <c r="E1052" s="1796">
        <v>1</v>
      </c>
      <c r="F1052" s="1797">
        <v>2</v>
      </c>
      <c r="G1052" s="1999" t="s">
        <v>5540</v>
      </c>
      <c r="H1052" s="1794">
        <v>1</v>
      </c>
      <c r="I1052" s="1794">
        <v>0</v>
      </c>
      <c r="J1052" s="2000">
        <v>1</v>
      </c>
      <c r="K1052" s="1798"/>
      <c r="L1052" s="1792">
        <v>13089023315</v>
      </c>
      <c r="M1052" s="1793">
        <v>1</v>
      </c>
      <c r="N1052" s="1793">
        <v>1</v>
      </c>
      <c r="O1052" s="1793">
        <v>2</v>
      </c>
    </row>
    <row r="1053" spans="3:15">
      <c r="C1053" s="1799" t="s">
        <v>5541</v>
      </c>
      <c r="D1053" s="1796">
        <v>0</v>
      </c>
      <c r="E1053" s="1796">
        <v>0</v>
      </c>
      <c r="F1053" s="1797">
        <v>0</v>
      </c>
      <c r="G1053" s="1999" t="s">
        <v>5541</v>
      </c>
      <c r="H1053" s="1794">
        <v>1</v>
      </c>
      <c r="I1053" s="1794">
        <v>1</v>
      </c>
      <c r="J1053" s="2000">
        <v>1</v>
      </c>
      <c r="K1053" s="1798"/>
      <c r="L1053" s="1792">
        <v>13089023316</v>
      </c>
      <c r="M1053" s="1793">
        <v>1</v>
      </c>
      <c r="N1053" s="1793">
        <v>1</v>
      </c>
      <c r="O1053" s="1793">
        <v>1</v>
      </c>
    </row>
    <row r="1054" spans="3:15">
      <c r="C1054" s="1799" t="s">
        <v>5542</v>
      </c>
      <c r="D1054" s="1796">
        <v>0</v>
      </c>
      <c r="E1054" s="1796">
        <v>0</v>
      </c>
      <c r="F1054" s="1797">
        <v>0</v>
      </c>
      <c r="G1054" s="1999" t="s">
        <v>5542</v>
      </c>
      <c r="H1054" s="1794">
        <v>0</v>
      </c>
      <c r="I1054" s="1794">
        <v>0</v>
      </c>
      <c r="J1054" s="2000">
        <v>0</v>
      </c>
      <c r="K1054" s="1798"/>
      <c r="L1054" s="1792">
        <v>13089023410</v>
      </c>
      <c r="M1054" s="1793">
        <v>0</v>
      </c>
      <c r="N1054" s="1793">
        <v>0</v>
      </c>
      <c r="O1054" s="1793">
        <v>0</v>
      </c>
    </row>
    <row r="1055" spans="3:15">
      <c r="C1055" s="1799" t="s">
        <v>5543</v>
      </c>
      <c r="D1055" s="1796">
        <v>0</v>
      </c>
      <c r="E1055" s="1796">
        <v>0</v>
      </c>
      <c r="F1055" s="1797">
        <v>0</v>
      </c>
      <c r="G1055" s="1999" t="s">
        <v>5543</v>
      </c>
      <c r="H1055" s="1794">
        <v>0</v>
      </c>
      <c r="I1055" s="1794" t="s">
        <v>4483</v>
      </c>
      <c r="J1055" s="2000">
        <v>0</v>
      </c>
      <c r="K1055" s="1798"/>
      <c r="L1055" s="1792">
        <v>13089023411</v>
      </c>
      <c r="M1055" s="1793">
        <v>0</v>
      </c>
      <c r="N1055" s="1793">
        <v>0</v>
      </c>
      <c r="O1055" s="1793">
        <v>0</v>
      </c>
    </row>
    <row r="1056" spans="3:15">
      <c r="C1056" s="1799" t="s">
        <v>5544</v>
      </c>
      <c r="D1056" s="1796">
        <v>0</v>
      </c>
      <c r="E1056" s="1796">
        <v>0</v>
      </c>
      <c r="F1056" s="1797">
        <v>0</v>
      </c>
      <c r="G1056" s="1999" t="s">
        <v>5544</v>
      </c>
      <c r="H1056" s="1794">
        <v>0</v>
      </c>
      <c r="I1056" s="1794">
        <v>0</v>
      </c>
      <c r="J1056" s="2000">
        <v>0</v>
      </c>
      <c r="K1056" s="1798"/>
      <c r="L1056" s="1792">
        <v>13089023412</v>
      </c>
      <c r="M1056" s="1793">
        <v>0</v>
      </c>
      <c r="N1056" s="1793">
        <v>0</v>
      </c>
      <c r="O1056" s="1793">
        <v>0</v>
      </c>
    </row>
    <row r="1057" spans="3:15">
      <c r="C1057" s="1799" t="s">
        <v>5545</v>
      </c>
      <c r="D1057" s="1796">
        <v>0</v>
      </c>
      <c r="E1057" s="1796">
        <v>0</v>
      </c>
      <c r="F1057" s="1797">
        <v>0</v>
      </c>
      <c r="G1057" s="1999" t="s">
        <v>5545</v>
      </c>
      <c r="H1057" s="1794">
        <v>0</v>
      </c>
      <c r="I1057" s="1794">
        <v>1</v>
      </c>
      <c r="J1057" s="2000">
        <v>0</v>
      </c>
      <c r="K1057" s="1798"/>
      <c r="L1057" s="1792">
        <v>13089023413</v>
      </c>
      <c r="M1057" s="1793">
        <v>0</v>
      </c>
      <c r="N1057" s="1793">
        <v>1</v>
      </c>
      <c r="O1057" s="1793">
        <v>0</v>
      </c>
    </row>
    <row r="1058" spans="3:15">
      <c r="C1058" s="1799" t="s">
        <v>5546</v>
      </c>
      <c r="D1058" s="1796">
        <v>0</v>
      </c>
      <c r="E1058" s="1796">
        <v>0</v>
      </c>
      <c r="F1058" s="1797">
        <v>0</v>
      </c>
      <c r="G1058" s="1999" t="s">
        <v>5546</v>
      </c>
      <c r="H1058" s="1794">
        <v>1</v>
      </c>
      <c r="I1058" s="1794">
        <v>1</v>
      </c>
      <c r="J1058" s="2000">
        <v>2</v>
      </c>
      <c r="K1058" s="1798"/>
      <c r="L1058" s="1792">
        <v>13089023414</v>
      </c>
      <c r="M1058" s="1793">
        <v>1</v>
      </c>
      <c r="N1058" s="1793">
        <v>1</v>
      </c>
      <c r="O1058" s="1793">
        <v>2</v>
      </c>
    </row>
    <row r="1059" spans="3:15">
      <c r="C1059" s="1799" t="s">
        <v>5547</v>
      </c>
      <c r="D1059" s="1796">
        <v>0</v>
      </c>
      <c r="E1059" s="1796">
        <v>0</v>
      </c>
      <c r="F1059" s="1797">
        <v>0</v>
      </c>
      <c r="G1059" s="1999" t="s">
        <v>5547</v>
      </c>
      <c r="H1059" s="1794">
        <v>0</v>
      </c>
      <c r="I1059" s="1794">
        <v>1</v>
      </c>
      <c r="J1059" s="2000">
        <v>1</v>
      </c>
      <c r="K1059" s="1798"/>
      <c r="L1059" s="1792">
        <v>13089023416</v>
      </c>
      <c r="M1059" s="1793">
        <v>0</v>
      </c>
      <c r="N1059" s="1793">
        <v>1</v>
      </c>
      <c r="O1059" s="1793">
        <v>1</v>
      </c>
    </row>
    <row r="1060" spans="3:15">
      <c r="C1060" s="1799" t="s">
        <v>5548</v>
      </c>
      <c r="D1060" s="1796">
        <v>0</v>
      </c>
      <c r="E1060" s="1796">
        <v>0</v>
      </c>
      <c r="F1060" s="1797">
        <v>0</v>
      </c>
      <c r="G1060" s="1999" t="s">
        <v>5548</v>
      </c>
      <c r="H1060" s="1794">
        <v>0</v>
      </c>
      <c r="I1060" s="1794">
        <v>0</v>
      </c>
      <c r="J1060" s="2000">
        <v>0</v>
      </c>
      <c r="K1060" s="1798"/>
      <c r="L1060" s="1792">
        <v>13089023418</v>
      </c>
      <c r="M1060" s="1793">
        <v>0</v>
      </c>
      <c r="N1060" s="1793">
        <v>0</v>
      </c>
      <c r="O1060" s="1793">
        <v>0</v>
      </c>
    </row>
    <row r="1061" spans="3:15">
      <c r="C1061" s="1799" t="s">
        <v>5549</v>
      </c>
      <c r="D1061" s="1796">
        <v>0</v>
      </c>
      <c r="E1061" s="1796">
        <v>0</v>
      </c>
      <c r="F1061" s="1797">
        <v>0</v>
      </c>
      <c r="G1061" s="1999" t="s">
        <v>5549</v>
      </c>
      <c r="H1061" s="1794">
        <v>1</v>
      </c>
      <c r="I1061" s="1794">
        <v>1</v>
      </c>
      <c r="J1061" s="2000">
        <v>2</v>
      </c>
      <c r="K1061" s="1798"/>
      <c r="L1061" s="1792">
        <v>13089023419</v>
      </c>
      <c r="M1061" s="1793">
        <v>1</v>
      </c>
      <c r="N1061" s="1793">
        <v>1</v>
      </c>
      <c r="O1061" s="1793">
        <v>2</v>
      </c>
    </row>
    <row r="1062" spans="3:15">
      <c r="C1062" s="1799" t="s">
        <v>5550</v>
      </c>
      <c r="D1062" s="1796">
        <v>0</v>
      </c>
      <c r="E1062" s="1796">
        <v>0</v>
      </c>
      <c r="F1062" s="1797">
        <v>0</v>
      </c>
      <c r="G1062" s="1999" t="s">
        <v>5550</v>
      </c>
      <c r="H1062" s="1794">
        <v>0</v>
      </c>
      <c r="I1062" s="1794">
        <v>0</v>
      </c>
      <c r="J1062" s="2000">
        <v>0</v>
      </c>
      <c r="K1062" s="1798"/>
      <c r="L1062" s="1792">
        <v>13089023421</v>
      </c>
      <c r="M1062" s="1793">
        <v>0</v>
      </c>
      <c r="N1062" s="1793">
        <v>0</v>
      </c>
      <c r="O1062" s="1793">
        <v>0</v>
      </c>
    </row>
    <row r="1063" spans="3:15">
      <c r="C1063" s="1799" t="s">
        <v>5551</v>
      </c>
      <c r="D1063" s="1796">
        <v>0</v>
      </c>
      <c r="E1063" s="1796">
        <v>0</v>
      </c>
      <c r="F1063" s="1797">
        <v>0</v>
      </c>
      <c r="G1063" s="1999" t="s">
        <v>5551</v>
      </c>
      <c r="H1063" s="1794">
        <v>0</v>
      </c>
      <c r="I1063" s="1794">
        <v>0</v>
      </c>
      <c r="J1063" s="2000">
        <v>0</v>
      </c>
      <c r="K1063" s="1798"/>
      <c r="L1063" s="1792">
        <v>13089023422</v>
      </c>
      <c r="M1063" s="1793">
        <v>0</v>
      </c>
      <c r="N1063" s="1793">
        <v>0</v>
      </c>
      <c r="O1063" s="1793">
        <v>0</v>
      </c>
    </row>
    <row r="1064" spans="3:15">
      <c r="C1064" s="1799" t="s">
        <v>5552</v>
      </c>
      <c r="D1064" s="1796">
        <v>0</v>
      </c>
      <c r="E1064" s="1796">
        <v>0</v>
      </c>
      <c r="F1064" s="1797">
        <v>0</v>
      </c>
      <c r="G1064" s="1999" t="s">
        <v>5552</v>
      </c>
      <c r="H1064" s="1794">
        <v>1</v>
      </c>
      <c r="I1064" s="1794">
        <v>0</v>
      </c>
      <c r="J1064" s="2000">
        <v>1</v>
      </c>
      <c r="K1064" s="1798"/>
      <c r="L1064" s="1792">
        <v>13089023423</v>
      </c>
      <c r="M1064" s="1793">
        <v>1</v>
      </c>
      <c r="N1064" s="1793">
        <v>0</v>
      </c>
      <c r="O1064" s="1793">
        <v>1</v>
      </c>
    </row>
    <row r="1065" spans="3:15">
      <c r="C1065" s="1799" t="s">
        <v>5553</v>
      </c>
      <c r="D1065" s="1796">
        <v>0</v>
      </c>
      <c r="E1065" s="1796">
        <v>0</v>
      </c>
      <c r="F1065" s="1797">
        <v>0</v>
      </c>
      <c r="G1065" s="1999" t="s">
        <v>5553</v>
      </c>
      <c r="H1065" s="1794">
        <v>0</v>
      </c>
      <c r="I1065" s="1794">
        <v>1</v>
      </c>
      <c r="J1065" s="2000">
        <v>1</v>
      </c>
      <c r="K1065" s="1798"/>
      <c r="L1065" s="1792">
        <v>13089023424</v>
      </c>
      <c r="M1065" s="1793">
        <v>0</v>
      </c>
      <c r="N1065" s="1793">
        <v>1</v>
      </c>
      <c r="O1065" s="1793">
        <v>1</v>
      </c>
    </row>
    <row r="1066" spans="3:15">
      <c r="C1066" s="1799" t="s">
        <v>5554</v>
      </c>
      <c r="D1066" s="1796">
        <v>0</v>
      </c>
      <c r="E1066" s="1796">
        <v>0</v>
      </c>
      <c r="F1066" s="1797">
        <v>0</v>
      </c>
      <c r="G1066" s="1999" t="s">
        <v>5554</v>
      </c>
      <c r="H1066" s="1794">
        <v>0</v>
      </c>
      <c r="I1066" s="1794">
        <v>1</v>
      </c>
      <c r="J1066" s="2000">
        <v>1</v>
      </c>
      <c r="K1066" s="1798"/>
      <c r="L1066" s="1792">
        <v>13089023425</v>
      </c>
      <c r="M1066" s="1793">
        <v>0</v>
      </c>
      <c r="N1066" s="1793">
        <v>1</v>
      </c>
      <c r="O1066" s="1793">
        <v>1</v>
      </c>
    </row>
    <row r="1067" spans="3:15">
      <c r="C1067" s="1799" t="s">
        <v>5555</v>
      </c>
      <c r="D1067" s="1796">
        <v>1</v>
      </c>
      <c r="E1067" s="1796">
        <v>0</v>
      </c>
      <c r="F1067" s="1797">
        <v>1</v>
      </c>
      <c r="G1067" s="1999" t="s">
        <v>5555</v>
      </c>
      <c r="H1067" s="1794">
        <v>1</v>
      </c>
      <c r="I1067" s="1794">
        <v>1</v>
      </c>
      <c r="J1067" s="2000">
        <v>2</v>
      </c>
      <c r="K1067" s="1798"/>
      <c r="L1067" s="1792">
        <v>13089023426</v>
      </c>
      <c r="M1067" s="1793">
        <v>1</v>
      </c>
      <c r="N1067" s="1793">
        <v>1</v>
      </c>
      <c r="O1067" s="1793">
        <v>2</v>
      </c>
    </row>
    <row r="1068" spans="3:15">
      <c r="C1068" s="1799" t="s">
        <v>5556</v>
      </c>
      <c r="D1068" s="1796">
        <v>1</v>
      </c>
      <c r="E1068" s="1796">
        <v>0</v>
      </c>
      <c r="F1068" s="1797">
        <v>1</v>
      </c>
      <c r="G1068" s="1999" t="s">
        <v>5556</v>
      </c>
      <c r="H1068" s="1794">
        <v>1</v>
      </c>
      <c r="I1068" s="1794">
        <v>0</v>
      </c>
      <c r="J1068" s="2000">
        <v>1</v>
      </c>
      <c r="K1068" s="1798"/>
      <c r="L1068" s="1792">
        <v>13089023427</v>
      </c>
      <c r="M1068" s="1793">
        <v>1</v>
      </c>
      <c r="N1068" s="1793">
        <v>0</v>
      </c>
      <c r="O1068" s="1793">
        <v>1</v>
      </c>
    </row>
    <row r="1069" spans="3:15">
      <c r="C1069" s="1799" t="s">
        <v>5557</v>
      </c>
      <c r="D1069" s="1796">
        <v>0</v>
      </c>
      <c r="E1069" s="1796">
        <v>0</v>
      </c>
      <c r="F1069" s="1797">
        <v>0</v>
      </c>
      <c r="G1069" s="1999" t="s">
        <v>5557</v>
      </c>
      <c r="H1069" s="1794">
        <v>0</v>
      </c>
      <c r="I1069" s="1794">
        <v>0</v>
      </c>
      <c r="J1069" s="2000">
        <v>0</v>
      </c>
      <c r="K1069" s="1798"/>
      <c r="L1069" s="1792">
        <v>13089023428</v>
      </c>
      <c r="M1069" s="1793">
        <v>0</v>
      </c>
      <c r="N1069" s="1793">
        <v>0</v>
      </c>
      <c r="O1069" s="1793">
        <v>0</v>
      </c>
    </row>
    <row r="1070" spans="3:15">
      <c r="C1070" s="1799" t="s">
        <v>5558</v>
      </c>
      <c r="D1070" s="1796">
        <v>0</v>
      </c>
      <c r="E1070" s="1796">
        <v>0</v>
      </c>
      <c r="F1070" s="1797">
        <v>0</v>
      </c>
      <c r="G1070" s="1999" t="s">
        <v>5558</v>
      </c>
      <c r="H1070" s="1794">
        <v>0</v>
      </c>
      <c r="I1070" s="1794">
        <v>0</v>
      </c>
      <c r="J1070" s="2000">
        <v>0</v>
      </c>
      <c r="K1070" s="1798"/>
      <c r="L1070" s="1792">
        <v>13089023501</v>
      </c>
      <c r="M1070" s="1793">
        <v>0</v>
      </c>
      <c r="N1070" s="1793">
        <v>0</v>
      </c>
      <c r="O1070" s="1793">
        <v>0</v>
      </c>
    </row>
    <row r="1071" spans="3:15">
      <c r="C1071" s="1799" t="s">
        <v>5559</v>
      </c>
      <c r="D1071" s="1796">
        <v>0</v>
      </c>
      <c r="E1071" s="1796">
        <v>0</v>
      </c>
      <c r="F1071" s="1797">
        <v>0</v>
      </c>
      <c r="G1071" s="1999" t="s">
        <v>5559</v>
      </c>
      <c r="H1071" s="1794">
        <v>0</v>
      </c>
      <c r="I1071" s="1794">
        <v>0</v>
      </c>
      <c r="J1071" s="2000">
        <v>0</v>
      </c>
      <c r="K1071" s="1798"/>
      <c r="L1071" s="1792">
        <v>13089023504</v>
      </c>
      <c r="M1071" s="1793">
        <v>0</v>
      </c>
      <c r="N1071" s="1793">
        <v>0</v>
      </c>
      <c r="O1071" s="1793">
        <v>0</v>
      </c>
    </row>
    <row r="1072" spans="3:15">
      <c r="C1072" s="1799" t="s">
        <v>5560</v>
      </c>
      <c r="D1072" s="1796">
        <v>0</v>
      </c>
      <c r="E1072" s="1796">
        <v>0</v>
      </c>
      <c r="F1072" s="1797">
        <v>0</v>
      </c>
      <c r="G1072" s="1999" t="s">
        <v>5560</v>
      </c>
      <c r="H1072" s="1794">
        <v>0</v>
      </c>
      <c r="I1072" s="1794">
        <v>0</v>
      </c>
      <c r="J1072" s="2000">
        <v>0</v>
      </c>
      <c r="K1072" s="1798"/>
      <c r="L1072" s="1792">
        <v>13089023505</v>
      </c>
      <c r="M1072" s="1793">
        <v>0</v>
      </c>
      <c r="N1072" s="1793">
        <v>0</v>
      </c>
      <c r="O1072" s="1793">
        <v>0</v>
      </c>
    </row>
    <row r="1073" spans="3:15">
      <c r="C1073" s="1799" t="s">
        <v>5561</v>
      </c>
      <c r="D1073" s="1796">
        <v>0</v>
      </c>
      <c r="E1073" s="1796">
        <v>0</v>
      </c>
      <c r="F1073" s="1797">
        <v>0</v>
      </c>
      <c r="G1073" s="1999" t="s">
        <v>5561</v>
      </c>
      <c r="H1073" s="1794">
        <v>0</v>
      </c>
      <c r="I1073" s="1794">
        <v>0</v>
      </c>
      <c r="J1073" s="2000">
        <v>0</v>
      </c>
      <c r="K1073" s="1798"/>
      <c r="L1073" s="1792">
        <v>13089023506</v>
      </c>
      <c r="M1073" s="1793">
        <v>0</v>
      </c>
      <c r="N1073" s="1793">
        <v>0</v>
      </c>
      <c r="O1073" s="1793">
        <v>0</v>
      </c>
    </row>
    <row r="1074" spans="3:15">
      <c r="C1074" s="1799" t="s">
        <v>5562</v>
      </c>
      <c r="D1074" s="1796">
        <v>0</v>
      </c>
      <c r="E1074" s="1796">
        <v>0</v>
      </c>
      <c r="F1074" s="1797">
        <v>0</v>
      </c>
      <c r="G1074" s="1999" t="s">
        <v>5562</v>
      </c>
      <c r="H1074" s="1794">
        <v>0</v>
      </c>
      <c r="I1074" s="1794">
        <v>1</v>
      </c>
      <c r="J1074" s="2000">
        <v>1</v>
      </c>
      <c r="K1074" s="1798"/>
      <c r="L1074" s="1792">
        <v>13089023507</v>
      </c>
      <c r="M1074" s="1793">
        <v>0</v>
      </c>
      <c r="N1074" s="1793">
        <v>1</v>
      </c>
      <c r="O1074" s="1793">
        <v>1</v>
      </c>
    </row>
    <row r="1075" spans="3:15">
      <c r="C1075" s="1799" t="s">
        <v>5563</v>
      </c>
      <c r="D1075" s="1796">
        <v>0</v>
      </c>
      <c r="E1075" s="1796">
        <v>0</v>
      </c>
      <c r="F1075" s="1797">
        <v>0</v>
      </c>
      <c r="G1075" s="1999" t="s">
        <v>5563</v>
      </c>
      <c r="H1075" s="1794">
        <v>0</v>
      </c>
      <c r="I1075" s="1794">
        <v>0</v>
      </c>
      <c r="J1075" s="2000">
        <v>0</v>
      </c>
      <c r="K1075" s="1798"/>
      <c r="L1075" s="1792">
        <v>13089023601</v>
      </c>
      <c r="M1075" s="1793">
        <v>0</v>
      </c>
      <c r="N1075" s="1793">
        <v>0</v>
      </c>
      <c r="O1075" s="1793">
        <v>0</v>
      </c>
    </row>
    <row r="1076" spans="3:15">
      <c r="C1076" s="1799" t="s">
        <v>5564</v>
      </c>
      <c r="D1076" s="1796">
        <v>0</v>
      </c>
      <c r="E1076" s="1796">
        <v>0</v>
      </c>
      <c r="F1076" s="1797">
        <v>0</v>
      </c>
      <c r="G1076" s="1999" t="s">
        <v>5564</v>
      </c>
      <c r="H1076" s="1794">
        <v>0</v>
      </c>
      <c r="I1076" s="1794">
        <v>0</v>
      </c>
      <c r="J1076" s="2000">
        <v>0</v>
      </c>
      <c r="K1076" s="1798"/>
      <c r="L1076" s="1792">
        <v>13089023602</v>
      </c>
      <c r="M1076" s="1793">
        <v>0</v>
      </c>
      <c r="N1076" s="1793">
        <v>0</v>
      </c>
      <c r="O1076" s="1793">
        <v>0</v>
      </c>
    </row>
    <row r="1077" spans="3:15">
      <c r="C1077" s="1799" t="s">
        <v>5565</v>
      </c>
      <c r="D1077" s="1796">
        <v>0</v>
      </c>
      <c r="E1077" s="1796">
        <v>0</v>
      </c>
      <c r="F1077" s="1797">
        <v>0</v>
      </c>
      <c r="G1077" s="1999" t="s">
        <v>5565</v>
      </c>
      <c r="H1077" s="1794">
        <v>0</v>
      </c>
      <c r="I1077" s="1794">
        <v>0</v>
      </c>
      <c r="J1077" s="2000">
        <v>0</v>
      </c>
      <c r="K1077" s="1798"/>
      <c r="L1077" s="1792">
        <v>13089023603</v>
      </c>
      <c r="M1077" s="1793">
        <v>0</v>
      </c>
      <c r="N1077" s="1793">
        <v>0</v>
      </c>
      <c r="O1077" s="1793">
        <v>0</v>
      </c>
    </row>
    <row r="1078" spans="3:15">
      <c r="C1078" s="1799" t="s">
        <v>5566</v>
      </c>
      <c r="D1078" s="1796">
        <v>0</v>
      </c>
      <c r="E1078" s="1796">
        <v>0</v>
      </c>
      <c r="F1078" s="1797">
        <v>0</v>
      </c>
      <c r="G1078" s="1999" t="s">
        <v>5566</v>
      </c>
      <c r="H1078" s="1794">
        <v>0</v>
      </c>
      <c r="I1078" s="1794" t="s">
        <v>4483</v>
      </c>
      <c r="J1078" s="2000">
        <v>0</v>
      </c>
      <c r="K1078" s="1798"/>
      <c r="L1078" s="1792">
        <v>13089023700</v>
      </c>
      <c r="M1078" s="1793">
        <v>0</v>
      </c>
      <c r="N1078" s="1793">
        <v>0</v>
      </c>
      <c r="O1078" s="1793">
        <v>0</v>
      </c>
    </row>
    <row r="1079" spans="3:15">
      <c r="C1079" s="1799" t="s">
        <v>5567</v>
      </c>
      <c r="D1079" s="1796">
        <v>1</v>
      </c>
      <c r="E1079" s="1796">
        <v>0</v>
      </c>
      <c r="F1079" s="1797">
        <v>1</v>
      </c>
      <c r="G1079" s="1999" t="s">
        <v>5567</v>
      </c>
      <c r="H1079" s="1794">
        <v>1</v>
      </c>
      <c r="I1079" s="1794">
        <v>0</v>
      </c>
      <c r="J1079" s="2000">
        <v>1</v>
      </c>
      <c r="K1079" s="1798"/>
      <c r="L1079" s="1792">
        <v>13089023801</v>
      </c>
      <c r="M1079" s="1793">
        <v>1</v>
      </c>
      <c r="N1079" s="1793">
        <v>0</v>
      </c>
      <c r="O1079" s="1793">
        <v>1</v>
      </c>
    </row>
    <row r="1080" spans="3:15">
      <c r="C1080" s="1799" t="s">
        <v>5568</v>
      </c>
      <c r="D1080" s="1796">
        <v>0</v>
      </c>
      <c r="E1080" s="1796">
        <v>0</v>
      </c>
      <c r="F1080" s="1797">
        <v>0</v>
      </c>
      <c r="G1080" s="1999" t="s">
        <v>5568</v>
      </c>
      <c r="H1080" s="1794">
        <v>0</v>
      </c>
      <c r="I1080" s="1794">
        <v>0</v>
      </c>
      <c r="J1080" s="2000">
        <v>0</v>
      </c>
      <c r="K1080" s="1798"/>
      <c r="L1080" s="1792">
        <v>13089023802</v>
      </c>
      <c r="M1080" s="1793">
        <v>0</v>
      </c>
      <c r="N1080" s="1793">
        <v>0</v>
      </c>
      <c r="O1080" s="1793">
        <v>0</v>
      </c>
    </row>
    <row r="1081" spans="3:15">
      <c r="C1081" s="1799" t="s">
        <v>5569</v>
      </c>
      <c r="D1081" s="1796">
        <v>0</v>
      </c>
      <c r="E1081" s="1796">
        <v>0</v>
      </c>
      <c r="F1081" s="1797">
        <v>0</v>
      </c>
      <c r="G1081" s="1999" t="s">
        <v>5569</v>
      </c>
      <c r="H1081" s="1794">
        <v>0</v>
      </c>
      <c r="I1081" s="1794">
        <v>0</v>
      </c>
      <c r="J1081" s="2000">
        <v>0</v>
      </c>
      <c r="K1081" s="1798"/>
      <c r="L1081" s="1792">
        <v>13089023803</v>
      </c>
      <c r="M1081" s="1793">
        <v>0</v>
      </c>
      <c r="N1081" s="1793">
        <v>0</v>
      </c>
      <c r="O1081" s="1793">
        <v>0</v>
      </c>
    </row>
    <row r="1082" spans="3:15">
      <c r="C1082" s="1799" t="s">
        <v>5570</v>
      </c>
      <c r="D1082" s="1796" t="s">
        <v>4483</v>
      </c>
      <c r="E1082" s="1796" t="s">
        <v>4483</v>
      </c>
      <c r="F1082" s="1797">
        <v>0</v>
      </c>
      <c r="G1082" s="1999" t="s">
        <v>5570</v>
      </c>
      <c r="H1082" s="1794" t="s">
        <v>4483</v>
      </c>
      <c r="I1082" s="1794" t="s">
        <v>4483</v>
      </c>
      <c r="J1082" s="2000">
        <v>0</v>
      </c>
      <c r="K1082" s="1798"/>
      <c r="L1082" s="1792">
        <v>13089980000</v>
      </c>
      <c r="M1082" s="1793">
        <v>0</v>
      </c>
      <c r="N1082" s="1793">
        <v>0</v>
      </c>
      <c r="O1082" s="1793">
        <v>0</v>
      </c>
    </row>
    <row r="1083" spans="3:15">
      <c r="C1083" s="1799" t="s">
        <v>5571</v>
      </c>
      <c r="D1083" s="1796">
        <v>0</v>
      </c>
      <c r="E1083" s="1796">
        <v>0</v>
      </c>
      <c r="F1083" s="1797">
        <v>0</v>
      </c>
      <c r="G1083" s="1999" t="s">
        <v>5571</v>
      </c>
      <c r="H1083" s="1794">
        <v>0</v>
      </c>
      <c r="I1083" s="1794">
        <v>1</v>
      </c>
      <c r="J1083" s="2000">
        <v>1</v>
      </c>
      <c r="K1083" s="1798"/>
      <c r="L1083" s="1792">
        <v>13091960100</v>
      </c>
      <c r="M1083" s="1793">
        <v>0</v>
      </c>
      <c r="N1083" s="1793">
        <v>1</v>
      </c>
      <c r="O1083" s="1793">
        <v>1</v>
      </c>
    </row>
    <row r="1084" spans="3:15">
      <c r="C1084" s="1799" t="s">
        <v>5572</v>
      </c>
      <c r="D1084" s="1796">
        <v>0</v>
      </c>
      <c r="E1084" s="1796">
        <v>0</v>
      </c>
      <c r="F1084" s="1797">
        <v>0</v>
      </c>
      <c r="G1084" s="1999" t="s">
        <v>5572</v>
      </c>
      <c r="H1084" s="1794">
        <v>0</v>
      </c>
      <c r="I1084" s="1794">
        <v>0</v>
      </c>
      <c r="J1084" s="2000">
        <v>0</v>
      </c>
      <c r="K1084" s="1798"/>
      <c r="L1084" s="1792">
        <v>13091960200</v>
      </c>
      <c r="M1084" s="1793">
        <v>0</v>
      </c>
      <c r="N1084" s="1793">
        <v>0</v>
      </c>
      <c r="O1084" s="1793">
        <v>0</v>
      </c>
    </row>
    <row r="1085" spans="3:15">
      <c r="C1085" s="1799" t="s">
        <v>5573</v>
      </c>
      <c r="D1085" s="1796">
        <v>0</v>
      </c>
      <c r="E1085" s="1796">
        <v>1</v>
      </c>
      <c r="F1085" s="1797">
        <v>1</v>
      </c>
      <c r="G1085" s="1999" t="s">
        <v>5573</v>
      </c>
      <c r="H1085" s="1794">
        <v>0</v>
      </c>
      <c r="I1085" s="1794">
        <v>1</v>
      </c>
      <c r="J1085" s="2000">
        <v>1</v>
      </c>
      <c r="K1085" s="1798"/>
      <c r="L1085" s="1792">
        <v>13091960300</v>
      </c>
      <c r="M1085" s="1793">
        <v>0</v>
      </c>
      <c r="N1085" s="1793">
        <v>1</v>
      </c>
      <c r="O1085" s="1793">
        <v>1</v>
      </c>
    </row>
    <row r="1086" spans="3:15">
      <c r="C1086" s="1799" t="s">
        <v>5574</v>
      </c>
      <c r="D1086" s="1796">
        <v>0</v>
      </c>
      <c r="E1086" s="1796">
        <v>0</v>
      </c>
      <c r="F1086" s="1797">
        <v>0</v>
      </c>
      <c r="G1086" s="1999" t="s">
        <v>5574</v>
      </c>
      <c r="H1086" s="1794">
        <v>0</v>
      </c>
      <c r="I1086" s="1794">
        <v>0</v>
      </c>
      <c r="J1086" s="2000">
        <v>0</v>
      </c>
      <c r="K1086" s="1798"/>
      <c r="L1086" s="1792">
        <v>13091960400</v>
      </c>
      <c r="M1086" s="1793">
        <v>0</v>
      </c>
      <c r="N1086" s="1793">
        <v>0</v>
      </c>
      <c r="O1086" s="1793">
        <v>0</v>
      </c>
    </row>
    <row r="1087" spans="3:15">
      <c r="C1087" s="1799" t="s">
        <v>5575</v>
      </c>
      <c r="D1087" s="1796">
        <v>0</v>
      </c>
      <c r="E1087" s="1796">
        <v>0</v>
      </c>
      <c r="F1087" s="1797">
        <v>0</v>
      </c>
      <c r="G1087" s="1999" t="s">
        <v>5575</v>
      </c>
      <c r="H1087" s="1794">
        <v>0</v>
      </c>
      <c r="I1087" s="1794" t="s">
        <v>4483</v>
      </c>
      <c r="J1087" s="2000">
        <v>0</v>
      </c>
      <c r="K1087" s="1798"/>
      <c r="L1087" s="1792">
        <v>13091960500</v>
      </c>
      <c r="M1087" s="1793">
        <v>0</v>
      </c>
      <c r="N1087" s="1793">
        <v>0</v>
      </c>
      <c r="O1087" s="1793">
        <v>0</v>
      </c>
    </row>
    <row r="1088" spans="3:15">
      <c r="C1088" s="1799" t="s">
        <v>5576</v>
      </c>
      <c r="D1088" s="1796">
        <v>0</v>
      </c>
      <c r="E1088" s="1796">
        <v>0</v>
      </c>
      <c r="F1088" s="1797">
        <v>0</v>
      </c>
      <c r="G1088" s="1999" t="s">
        <v>5576</v>
      </c>
      <c r="H1088" s="1794">
        <v>0</v>
      </c>
      <c r="I1088" s="1794">
        <v>0</v>
      </c>
      <c r="J1088" s="2000">
        <v>0</v>
      </c>
      <c r="K1088" s="1798"/>
      <c r="L1088" s="1792">
        <v>13091960600</v>
      </c>
      <c r="M1088" s="1793">
        <v>0</v>
      </c>
      <c r="N1088" s="1793">
        <v>0</v>
      </c>
      <c r="O1088" s="1793">
        <v>0</v>
      </c>
    </row>
    <row r="1089" spans="3:15">
      <c r="C1089" s="1799" t="s">
        <v>5577</v>
      </c>
      <c r="D1089" s="1796">
        <v>0</v>
      </c>
      <c r="E1089" s="1796">
        <v>0</v>
      </c>
      <c r="F1089" s="1797">
        <v>0</v>
      </c>
      <c r="G1089" s="1999" t="s">
        <v>5577</v>
      </c>
      <c r="H1089" s="1794">
        <v>0</v>
      </c>
      <c r="I1089" s="1794">
        <v>1</v>
      </c>
      <c r="J1089" s="2000">
        <v>1</v>
      </c>
      <c r="K1089" s="1798"/>
      <c r="L1089" s="1792">
        <v>13093970100</v>
      </c>
      <c r="M1089" s="1793">
        <v>0</v>
      </c>
      <c r="N1089" s="1793">
        <v>1</v>
      </c>
      <c r="O1089" s="1793">
        <v>1</v>
      </c>
    </row>
    <row r="1090" spans="3:15">
      <c r="C1090" s="1799" t="s">
        <v>5578</v>
      </c>
      <c r="D1090" s="1796">
        <v>0</v>
      </c>
      <c r="E1090" s="1796">
        <v>0</v>
      </c>
      <c r="F1090" s="1797">
        <v>0</v>
      </c>
      <c r="G1090" s="1999" t="s">
        <v>5578</v>
      </c>
      <c r="H1090" s="1794">
        <v>0</v>
      </c>
      <c r="I1090" s="1794">
        <v>0</v>
      </c>
      <c r="J1090" s="2000">
        <v>0</v>
      </c>
      <c r="K1090" s="1798"/>
      <c r="L1090" s="1792">
        <v>13093970200</v>
      </c>
      <c r="M1090" s="1793">
        <v>0</v>
      </c>
      <c r="N1090" s="1793">
        <v>0</v>
      </c>
      <c r="O1090" s="1793">
        <v>0</v>
      </c>
    </row>
    <row r="1091" spans="3:15">
      <c r="C1091" s="1799" t="s">
        <v>5579</v>
      </c>
      <c r="D1091" s="1796">
        <v>0</v>
      </c>
      <c r="E1091" s="1796">
        <v>0</v>
      </c>
      <c r="F1091" s="1797">
        <v>0</v>
      </c>
      <c r="G1091" s="1999" t="s">
        <v>5579</v>
      </c>
      <c r="H1091" s="1794">
        <v>0</v>
      </c>
      <c r="I1091" s="1794">
        <v>1</v>
      </c>
      <c r="J1091" s="2000">
        <v>1</v>
      </c>
      <c r="K1091" s="1798"/>
      <c r="L1091" s="1792">
        <v>13093970300</v>
      </c>
      <c r="M1091" s="1793">
        <v>0</v>
      </c>
      <c r="N1091" s="1793">
        <v>1</v>
      </c>
      <c r="O1091" s="1793">
        <v>1</v>
      </c>
    </row>
    <row r="1092" spans="3:15">
      <c r="C1092" s="1799" t="s">
        <v>5580</v>
      </c>
      <c r="D1092" s="1796">
        <v>0</v>
      </c>
      <c r="E1092" s="1796">
        <v>0</v>
      </c>
      <c r="F1092" s="1797">
        <v>0</v>
      </c>
      <c r="G1092" s="1999" t="s">
        <v>5580</v>
      </c>
      <c r="H1092" s="1794">
        <v>0</v>
      </c>
      <c r="I1092" s="1794">
        <v>0</v>
      </c>
      <c r="J1092" s="2000">
        <v>0</v>
      </c>
      <c r="K1092" s="1798"/>
      <c r="L1092" s="1792">
        <v>13095000100</v>
      </c>
      <c r="M1092" s="1793">
        <v>0</v>
      </c>
      <c r="N1092" s="1793">
        <v>0</v>
      </c>
      <c r="O1092" s="1793">
        <v>0</v>
      </c>
    </row>
    <row r="1093" spans="3:15">
      <c r="C1093" s="1799" t="s">
        <v>5581</v>
      </c>
      <c r="D1093" s="1796">
        <v>0</v>
      </c>
      <c r="E1093" s="1796">
        <v>0</v>
      </c>
      <c r="F1093" s="1797">
        <v>0</v>
      </c>
      <c r="G1093" s="1999" t="s">
        <v>5581</v>
      </c>
      <c r="H1093" s="1794">
        <v>0</v>
      </c>
      <c r="I1093" s="1794">
        <v>0</v>
      </c>
      <c r="J1093" s="2000">
        <v>0</v>
      </c>
      <c r="K1093" s="1798"/>
      <c r="L1093" s="1792">
        <v>13095000200</v>
      </c>
      <c r="M1093" s="1793">
        <v>0</v>
      </c>
      <c r="N1093" s="1793">
        <v>0</v>
      </c>
      <c r="O1093" s="1793">
        <v>0</v>
      </c>
    </row>
    <row r="1094" spans="3:15">
      <c r="C1094" s="1799" t="s">
        <v>5582</v>
      </c>
      <c r="D1094" s="1796">
        <v>0</v>
      </c>
      <c r="E1094" s="1796">
        <v>0</v>
      </c>
      <c r="F1094" s="1797">
        <v>0</v>
      </c>
      <c r="G1094" s="1999" t="s">
        <v>5582</v>
      </c>
      <c r="H1094" s="1794">
        <v>0</v>
      </c>
      <c r="I1094" s="1794">
        <v>1</v>
      </c>
      <c r="J1094" s="2000">
        <v>1</v>
      </c>
      <c r="K1094" s="1798"/>
      <c r="L1094" s="1792">
        <v>13095000400</v>
      </c>
      <c r="M1094" s="1793">
        <v>0</v>
      </c>
      <c r="N1094" s="1793">
        <v>1</v>
      </c>
      <c r="O1094" s="1793">
        <v>1</v>
      </c>
    </row>
    <row r="1095" spans="3:15">
      <c r="C1095" s="1799" t="s">
        <v>5583</v>
      </c>
      <c r="D1095" s="1796">
        <v>1</v>
      </c>
      <c r="E1095" s="1796">
        <v>0</v>
      </c>
      <c r="F1095" s="1797">
        <v>1</v>
      </c>
      <c r="G1095" s="1999" t="s">
        <v>5583</v>
      </c>
      <c r="H1095" s="1794">
        <v>1</v>
      </c>
      <c r="I1095" s="1794">
        <v>1</v>
      </c>
      <c r="J1095" s="2000">
        <v>2</v>
      </c>
      <c r="K1095" s="1798"/>
      <c r="L1095" s="1792">
        <v>13095000501</v>
      </c>
      <c r="M1095" s="1793">
        <v>1</v>
      </c>
      <c r="N1095" s="1793">
        <v>1</v>
      </c>
      <c r="O1095" s="1793">
        <v>2</v>
      </c>
    </row>
    <row r="1096" spans="3:15">
      <c r="C1096" s="1799" t="s">
        <v>5584</v>
      </c>
      <c r="D1096" s="1796">
        <v>1</v>
      </c>
      <c r="E1096" s="1796">
        <v>1</v>
      </c>
      <c r="F1096" s="1797">
        <v>2</v>
      </c>
      <c r="G1096" s="1999" t="s">
        <v>5584</v>
      </c>
      <c r="H1096" s="1794">
        <v>1</v>
      </c>
      <c r="I1096" s="1794">
        <v>1</v>
      </c>
      <c r="J1096" s="2000">
        <v>2</v>
      </c>
      <c r="K1096" s="1798"/>
      <c r="L1096" s="1792">
        <v>13095000502</v>
      </c>
      <c r="M1096" s="1793">
        <v>1</v>
      </c>
      <c r="N1096" s="1793">
        <v>1</v>
      </c>
      <c r="O1096" s="1793">
        <v>2</v>
      </c>
    </row>
    <row r="1097" spans="3:15">
      <c r="C1097" s="1799" t="s">
        <v>5585</v>
      </c>
      <c r="D1097" s="1796">
        <v>0</v>
      </c>
      <c r="E1097" s="1796">
        <v>0</v>
      </c>
      <c r="F1097" s="1797">
        <v>0</v>
      </c>
      <c r="G1097" s="1999" t="s">
        <v>5585</v>
      </c>
      <c r="H1097" s="1794">
        <v>0</v>
      </c>
      <c r="I1097" s="1794">
        <v>0</v>
      </c>
      <c r="J1097" s="2000">
        <v>0</v>
      </c>
      <c r="K1097" s="1798"/>
      <c r="L1097" s="1792">
        <v>13095000600</v>
      </c>
      <c r="M1097" s="1793">
        <v>0</v>
      </c>
      <c r="N1097" s="1793">
        <v>0</v>
      </c>
      <c r="O1097" s="1793">
        <v>0</v>
      </c>
    </row>
    <row r="1098" spans="3:15">
      <c r="C1098" s="1799" t="s">
        <v>5586</v>
      </c>
      <c r="D1098" s="1796">
        <v>0</v>
      </c>
      <c r="E1098" s="1796">
        <v>0</v>
      </c>
      <c r="F1098" s="1797">
        <v>0</v>
      </c>
      <c r="G1098" s="1999" t="s">
        <v>5586</v>
      </c>
      <c r="H1098" s="1794">
        <v>1</v>
      </c>
      <c r="I1098" s="1794">
        <v>0</v>
      </c>
      <c r="J1098" s="2000">
        <v>1</v>
      </c>
      <c r="K1098" s="1798"/>
      <c r="L1098" s="1792">
        <v>13095000700</v>
      </c>
      <c r="M1098" s="1793">
        <v>1</v>
      </c>
      <c r="N1098" s="1793">
        <v>0</v>
      </c>
      <c r="O1098" s="1793">
        <v>1</v>
      </c>
    </row>
    <row r="1099" spans="3:15">
      <c r="C1099" s="1799" t="s">
        <v>5587</v>
      </c>
      <c r="D1099" s="1796">
        <v>0</v>
      </c>
      <c r="E1099" s="1796">
        <v>0</v>
      </c>
      <c r="F1099" s="1797">
        <v>0</v>
      </c>
      <c r="G1099" s="1999" t="s">
        <v>5587</v>
      </c>
      <c r="H1099" s="1794">
        <v>0</v>
      </c>
      <c r="I1099" s="1794">
        <v>0</v>
      </c>
      <c r="J1099" s="2000">
        <v>0</v>
      </c>
      <c r="K1099" s="1798"/>
      <c r="L1099" s="1792">
        <v>13095000800</v>
      </c>
      <c r="M1099" s="1793">
        <v>0</v>
      </c>
      <c r="N1099" s="1793">
        <v>0</v>
      </c>
      <c r="O1099" s="1793">
        <v>0</v>
      </c>
    </row>
    <row r="1100" spans="3:15">
      <c r="C1100" s="1799" t="s">
        <v>5588</v>
      </c>
      <c r="D1100" s="1796">
        <v>0</v>
      </c>
      <c r="E1100" s="1796">
        <v>0</v>
      </c>
      <c r="F1100" s="1797">
        <v>0</v>
      </c>
      <c r="G1100" s="1999" t="s">
        <v>5588</v>
      </c>
      <c r="H1100" s="1794">
        <v>0</v>
      </c>
      <c r="I1100" s="1794">
        <v>0</v>
      </c>
      <c r="J1100" s="2000">
        <v>0</v>
      </c>
      <c r="K1100" s="1798"/>
      <c r="L1100" s="1792">
        <v>13095000900</v>
      </c>
      <c r="M1100" s="1793">
        <v>0</v>
      </c>
      <c r="N1100" s="1793">
        <v>0</v>
      </c>
      <c r="O1100" s="1793">
        <v>0</v>
      </c>
    </row>
    <row r="1101" spans="3:15">
      <c r="C1101" s="1799" t="s">
        <v>5589</v>
      </c>
      <c r="D1101" s="1796">
        <v>0</v>
      </c>
      <c r="E1101" s="1796">
        <v>0</v>
      </c>
      <c r="F1101" s="1797">
        <v>0</v>
      </c>
      <c r="G1101" s="1999" t="s">
        <v>5589</v>
      </c>
      <c r="H1101" s="1794">
        <v>0</v>
      </c>
      <c r="I1101" s="1794">
        <v>0</v>
      </c>
      <c r="J1101" s="2000">
        <v>0</v>
      </c>
      <c r="K1101" s="1798"/>
      <c r="L1101" s="1792">
        <v>13095001000</v>
      </c>
      <c r="M1101" s="1793">
        <v>0</v>
      </c>
      <c r="N1101" s="1793">
        <v>0</v>
      </c>
      <c r="O1101" s="1793">
        <v>0</v>
      </c>
    </row>
    <row r="1102" spans="3:15">
      <c r="C1102" s="1799" t="s">
        <v>5590</v>
      </c>
      <c r="D1102" s="1796">
        <v>0</v>
      </c>
      <c r="E1102" s="1796">
        <v>0</v>
      </c>
      <c r="F1102" s="1797">
        <v>0</v>
      </c>
      <c r="G1102" s="1999" t="s">
        <v>5590</v>
      </c>
      <c r="H1102" s="1794">
        <v>0</v>
      </c>
      <c r="I1102" s="1794">
        <v>0</v>
      </c>
      <c r="J1102" s="2000">
        <v>0</v>
      </c>
      <c r="K1102" s="1798"/>
      <c r="L1102" s="1792">
        <v>13095001100</v>
      </c>
      <c r="M1102" s="1793">
        <v>0</v>
      </c>
      <c r="N1102" s="1793">
        <v>0</v>
      </c>
      <c r="O1102" s="1793">
        <v>0</v>
      </c>
    </row>
    <row r="1103" spans="3:15">
      <c r="C1103" s="1799" t="s">
        <v>5591</v>
      </c>
      <c r="D1103" s="1796">
        <v>0</v>
      </c>
      <c r="E1103" s="1796">
        <v>0</v>
      </c>
      <c r="F1103" s="1797">
        <v>0</v>
      </c>
      <c r="G1103" s="1999" t="s">
        <v>5591</v>
      </c>
      <c r="H1103" s="1794">
        <v>0</v>
      </c>
      <c r="I1103" s="1794" t="s">
        <v>4483</v>
      </c>
      <c r="J1103" s="2000">
        <v>0</v>
      </c>
      <c r="K1103" s="1798"/>
      <c r="L1103" s="1792">
        <v>13095001403</v>
      </c>
      <c r="M1103" s="1793">
        <v>0</v>
      </c>
      <c r="N1103" s="1793">
        <v>0</v>
      </c>
      <c r="O1103" s="1793">
        <v>0</v>
      </c>
    </row>
    <row r="1104" spans="3:15">
      <c r="C1104" s="1799" t="s">
        <v>5592</v>
      </c>
      <c r="D1104" s="1796">
        <v>0</v>
      </c>
      <c r="E1104" s="1796">
        <v>0</v>
      </c>
      <c r="F1104" s="1797">
        <v>0</v>
      </c>
      <c r="G1104" s="1999" t="s">
        <v>5592</v>
      </c>
      <c r="H1104" s="1794">
        <v>0</v>
      </c>
      <c r="I1104" s="1794">
        <v>0</v>
      </c>
      <c r="J1104" s="2000">
        <v>0</v>
      </c>
      <c r="K1104" s="1798"/>
      <c r="L1104" s="1792">
        <v>13095001500</v>
      </c>
      <c r="M1104" s="1793">
        <v>0</v>
      </c>
      <c r="N1104" s="1793">
        <v>0</v>
      </c>
      <c r="O1104" s="1793">
        <v>0</v>
      </c>
    </row>
    <row r="1105" spans="3:15">
      <c r="C1105" s="1799" t="s">
        <v>5593</v>
      </c>
      <c r="D1105" s="1796">
        <v>0</v>
      </c>
      <c r="E1105" s="1796">
        <v>0</v>
      </c>
      <c r="F1105" s="1797">
        <v>0</v>
      </c>
      <c r="G1105" s="1999" t="s">
        <v>5593</v>
      </c>
      <c r="H1105" s="1794">
        <v>0</v>
      </c>
      <c r="I1105" s="1794">
        <v>0</v>
      </c>
      <c r="J1105" s="2000">
        <v>0</v>
      </c>
      <c r="K1105" s="1798"/>
      <c r="L1105" s="1792">
        <v>13095010302</v>
      </c>
      <c r="M1105" s="1793">
        <v>0</v>
      </c>
      <c r="N1105" s="1793">
        <v>0</v>
      </c>
      <c r="O1105" s="1793">
        <v>0</v>
      </c>
    </row>
    <row r="1106" spans="3:15">
      <c r="C1106" s="1799" t="s">
        <v>5594</v>
      </c>
      <c r="D1106" s="1796">
        <v>1</v>
      </c>
      <c r="E1106" s="1796">
        <v>1</v>
      </c>
      <c r="F1106" s="1797">
        <v>2</v>
      </c>
      <c r="G1106" s="1999" t="s">
        <v>5594</v>
      </c>
      <c r="H1106" s="1794">
        <v>1</v>
      </c>
      <c r="I1106" s="1794">
        <v>1</v>
      </c>
      <c r="J1106" s="2000">
        <v>2</v>
      </c>
      <c r="K1106" s="1798"/>
      <c r="L1106" s="1792">
        <v>13095010401</v>
      </c>
      <c r="M1106" s="1793">
        <v>1</v>
      </c>
      <c r="N1106" s="1793">
        <v>1</v>
      </c>
      <c r="O1106" s="1793">
        <v>2</v>
      </c>
    </row>
    <row r="1107" spans="3:15">
      <c r="C1107" s="1799" t="s">
        <v>5595</v>
      </c>
      <c r="D1107" s="1796">
        <v>0</v>
      </c>
      <c r="E1107" s="1796">
        <v>0</v>
      </c>
      <c r="F1107" s="1797">
        <v>0</v>
      </c>
      <c r="G1107" s="1999" t="s">
        <v>5595</v>
      </c>
      <c r="H1107" s="1794">
        <v>0</v>
      </c>
      <c r="I1107" s="1794">
        <v>1</v>
      </c>
      <c r="J1107" s="2000">
        <v>1</v>
      </c>
      <c r="K1107" s="1798"/>
      <c r="L1107" s="1792">
        <v>13095010402</v>
      </c>
      <c r="M1107" s="1793">
        <v>0</v>
      </c>
      <c r="N1107" s="1793">
        <v>1</v>
      </c>
      <c r="O1107" s="1793">
        <v>1</v>
      </c>
    </row>
    <row r="1108" spans="3:15">
      <c r="C1108" s="1799" t="s">
        <v>5596</v>
      </c>
      <c r="D1108" s="1796">
        <v>1</v>
      </c>
      <c r="E1108" s="1796">
        <v>1</v>
      </c>
      <c r="F1108" s="1797">
        <v>2</v>
      </c>
      <c r="G1108" s="1999" t="s">
        <v>5596</v>
      </c>
      <c r="H1108" s="1794">
        <v>1</v>
      </c>
      <c r="I1108" s="1794">
        <v>0</v>
      </c>
      <c r="J1108" s="2000">
        <v>1</v>
      </c>
      <c r="K1108" s="1798"/>
      <c r="L1108" s="1792">
        <v>13095010403</v>
      </c>
      <c r="M1108" s="1793">
        <v>1</v>
      </c>
      <c r="N1108" s="1793">
        <v>1</v>
      </c>
      <c r="O1108" s="1793">
        <v>2</v>
      </c>
    </row>
    <row r="1109" spans="3:15">
      <c r="C1109" s="1799" t="s">
        <v>5597</v>
      </c>
      <c r="D1109" s="1796">
        <v>0</v>
      </c>
      <c r="E1109" s="1796">
        <v>0</v>
      </c>
      <c r="F1109" s="1797">
        <v>0</v>
      </c>
      <c r="G1109" s="1999" t="s">
        <v>5597</v>
      </c>
      <c r="H1109" s="1794">
        <v>0</v>
      </c>
      <c r="I1109" s="1794">
        <v>0</v>
      </c>
      <c r="J1109" s="2000">
        <v>0</v>
      </c>
      <c r="K1109" s="1798"/>
      <c r="L1109" s="1792">
        <v>13095010500</v>
      </c>
      <c r="M1109" s="1793">
        <v>0</v>
      </c>
      <c r="N1109" s="1793">
        <v>0</v>
      </c>
      <c r="O1109" s="1793">
        <v>0</v>
      </c>
    </row>
    <row r="1110" spans="3:15">
      <c r="C1110" s="1799" t="s">
        <v>5598</v>
      </c>
      <c r="D1110" s="1796">
        <v>0</v>
      </c>
      <c r="E1110" s="1796">
        <v>0</v>
      </c>
      <c r="F1110" s="1797">
        <v>0</v>
      </c>
      <c r="G1110" s="1999" t="s">
        <v>5598</v>
      </c>
      <c r="H1110" s="1794">
        <v>0</v>
      </c>
      <c r="I1110" s="1794">
        <v>0</v>
      </c>
      <c r="J1110" s="2000">
        <v>0</v>
      </c>
      <c r="K1110" s="1798"/>
      <c r="L1110" s="1792">
        <v>13095010601</v>
      </c>
      <c r="M1110" s="1793">
        <v>0</v>
      </c>
      <c r="N1110" s="1793">
        <v>0</v>
      </c>
      <c r="O1110" s="1793">
        <v>0</v>
      </c>
    </row>
    <row r="1111" spans="3:15">
      <c r="C1111" s="1799" t="s">
        <v>5599</v>
      </c>
      <c r="D1111" s="1796">
        <v>0</v>
      </c>
      <c r="E1111" s="1796">
        <v>0</v>
      </c>
      <c r="F1111" s="1797">
        <v>0</v>
      </c>
      <c r="G1111" s="1999" t="s">
        <v>5599</v>
      </c>
      <c r="H1111" s="1794">
        <v>0</v>
      </c>
      <c r="I1111" s="1794">
        <v>0</v>
      </c>
      <c r="J1111" s="2000">
        <v>0</v>
      </c>
      <c r="K1111" s="1798"/>
      <c r="L1111" s="1792">
        <v>13095010602</v>
      </c>
      <c r="M1111" s="1793">
        <v>0</v>
      </c>
      <c r="N1111" s="1793">
        <v>0</v>
      </c>
      <c r="O1111" s="1793">
        <v>0</v>
      </c>
    </row>
    <row r="1112" spans="3:15">
      <c r="C1112" s="1799" t="s">
        <v>5600</v>
      </c>
      <c r="D1112" s="1796">
        <v>0</v>
      </c>
      <c r="E1112" s="1796">
        <v>0</v>
      </c>
      <c r="F1112" s="1797">
        <v>0</v>
      </c>
      <c r="G1112" s="1999" t="s">
        <v>5600</v>
      </c>
      <c r="H1112" s="1794">
        <v>0</v>
      </c>
      <c r="I1112" s="1794">
        <v>0</v>
      </c>
      <c r="J1112" s="2000">
        <v>0</v>
      </c>
      <c r="K1112" s="1798"/>
      <c r="L1112" s="1792">
        <v>13095010700</v>
      </c>
      <c r="M1112" s="1793">
        <v>0</v>
      </c>
      <c r="N1112" s="1793">
        <v>0</v>
      </c>
      <c r="O1112" s="1793">
        <v>0</v>
      </c>
    </row>
    <row r="1113" spans="3:15">
      <c r="C1113" s="1799" t="s">
        <v>5601</v>
      </c>
      <c r="D1113" s="1796">
        <v>0</v>
      </c>
      <c r="E1113" s="1796">
        <v>0</v>
      </c>
      <c r="F1113" s="1797">
        <v>0</v>
      </c>
      <c r="G1113" s="1999" t="s">
        <v>5601</v>
      </c>
      <c r="H1113" s="1794">
        <v>0</v>
      </c>
      <c r="I1113" s="1794">
        <v>1</v>
      </c>
      <c r="J1113" s="2000">
        <v>1</v>
      </c>
      <c r="K1113" s="1798"/>
      <c r="L1113" s="1792">
        <v>13095010900</v>
      </c>
      <c r="M1113" s="1793">
        <v>0</v>
      </c>
      <c r="N1113" s="1793">
        <v>1</v>
      </c>
      <c r="O1113" s="1793">
        <v>1</v>
      </c>
    </row>
    <row r="1114" spans="3:15">
      <c r="C1114" s="1799" t="s">
        <v>5602</v>
      </c>
      <c r="D1114" s="1796">
        <v>0</v>
      </c>
      <c r="E1114" s="1796">
        <v>0</v>
      </c>
      <c r="F1114" s="1797">
        <v>0</v>
      </c>
      <c r="G1114" s="1999" t="s">
        <v>5602</v>
      </c>
      <c r="H1114" s="1794">
        <v>0</v>
      </c>
      <c r="I1114" s="1794">
        <v>0</v>
      </c>
      <c r="J1114" s="2000">
        <v>0</v>
      </c>
      <c r="K1114" s="1798"/>
      <c r="L1114" s="1792">
        <v>13095011000</v>
      </c>
      <c r="M1114" s="1793">
        <v>0</v>
      </c>
      <c r="N1114" s="1793">
        <v>0</v>
      </c>
      <c r="O1114" s="1793">
        <v>0</v>
      </c>
    </row>
    <row r="1115" spans="3:15">
      <c r="C1115" s="1799" t="s">
        <v>5603</v>
      </c>
      <c r="D1115" s="1796">
        <v>0</v>
      </c>
      <c r="E1115" s="1796">
        <v>0</v>
      </c>
      <c r="F1115" s="1797">
        <v>0</v>
      </c>
      <c r="G1115" s="1999" t="s">
        <v>5603</v>
      </c>
      <c r="H1115" s="1794">
        <v>0</v>
      </c>
      <c r="I1115" s="1794">
        <v>0</v>
      </c>
      <c r="J1115" s="2000">
        <v>0</v>
      </c>
      <c r="K1115" s="1798"/>
      <c r="L1115" s="1792">
        <v>13095011200</v>
      </c>
      <c r="M1115" s="1793">
        <v>0</v>
      </c>
      <c r="N1115" s="1793">
        <v>0</v>
      </c>
      <c r="O1115" s="1793">
        <v>0</v>
      </c>
    </row>
    <row r="1116" spans="3:15">
      <c r="C1116" s="1799" t="s">
        <v>5604</v>
      </c>
      <c r="D1116" s="1796">
        <v>0</v>
      </c>
      <c r="E1116" s="1796">
        <v>0</v>
      </c>
      <c r="F1116" s="1797">
        <v>0</v>
      </c>
      <c r="G1116" s="1999" t="s">
        <v>5604</v>
      </c>
      <c r="H1116" s="1794">
        <v>0</v>
      </c>
      <c r="I1116" s="1794">
        <v>0</v>
      </c>
      <c r="J1116" s="2000">
        <v>0</v>
      </c>
      <c r="K1116" s="1798"/>
      <c r="L1116" s="1792">
        <v>13095011300</v>
      </c>
      <c r="M1116" s="1793">
        <v>0</v>
      </c>
      <c r="N1116" s="1793">
        <v>0</v>
      </c>
      <c r="O1116" s="1793">
        <v>0</v>
      </c>
    </row>
    <row r="1117" spans="3:15">
      <c r="C1117" s="1799" t="s">
        <v>5605</v>
      </c>
      <c r="D1117" s="1796">
        <v>0</v>
      </c>
      <c r="E1117" s="1796">
        <v>0</v>
      </c>
      <c r="F1117" s="1797">
        <v>0</v>
      </c>
      <c r="G1117" s="1999" t="s">
        <v>5605</v>
      </c>
      <c r="H1117" s="1794">
        <v>0</v>
      </c>
      <c r="I1117" s="1794">
        <v>0</v>
      </c>
      <c r="J1117" s="2000">
        <v>0</v>
      </c>
      <c r="K1117" s="1798"/>
      <c r="L1117" s="1792">
        <v>13095011400</v>
      </c>
      <c r="M1117" s="1793">
        <v>0</v>
      </c>
      <c r="N1117" s="1793">
        <v>0</v>
      </c>
      <c r="O1117" s="1793">
        <v>0</v>
      </c>
    </row>
    <row r="1118" spans="3:15">
      <c r="C1118" s="1799" t="s">
        <v>5606</v>
      </c>
      <c r="D1118" s="1796">
        <v>0</v>
      </c>
      <c r="E1118" s="1796">
        <v>1</v>
      </c>
      <c r="F1118" s="1797">
        <v>1</v>
      </c>
      <c r="G1118" s="1999" t="s">
        <v>5606</v>
      </c>
      <c r="H1118" s="1794">
        <v>0</v>
      </c>
      <c r="I1118" s="1794">
        <v>0</v>
      </c>
      <c r="J1118" s="2000">
        <v>0</v>
      </c>
      <c r="K1118" s="1798"/>
      <c r="L1118" s="1792">
        <v>13095011600</v>
      </c>
      <c r="M1118" s="1793">
        <v>0</v>
      </c>
      <c r="N1118" s="1793">
        <v>1</v>
      </c>
      <c r="O1118" s="1793">
        <v>1</v>
      </c>
    </row>
    <row r="1119" spans="3:15">
      <c r="C1119" s="1799" t="s">
        <v>5607</v>
      </c>
      <c r="D1119" s="1796">
        <v>0</v>
      </c>
      <c r="E1119" s="1796">
        <v>1</v>
      </c>
      <c r="F1119" s="1797">
        <v>1</v>
      </c>
      <c r="G1119" s="1999" t="s">
        <v>5607</v>
      </c>
      <c r="H1119" s="1794">
        <v>1</v>
      </c>
      <c r="I1119" s="1794">
        <v>1</v>
      </c>
      <c r="J1119" s="2000">
        <v>2</v>
      </c>
      <c r="K1119" s="1798"/>
      <c r="L1119" s="1792">
        <v>13097080102</v>
      </c>
      <c r="M1119" s="1793">
        <v>1</v>
      </c>
      <c r="N1119" s="1793">
        <v>1</v>
      </c>
      <c r="O1119" s="1793">
        <v>2</v>
      </c>
    </row>
    <row r="1120" spans="3:15">
      <c r="C1120" s="1799" t="s">
        <v>5608</v>
      </c>
      <c r="D1120" s="1796">
        <v>0</v>
      </c>
      <c r="E1120" s="1796">
        <v>0</v>
      </c>
      <c r="F1120" s="1797">
        <v>0</v>
      </c>
      <c r="G1120" s="1999" t="s">
        <v>5608</v>
      </c>
      <c r="H1120" s="1794">
        <v>1</v>
      </c>
      <c r="I1120" s="1794">
        <v>0</v>
      </c>
      <c r="J1120" s="2000">
        <v>1</v>
      </c>
      <c r="K1120" s="1798"/>
      <c r="L1120" s="1792">
        <v>13097080103</v>
      </c>
      <c r="M1120" s="1793">
        <v>1</v>
      </c>
      <c r="N1120" s="1793">
        <v>0</v>
      </c>
      <c r="O1120" s="1793">
        <v>1</v>
      </c>
    </row>
    <row r="1121" spans="3:15">
      <c r="C1121" s="1799" t="s">
        <v>5609</v>
      </c>
      <c r="D1121" s="1796">
        <v>0</v>
      </c>
      <c r="E1121" s="1796">
        <v>1</v>
      </c>
      <c r="F1121" s="1797">
        <v>1</v>
      </c>
      <c r="G1121" s="1999" t="s">
        <v>5609</v>
      </c>
      <c r="H1121" s="1794">
        <v>0</v>
      </c>
      <c r="I1121" s="1794">
        <v>0</v>
      </c>
      <c r="J1121" s="2000">
        <v>0</v>
      </c>
      <c r="K1121" s="1798"/>
      <c r="L1121" s="1792">
        <v>13097080201</v>
      </c>
      <c r="M1121" s="1793">
        <v>0</v>
      </c>
      <c r="N1121" s="1793">
        <v>1</v>
      </c>
      <c r="O1121" s="1793">
        <v>1</v>
      </c>
    </row>
    <row r="1122" spans="3:15">
      <c r="C1122" s="1799" t="s">
        <v>5610</v>
      </c>
      <c r="D1122" s="1796">
        <v>0</v>
      </c>
      <c r="E1122" s="1796">
        <v>0</v>
      </c>
      <c r="F1122" s="1797">
        <v>0</v>
      </c>
      <c r="G1122" s="1999" t="s">
        <v>5610</v>
      </c>
      <c r="H1122" s="1794">
        <v>0</v>
      </c>
      <c r="I1122" s="1794">
        <v>0</v>
      </c>
      <c r="J1122" s="2000">
        <v>0</v>
      </c>
      <c r="K1122" s="1798"/>
      <c r="L1122" s="1792">
        <v>13097080202</v>
      </c>
      <c r="M1122" s="1793">
        <v>0</v>
      </c>
      <c r="N1122" s="1793">
        <v>0</v>
      </c>
      <c r="O1122" s="1793">
        <v>0</v>
      </c>
    </row>
    <row r="1123" spans="3:15">
      <c r="C1123" s="1799" t="s">
        <v>5611</v>
      </c>
      <c r="D1123" s="1796">
        <v>0</v>
      </c>
      <c r="E1123" s="1796">
        <v>0</v>
      </c>
      <c r="F1123" s="1797">
        <v>0</v>
      </c>
      <c r="G1123" s="1999" t="s">
        <v>5611</v>
      </c>
      <c r="H1123" s="1794">
        <v>0</v>
      </c>
      <c r="I1123" s="1794">
        <v>0</v>
      </c>
      <c r="J1123" s="2000">
        <v>0</v>
      </c>
      <c r="K1123" s="1798"/>
      <c r="L1123" s="1792">
        <v>13097080301</v>
      </c>
      <c r="M1123" s="1793">
        <v>0</v>
      </c>
      <c r="N1123" s="1793">
        <v>0</v>
      </c>
      <c r="O1123" s="1793">
        <v>0</v>
      </c>
    </row>
    <row r="1124" spans="3:15">
      <c r="C1124" s="1799" t="s">
        <v>5612</v>
      </c>
      <c r="D1124" s="1796">
        <v>0</v>
      </c>
      <c r="E1124" s="1796">
        <v>0</v>
      </c>
      <c r="F1124" s="1797">
        <v>0</v>
      </c>
      <c r="G1124" s="1999" t="s">
        <v>5612</v>
      </c>
      <c r="H1124" s="1794">
        <v>1</v>
      </c>
      <c r="I1124" s="1794">
        <v>0</v>
      </c>
      <c r="J1124" s="2000">
        <v>1</v>
      </c>
      <c r="K1124" s="1798"/>
      <c r="L1124" s="1792">
        <v>13097080303</v>
      </c>
      <c r="M1124" s="1793">
        <v>1</v>
      </c>
      <c r="N1124" s="1793">
        <v>0</v>
      </c>
      <c r="O1124" s="1793">
        <v>1</v>
      </c>
    </row>
    <row r="1125" spans="3:15">
      <c r="C1125" s="1799" t="s">
        <v>5613</v>
      </c>
      <c r="D1125" s="1796">
        <v>0</v>
      </c>
      <c r="E1125" s="1796">
        <v>0</v>
      </c>
      <c r="F1125" s="1797">
        <v>0</v>
      </c>
      <c r="G1125" s="1999" t="s">
        <v>5613</v>
      </c>
      <c r="H1125" s="1794">
        <v>0</v>
      </c>
      <c r="I1125" s="1794">
        <v>0</v>
      </c>
      <c r="J1125" s="2000">
        <v>0</v>
      </c>
      <c r="K1125" s="1798"/>
      <c r="L1125" s="1792">
        <v>13097080304</v>
      </c>
      <c r="M1125" s="1793">
        <v>0</v>
      </c>
      <c r="N1125" s="1793">
        <v>0</v>
      </c>
      <c r="O1125" s="1793">
        <v>0</v>
      </c>
    </row>
    <row r="1126" spans="3:15">
      <c r="C1126" s="1799" t="s">
        <v>5614</v>
      </c>
      <c r="D1126" s="1796">
        <v>1</v>
      </c>
      <c r="E1126" s="1796">
        <v>1</v>
      </c>
      <c r="F1126" s="1797">
        <v>2</v>
      </c>
      <c r="G1126" s="1999" t="s">
        <v>5614</v>
      </c>
      <c r="H1126" s="1794">
        <v>1</v>
      </c>
      <c r="I1126" s="1794">
        <v>1</v>
      </c>
      <c r="J1126" s="2000">
        <v>2</v>
      </c>
      <c r="K1126" s="1798"/>
      <c r="L1126" s="1792">
        <v>13097080402</v>
      </c>
      <c r="M1126" s="1793">
        <v>1</v>
      </c>
      <c r="N1126" s="1793">
        <v>1</v>
      </c>
      <c r="O1126" s="1793">
        <v>2</v>
      </c>
    </row>
    <row r="1127" spans="3:15">
      <c r="C1127" s="1799" t="s">
        <v>5615</v>
      </c>
      <c r="D1127" s="1796">
        <v>1</v>
      </c>
      <c r="E1127" s="1796">
        <v>1</v>
      </c>
      <c r="F1127" s="1797">
        <v>2</v>
      </c>
      <c r="G1127" s="1999" t="s">
        <v>5615</v>
      </c>
      <c r="H1127" s="1794">
        <v>1</v>
      </c>
      <c r="I1127" s="1794">
        <v>1</v>
      </c>
      <c r="J1127" s="2000">
        <v>2</v>
      </c>
      <c r="K1127" s="1798"/>
      <c r="L1127" s="1792">
        <v>13097080403</v>
      </c>
      <c r="M1127" s="1793">
        <v>1</v>
      </c>
      <c r="N1127" s="1793">
        <v>1</v>
      </c>
      <c r="O1127" s="1793">
        <v>2</v>
      </c>
    </row>
    <row r="1128" spans="3:15">
      <c r="C1128" s="1799" t="s">
        <v>5616</v>
      </c>
      <c r="D1128" s="1796">
        <v>0</v>
      </c>
      <c r="E1128" s="1796">
        <v>0</v>
      </c>
      <c r="F1128" s="1797">
        <v>0</v>
      </c>
      <c r="G1128" s="1999" t="s">
        <v>5616</v>
      </c>
      <c r="H1128" s="1794">
        <v>0</v>
      </c>
      <c r="I1128" s="1794">
        <v>0</v>
      </c>
      <c r="J1128" s="2000">
        <v>0</v>
      </c>
      <c r="K1128" s="1798"/>
      <c r="L1128" s="1792">
        <v>13097080404</v>
      </c>
      <c r="M1128" s="1793">
        <v>0</v>
      </c>
      <c r="N1128" s="1793">
        <v>0</v>
      </c>
      <c r="O1128" s="1793">
        <v>0</v>
      </c>
    </row>
    <row r="1129" spans="3:15">
      <c r="C1129" s="1799" t="s">
        <v>5617</v>
      </c>
      <c r="D1129" s="1796">
        <v>0</v>
      </c>
      <c r="E1129" s="1796">
        <v>1</v>
      </c>
      <c r="F1129" s="1797">
        <v>1</v>
      </c>
      <c r="G1129" s="1999" t="s">
        <v>5617</v>
      </c>
      <c r="H1129" s="1794">
        <v>0</v>
      </c>
      <c r="I1129" s="1794">
        <v>0</v>
      </c>
      <c r="J1129" s="2000">
        <v>0</v>
      </c>
      <c r="K1129" s="1798"/>
      <c r="L1129" s="1792">
        <v>13097080505</v>
      </c>
      <c r="M1129" s="1793">
        <v>0</v>
      </c>
      <c r="N1129" s="1793">
        <v>1</v>
      </c>
      <c r="O1129" s="1793">
        <v>1</v>
      </c>
    </row>
    <row r="1130" spans="3:15">
      <c r="C1130" s="1799" t="s">
        <v>5618</v>
      </c>
      <c r="D1130" s="1796">
        <v>1</v>
      </c>
      <c r="E1130" s="1796">
        <v>1</v>
      </c>
      <c r="F1130" s="1797">
        <v>2</v>
      </c>
      <c r="G1130" s="1999" t="s">
        <v>5618</v>
      </c>
      <c r="H1130" s="1794">
        <v>0</v>
      </c>
      <c r="I1130" s="1794">
        <v>0</v>
      </c>
      <c r="J1130" s="2000">
        <v>0</v>
      </c>
      <c r="K1130" s="1798"/>
      <c r="L1130" s="1792">
        <v>13097080506</v>
      </c>
      <c r="M1130" s="1793">
        <v>1</v>
      </c>
      <c r="N1130" s="1793">
        <v>1</v>
      </c>
      <c r="O1130" s="1793">
        <v>2</v>
      </c>
    </row>
    <row r="1131" spans="3:15">
      <c r="C1131" s="1799" t="s">
        <v>5619</v>
      </c>
      <c r="D1131" s="1796">
        <v>1</v>
      </c>
      <c r="E1131" s="1796">
        <v>1</v>
      </c>
      <c r="F1131" s="1797">
        <v>2</v>
      </c>
      <c r="G1131" s="1999" t="s">
        <v>5619</v>
      </c>
      <c r="H1131" s="1794">
        <v>1</v>
      </c>
      <c r="I1131" s="1794">
        <v>0</v>
      </c>
      <c r="J1131" s="2000">
        <v>1</v>
      </c>
      <c r="K1131" s="1798"/>
      <c r="L1131" s="1792">
        <v>13097080507</v>
      </c>
      <c r="M1131" s="1793">
        <v>1</v>
      </c>
      <c r="N1131" s="1793">
        <v>1</v>
      </c>
      <c r="O1131" s="1793">
        <v>2</v>
      </c>
    </row>
    <row r="1132" spans="3:15">
      <c r="C1132" s="1799" t="s">
        <v>5620</v>
      </c>
      <c r="D1132" s="1796">
        <v>0</v>
      </c>
      <c r="E1132" s="1796">
        <v>1</v>
      </c>
      <c r="F1132" s="1797">
        <v>1</v>
      </c>
      <c r="G1132" s="1999" t="s">
        <v>5620</v>
      </c>
      <c r="H1132" s="1794">
        <v>0</v>
      </c>
      <c r="I1132" s="1794">
        <v>0</v>
      </c>
      <c r="J1132" s="2000">
        <v>0</v>
      </c>
      <c r="K1132" s="1798"/>
      <c r="L1132" s="1792">
        <v>13097080508</v>
      </c>
      <c r="M1132" s="1793">
        <v>0</v>
      </c>
      <c r="N1132" s="1793">
        <v>1</v>
      </c>
      <c r="O1132" s="1793">
        <v>1</v>
      </c>
    </row>
    <row r="1133" spans="3:15">
      <c r="C1133" s="1799" t="s">
        <v>5621</v>
      </c>
      <c r="D1133" s="1796">
        <v>1</v>
      </c>
      <c r="E1133" s="1796">
        <v>1</v>
      </c>
      <c r="F1133" s="1797">
        <v>2</v>
      </c>
      <c r="G1133" s="1999" t="s">
        <v>5621</v>
      </c>
      <c r="H1133" s="1794">
        <v>1</v>
      </c>
      <c r="I1133" s="1794">
        <v>1</v>
      </c>
      <c r="J1133" s="2000">
        <v>2</v>
      </c>
      <c r="K1133" s="1798"/>
      <c r="L1133" s="1792">
        <v>13097080509</v>
      </c>
      <c r="M1133" s="1793">
        <v>1</v>
      </c>
      <c r="N1133" s="1793">
        <v>1</v>
      </c>
      <c r="O1133" s="1793">
        <v>2</v>
      </c>
    </row>
    <row r="1134" spans="3:15">
      <c r="C1134" s="1799" t="s">
        <v>5622</v>
      </c>
      <c r="D1134" s="1796">
        <v>1</v>
      </c>
      <c r="E1134" s="1796">
        <v>1</v>
      </c>
      <c r="F1134" s="1797">
        <v>2</v>
      </c>
      <c r="G1134" s="1999" t="s">
        <v>5622</v>
      </c>
      <c r="H1134" s="1794">
        <v>0</v>
      </c>
      <c r="I1134" s="1794">
        <v>1</v>
      </c>
      <c r="J1134" s="2000">
        <v>1</v>
      </c>
      <c r="K1134" s="1798"/>
      <c r="L1134" s="1792">
        <v>13097080510</v>
      </c>
      <c r="M1134" s="1793">
        <v>1</v>
      </c>
      <c r="N1134" s="1793">
        <v>1</v>
      </c>
      <c r="O1134" s="1793">
        <v>2</v>
      </c>
    </row>
    <row r="1135" spans="3:15">
      <c r="C1135" s="1799" t="s">
        <v>5623</v>
      </c>
      <c r="D1135" s="1796">
        <v>1</v>
      </c>
      <c r="E1135" s="1796">
        <v>1</v>
      </c>
      <c r="F1135" s="1797">
        <v>2</v>
      </c>
      <c r="G1135" s="1999" t="s">
        <v>5623</v>
      </c>
      <c r="H1135" s="1794">
        <v>1</v>
      </c>
      <c r="I1135" s="1794">
        <v>1</v>
      </c>
      <c r="J1135" s="2000">
        <v>2</v>
      </c>
      <c r="K1135" s="1798"/>
      <c r="L1135" s="1792">
        <v>13097080511</v>
      </c>
      <c r="M1135" s="1793">
        <v>1</v>
      </c>
      <c r="N1135" s="1793">
        <v>1</v>
      </c>
      <c r="O1135" s="1793">
        <v>2</v>
      </c>
    </row>
    <row r="1136" spans="3:15">
      <c r="C1136" s="1799" t="s">
        <v>5624</v>
      </c>
      <c r="D1136" s="1796">
        <v>1</v>
      </c>
      <c r="E1136" s="1796">
        <v>1</v>
      </c>
      <c r="F1136" s="1797">
        <v>2</v>
      </c>
      <c r="G1136" s="1999" t="s">
        <v>5624</v>
      </c>
      <c r="H1136" s="1794">
        <v>1</v>
      </c>
      <c r="I1136" s="1794">
        <v>1</v>
      </c>
      <c r="J1136" s="2000">
        <v>1</v>
      </c>
      <c r="K1136" s="1798"/>
      <c r="L1136" s="1792">
        <v>13097080602</v>
      </c>
      <c r="M1136" s="1793">
        <v>1</v>
      </c>
      <c r="N1136" s="1793">
        <v>1</v>
      </c>
      <c r="O1136" s="1793">
        <v>2</v>
      </c>
    </row>
    <row r="1137" spans="3:15">
      <c r="C1137" s="1799" t="s">
        <v>5625</v>
      </c>
      <c r="D1137" s="1796">
        <v>1</v>
      </c>
      <c r="E1137" s="1796">
        <v>1</v>
      </c>
      <c r="F1137" s="1797">
        <v>2</v>
      </c>
      <c r="G1137" s="1999" t="s">
        <v>5625</v>
      </c>
      <c r="H1137" s="1794">
        <v>1</v>
      </c>
      <c r="I1137" s="1794">
        <v>0</v>
      </c>
      <c r="J1137" s="2000">
        <v>1</v>
      </c>
      <c r="K1137" s="1798"/>
      <c r="L1137" s="1792">
        <v>13097080603</v>
      </c>
      <c r="M1137" s="1793">
        <v>1</v>
      </c>
      <c r="N1137" s="1793">
        <v>1</v>
      </c>
      <c r="O1137" s="1793">
        <v>2</v>
      </c>
    </row>
    <row r="1138" spans="3:15">
      <c r="C1138" s="1799" t="s">
        <v>5626</v>
      </c>
      <c r="D1138" s="1796">
        <v>1</v>
      </c>
      <c r="E1138" s="1796">
        <v>1</v>
      </c>
      <c r="F1138" s="1797">
        <v>2</v>
      </c>
      <c r="G1138" s="1999" t="s">
        <v>5626</v>
      </c>
      <c r="H1138" s="1794">
        <v>1</v>
      </c>
      <c r="I1138" s="1794">
        <v>0</v>
      </c>
      <c r="J1138" s="2000">
        <v>1</v>
      </c>
      <c r="K1138" s="1798"/>
      <c r="L1138" s="1792">
        <v>13097080604</v>
      </c>
      <c r="M1138" s="1793">
        <v>1</v>
      </c>
      <c r="N1138" s="1793">
        <v>1</v>
      </c>
      <c r="O1138" s="1793">
        <v>2</v>
      </c>
    </row>
    <row r="1139" spans="3:15">
      <c r="C1139" s="1799" t="s">
        <v>5627</v>
      </c>
      <c r="D1139" s="1796">
        <v>0</v>
      </c>
      <c r="E1139" s="1796">
        <v>0</v>
      </c>
      <c r="F1139" s="1797">
        <v>0</v>
      </c>
      <c r="G1139" s="1999" t="s">
        <v>5627</v>
      </c>
      <c r="H1139" s="1794">
        <v>0</v>
      </c>
      <c r="I1139" s="1794">
        <v>0</v>
      </c>
      <c r="J1139" s="2000">
        <v>0</v>
      </c>
      <c r="K1139" s="1798"/>
      <c r="L1139" s="1792">
        <v>13099090100</v>
      </c>
      <c r="M1139" s="1793">
        <v>0</v>
      </c>
      <c r="N1139" s="1793">
        <v>0</v>
      </c>
      <c r="O1139" s="1793">
        <v>0</v>
      </c>
    </row>
    <row r="1140" spans="3:15">
      <c r="C1140" s="1799" t="s">
        <v>5628</v>
      </c>
      <c r="D1140" s="1796">
        <v>0</v>
      </c>
      <c r="E1140" s="1796">
        <v>0</v>
      </c>
      <c r="F1140" s="1797">
        <v>0</v>
      </c>
      <c r="G1140" s="1999" t="s">
        <v>5628</v>
      </c>
      <c r="H1140" s="1794">
        <v>0</v>
      </c>
      <c r="I1140" s="1794">
        <v>0</v>
      </c>
      <c r="J1140" s="2000">
        <v>0</v>
      </c>
      <c r="K1140" s="1798"/>
      <c r="L1140" s="1792">
        <v>13099090200</v>
      </c>
      <c r="M1140" s="1793">
        <v>0</v>
      </c>
      <c r="N1140" s="1793">
        <v>0</v>
      </c>
      <c r="O1140" s="1793">
        <v>0</v>
      </c>
    </row>
    <row r="1141" spans="3:15">
      <c r="C1141" s="1799" t="s">
        <v>5629</v>
      </c>
      <c r="D1141" s="1796">
        <v>1</v>
      </c>
      <c r="E1141" s="1796">
        <v>0</v>
      </c>
      <c r="F1141" s="1797">
        <v>1</v>
      </c>
      <c r="G1141" s="1999" t="s">
        <v>5629</v>
      </c>
      <c r="H1141" s="1794">
        <v>0</v>
      </c>
      <c r="I1141" s="1794">
        <v>0</v>
      </c>
      <c r="J1141" s="2000">
        <v>0</v>
      </c>
      <c r="K1141" s="1798"/>
      <c r="L1141" s="1792">
        <v>13099090300</v>
      </c>
      <c r="M1141" s="1793">
        <v>1</v>
      </c>
      <c r="N1141" s="1793">
        <v>0</v>
      </c>
      <c r="O1141" s="1793">
        <v>1</v>
      </c>
    </row>
    <row r="1142" spans="3:15">
      <c r="C1142" s="1799" t="s">
        <v>5630</v>
      </c>
      <c r="D1142" s="1796">
        <v>0</v>
      </c>
      <c r="E1142" s="1796">
        <v>0</v>
      </c>
      <c r="F1142" s="1797">
        <v>0</v>
      </c>
      <c r="G1142" s="1999" t="s">
        <v>5630</v>
      </c>
      <c r="H1142" s="1794">
        <v>0</v>
      </c>
      <c r="I1142" s="1794">
        <v>0</v>
      </c>
      <c r="J1142" s="2000">
        <v>0</v>
      </c>
      <c r="K1142" s="1798"/>
      <c r="L1142" s="1792">
        <v>13099090400</v>
      </c>
      <c r="M1142" s="1793">
        <v>0</v>
      </c>
      <c r="N1142" s="1793">
        <v>0</v>
      </c>
      <c r="O1142" s="1793">
        <v>0</v>
      </c>
    </row>
    <row r="1143" spans="3:15">
      <c r="C1143" s="1799" t="s">
        <v>5631</v>
      </c>
      <c r="D1143" s="1796">
        <v>0</v>
      </c>
      <c r="E1143" s="1796">
        <v>0</v>
      </c>
      <c r="F1143" s="1797">
        <v>0</v>
      </c>
      <c r="G1143" s="1999" t="s">
        <v>5631</v>
      </c>
      <c r="H1143" s="1794">
        <v>0</v>
      </c>
      <c r="I1143" s="1794">
        <v>0</v>
      </c>
      <c r="J1143" s="2000">
        <v>0</v>
      </c>
      <c r="K1143" s="1798"/>
      <c r="L1143" s="1792">
        <v>13099090500</v>
      </c>
      <c r="M1143" s="1793">
        <v>0</v>
      </c>
      <c r="N1143" s="1793">
        <v>0</v>
      </c>
      <c r="O1143" s="1793">
        <v>0</v>
      </c>
    </row>
    <row r="1144" spans="3:15">
      <c r="C1144" s="1799" t="s">
        <v>5632</v>
      </c>
      <c r="D1144" s="1796">
        <v>0</v>
      </c>
      <c r="E1144" s="1796">
        <v>0</v>
      </c>
      <c r="F1144" s="1797">
        <v>0</v>
      </c>
      <c r="G1144" s="1999" t="s">
        <v>5632</v>
      </c>
      <c r="H1144" s="1794">
        <v>0</v>
      </c>
      <c r="I1144" s="1794">
        <v>0</v>
      </c>
      <c r="J1144" s="2000">
        <v>0</v>
      </c>
      <c r="K1144" s="1798"/>
      <c r="L1144" s="1792">
        <v>13101880100</v>
      </c>
      <c r="M1144" s="1793">
        <v>0</v>
      </c>
      <c r="N1144" s="1793">
        <v>0</v>
      </c>
      <c r="O1144" s="1793">
        <v>0</v>
      </c>
    </row>
    <row r="1145" spans="3:15">
      <c r="C1145" s="1799" t="s">
        <v>5633</v>
      </c>
      <c r="D1145" s="1796">
        <v>0</v>
      </c>
      <c r="E1145" s="1796">
        <v>0</v>
      </c>
      <c r="F1145" s="1797">
        <v>0</v>
      </c>
      <c r="G1145" s="1999" t="s">
        <v>5633</v>
      </c>
      <c r="H1145" s="1794">
        <v>0</v>
      </c>
      <c r="I1145" s="1794">
        <v>0</v>
      </c>
      <c r="J1145" s="2000">
        <v>0</v>
      </c>
      <c r="K1145" s="1798"/>
      <c r="L1145" s="1792">
        <v>13101880200</v>
      </c>
      <c r="M1145" s="1793">
        <v>0</v>
      </c>
      <c r="N1145" s="1793">
        <v>0</v>
      </c>
      <c r="O1145" s="1793">
        <v>0</v>
      </c>
    </row>
    <row r="1146" spans="3:15">
      <c r="C1146" s="1799" t="s">
        <v>5634</v>
      </c>
      <c r="D1146" s="1796">
        <v>1</v>
      </c>
      <c r="E1146" s="1796">
        <v>1</v>
      </c>
      <c r="F1146" s="1797">
        <v>2</v>
      </c>
      <c r="G1146" s="1999" t="s">
        <v>5634</v>
      </c>
      <c r="H1146" s="1794">
        <v>0</v>
      </c>
      <c r="I1146" s="1794">
        <v>0</v>
      </c>
      <c r="J1146" s="2000">
        <v>0</v>
      </c>
      <c r="K1146" s="1798"/>
      <c r="L1146" s="1792">
        <v>13103030100</v>
      </c>
      <c r="M1146" s="1793">
        <v>1</v>
      </c>
      <c r="N1146" s="1793">
        <v>1</v>
      </c>
      <c r="O1146" s="1793">
        <v>2</v>
      </c>
    </row>
    <row r="1147" spans="3:15">
      <c r="C1147" s="1799" t="s">
        <v>5635</v>
      </c>
      <c r="D1147" s="1796">
        <v>1</v>
      </c>
      <c r="E1147" s="1796">
        <v>1</v>
      </c>
      <c r="F1147" s="1797">
        <v>2</v>
      </c>
      <c r="G1147" s="1999" t="s">
        <v>5635</v>
      </c>
      <c r="H1147" s="1794">
        <v>1</v>
      </c>
      <c r="I1147" s="1794">
        <v>0</v>
      </c>
      <c r="J1147" s="2000">
        <v>1</v>
      </c>
      <c r="K1147" s="1798"/>
      <c r="L1147" s="1792">
        <v>13103030202</v>
      </c>
      <c r="M1147" s="1793">
        <v>1</v>
      </c>
      <c r="N1147" s="1793">
        <v>1</v>
      </c>
      <c r="O1147" s="1793">
        <v>2</v>
      </c>
    </row>
    <row r="1148" spans="3:15">
      <c r="C1148" s="1799" t="s">
        <v>5636</v>
      </c>
      <c r="D1148" s="1796">
        <v>1</v>
      </c>
      <c r="E1148" s="1796">
        <v>1</v>
      </c>
      <c r="F1148" s="1797">
        <v>2</v>
      </c>
      <c r="G1148" s="1999" t="s">
        <v>5636</v>
      </c>
      <c r="H1148" s="1794">
        <v>1</v>
      </c>
      <c r="I1148" s="1794">
        <v>0</v>
      </c>
      <c r="J1148" s="2000">
        <v>1</v>
      </c>
      <c r="K1148" s="1798"/>
      <c r="L1148" s="1792">
        <v>13103030203</v>
      </c>
      <c r="M1148" s="1793">
        <v>1</v>
      </c>
      <c r="N1148" s="1793">
        <v>1</v>
      </c>
      <c r="O1148" s="1793">
        <v>2</v>
      </c>
    </row>
    <row r="1149" spans="3:15">
      <c r="C1149" s="1799" t="s">
        <v>5637</v>
      </c>
      <c r="D1149" s="1796">
        <v>0</v>
      </c>
      <c r="E1149" s="1796">
        <v>0</v>
      </c>
      <c r="F1149" s="1797">
        <v>0</v>
      </c>
      <c r="G1149" s="1999" t="s">
        <v>5637</v>
      </c>
      <c r="H1149" s="1794">
        <v>0</v>
      </c>
      <c r="I1149" s="1794">
        <v>1</v>
      </c>
      <c r="J1149" s="2000">
        <v>1</v>
      </c>
      <c r="K1149" s="1798"/>
      <c r="L1149" s="1792">
        <v>13103030204</v>
      </c>
      <c r="M1149" s="1793">
        <v>0</v>
      </c>
      <c r="N1149" s="1793">
        <v>1</v>
      </c>
      <c r="O1149" s="1793">
        <v>1</v>
      </c>
    </row>
    <row r="1150" spans="3:15">
      <c r="C1150" s="1799" t="s">
        <v>5638</v>
      </c>
      <c r="D1150" s="1796">
        <v>1</v>
      </c>
      <c r="E1150" s="1796">
        <v>1</v>
      </c>
      <c r="F1150" s="1797">
        <v>2</v>
      </c>
      <c r="G1150" s="1999" t="s">
        <v>5638</v>
      </c>
      <c r="H1150" s="1794">
        <v>1</v>
      </c>
      <c r="I1150" s="1794">
        <v>1</v>
      </c>
      <c r="J1150" s="2000">
        <v>2</v>
      </c>
      <c r="K1150" s="1798"/>
      <c r="L1150" s="1792">
        <v>13103030301</v>
      </c>
      <c r="M1150" s="1793">
        <v>1</v>
      </c>
      <c r="N1150" s="1793">
        <v>1</v>
      </c>
      <c r="O1150" s="1793">
        <v>2</v>
      </c>
    </row>
    <row r="1151" spans="3:15">
      <c r="C1151" s="1799" t="s">
        <v>5639</v>
      </c>
      <c r="D1151" s="1796">
        <v>0</v>
      </c>
      <c r="E1151" s="1796">
        <v>1</v>
      </c>
      <c r="F1151" s="1797">
        <v>1</v>
      </c>
      <c r="G1151" s="1999" t="s">
        <v>5639</v>
      </c>
      <c r="H1151" s="1794">
        <v>1</v>
      </c>
      <c r="I1151" s="1794">
        <v>0</v>
      </c>
      <c r="J1151" s="2000">
        <v>1</v>
      </c>
      <c r="K1151" s="1798"/>
      <c r="L1151" s="1792">
        <v>13103030303</v>
      </c>
      <c r="M1151" s="1793">
        <v>1</v>
      </c>
      <c r="N1151" s="1793">
        <v>1</v>
      </c>
      <c r="O1151" s="1793">
        <v>1</v>
      </c>
    </row>
    <row r="1152" spans="3:15">
      <c r="C1152" s="1799" t="s">
        <v>5640</v>
      </c>
      <c r="D1152" s="1796">
        <v>1</v>
      </c>
      <c r="E1152" s="1796">
        <v>1</v>
      </c>
      <c r="F1152" s="1797">
        <v>2</v>
      </c>
      <c r="G1152" s="1999" t="s">
        <v>5640</v>
      </c>
      <c r="H1152" s="1794">
        <v>1</v>
      </c>
      <c r="I1152" s="1794">
        <v>0</v>
      </c>
      <c r="J1152" s="2000">
        <v>1</v>
      </c>
      <c r="K1152" s="1798"/>
      <c r="L1152" s="1792">
        <v>13103030304</v>
      </c>
      <c r="M1152" s="1793">
        <v>1</v>
      </c>
      <c r="N1152" s="1793">
        <v>1</v>
      </c>
      <c r="O1152" s="1793">
        <v>2</v>
      </c>
    </row>
    <row r="1153" spans="3:15">
      <c r="C1153" s="1799" t="s">
        <v>5641</v>
      </c>
      <c r="D1153" s="1796">
        <v>1</v>
      </c>
      <c r="E1153" s="1796">
        <v>1</v>
      </c>
      <c r="F1153" s="1797">
        <v>2</v>
      </c>
      <c r="G1153" s="1999" t="s">
        <v>5641</v>
      </c>
      <c r="H1153" s="1794">
        <v>1</v>
      </c>
      <c r="I1153" s="1794">
        <v>1</v>
      </c>
      <c r="J1153" s="2000">
        <v>2</v>
      </c>
      <c r="K1153" s="1798"/>
      <c r="L1153" s="1792">
        <v>13103030305</v>
      </c>
      <c r="M1153" s="1793">
        <v>1</v>
      </c>
      <c r="N1153" s="1793">
        <v>1</v>
      </c>
      <c r="O1153" s="1793">
        <v>2</v>
      </c>
    </row>
    <row r="1154" spans="3:15">
      <c r="C1154" s="1799" t="s">
        <v>5642</v>
      </c>
      <c r="D1154" s="1796">
        <v>1</v>
      </c>
      <c r="E1154" s="1796">
        <v>1</v>
      </c>
      <c r="F1154" s="1797">
        <v>2</v>
      </c>
      <c r="G1154" s="1999" t="s">
        <v>5642</v>
      </c>
      <c r="H1154" s="1794">
        <v>1</v>
      </c>
      <c r="I1154" s="1794">
        <v>1</v>
      </c>
      <c r="J1154" s="2000">
        <v>2</v>
      </c>
      <c r="K1154" s="1798"/>
      <c r="L1154" s="1792">
        <v>13103030401</v>
      </c>
      <c r="M1154" s="1793">
        <v>1</v>
      </c>
      <c r="N1154" s="1793">
        <v>1</v>
      </c>
      <c r="O1154" s="1793">
        <v>2</v>
      </c>
    </row>
    <row r="1155" spans="3:15">
      <c r="C1155" s="1799" t="s">
        <v>5643</v>
      </c>
      <c r="D1155" s="1796">
        <v>1</v>
      </c>
      <c r="E1155" s="1796">
        <v>1</v>
      </c>
      <c r="F1155" s="1797">
        <v>2</v>
      </c>
      <c r="G1155" s="1999" t="s">
        <v>5643</v>
      </c>
      <c r="H1155" s="1794">
        <v>1</v>
      </c>
      <c r="I1155" s="1794">
        <v>1</v>
      </c>
      <c r="J1155" s="2000">
        <v>2</v>
      </c>
      <c r="K1155" s="1798"/>
      <c r="L1155" s="1792">
        <v>13103030402</v>
      </c>
      <c r="M1155" s="1793">
        <v>1</v>
      </c>
      <c r="N1155" s="1793">
        <v>1</v>
      </c>
      <c r="O1155" s="1793">
        <v>2</v>
      </c>
    </row>
    <row r="1156" spans="3:15">
      <c r="C1156" s="1799" t="s">
        <v>5644</v>
      </c>
      <c r="D1156" s="1796">
        <v>0</v>
      </c>
      <c r="E1156" s="1796">
        <v>0</v>
      </c>
      <c r="F1156" s="1797">
        <v>0</v>
      </c>
      <c r="G1156" s="1999" t="s">
        <v>5644</v>
      </c>
      <c r="H1156" s="1794">
        <v>0</v>
      </c>
      <c r="I1156" s="1794">
        <v>0</v>
      </c>
      <c r="J1156" s="2000">
        <v>0</v>
      </c>
      <c r="K1156" s="1798"/>
      <c r="L1156" s="1792">
        <v>13105000100</v>
      </c>
      <c r="M1156" s="1793">
        <v>0</v>
      </c>
      <c r="N1156" s="1793">
        <v>0</v>
      </c>
      <c r="O1156" s="1793">
        <v>0</v>
      </c>
    </row>
    <row r="1157" spans="3:15">
      <c r="C1157" s="1799" t="s">
        <v>5645</v>
      </c>
      <c r="D1157" s="1796">
        <v>0</v>
      </c>
      <c r="E1157" s="1796">
        <v>0</v>
      </c>
      <c r="F1157" s="1797">
        <v>0</v>
      </c>
      <c r="G1157" s="1999" t="s">
        <v>5645</v>
      </c>
      <c r="H1157" s="1794">
        <v>0</v>
      </c>
      <c r="I1157" s="1794">
        <v>0</v>
      </c>
      <c r="J1157" s="2000">
        <v>0</v>
      </c>
      <c r="K1157" s="1798"/>
      <c r="L1157" s="1792">
        <v>13105000200</v>
      </c>
      <c r="M1157" s="1793">
        <v>0</v>
      </c>
      <c r="N1157" s="1793">
        <v>0</v>
      </c>
      <c r="O1157" s="1793">
        <v>0</v>
      </c>
    </row>
    <row r="1158" spans="3:15">
      <c r="C1158" s="1799" t="s">
        <v>5646</v>
      </c>
      <c r="D1158" s="1796">
        <v>0</v>
      </c>
      <c r="E1158" s="1796">
        <v>0</v>
      </c>
      <c r="F1158" s="1797">
        <v>0</v>
      </c>
      <c r="G1158" s="1999" t="s">
        <v>5646</v>
      </c>
      <c r="H1158" s="1794">
        <v>0</v>
      </c>
      <c r="I1158" s="1794">
        <v>0</v>
      </c>
      <c r="J1158" s="2000">
        <v>0</v>
      </c>
      <c r="K1158" s="1798"/>
      <c r="L1158" s="1792">
        <v>13105000300</v>
      </c>
      <c r="M1158" s="1793">
        <v>0</v>
      </c>
      <c r="N1158" s="1793">
        <v>0</v>
      </c>
      <c r="O1158" s="1793">
        <v>0</v>
      </c>
    </row>
    <row r="1159" spans="3:15">
      <c r="C1159" s="1799" t="s">
        <v>5647</v>
      </c>
      <c r="D1159" s="1796">
        <v>0</v>
      </c>
      <c r="E1159" s="1796">
        <v>0</v>
      </c>
      <c r="F1159" s="1797">
        <v>0</v>
      </c>
      <c r="G1159" s="1999" t="s">
        <v>5647</v>
      </c>
      <c r="H1159" s="1794">
        <v>0</v>
      </c>
      <c r="I1159" s="1794">
        <v>0</v>
      </c>
      <c r="J1159" s="2000">
        <v>0</v>
      </c>
      <c r="K1159" s="1798"/>
      <c r="L1159" s="1792">
        <v>13105000400</v>
      </c>
      <c r="M1159" s="1793">
        <v>0</v>
      </c>
      <c r="N1159" s="1793">
        <v>0</v>
      </c>
      <c r="O1159" s="1793">
        <v>0</v>
      </c>
    </row>
    <row r="1160" spans="3:15">
      <c r="C1160" s="1799" t="s">
        <v>5648</v>
      </c>
      <c r="D1160" s="1796">
        <v>0</v>
      </c>
      <c r="E1160" s="1796">
        <v>0</v>
      </c>
      <c r="F1160" s="1797">
        <v>0</v>
      </c>
      <c r="G1160" s="1999" t="s">
        <v>5648</v>
      </c>
      <c r="H1160" s="1794">
        <v>0</v>
      </c>
      <c r="I1160" s="1794">
        <v>1</v>
      </c>
      <c r="J1160" s="2000">
        <v>1</v>
      </c>
      <c r="K1160" s="1798"/>
      <c r="L1160" s="1792">
        <v>13105000500</v>
      </c>
      <c r="M1160" s="1793">
        <v>0</v>
      </c>
      <c r="N1160" s="1793">
        <v>1</v>
      </c>
      <c r="O1160" s="1793">
        <v>1</v>
      </c>
    </row>
    <row r="1161" spans="3:15">
      <c r="C1161" s="1799" t="s">
        <v>5649</v>
      </c>
      <c r="D1161" s="1796">
        <v>0</v>
      </c>
      <c r="E1161" s="1796">
        <v>0</v>
      </c>
      <c r="F1161" s="1797">
        <v>0</v>
      </c>
      <c r="G1161" s="1999" t="s">
        <v>5649</v>
      </c>
      <c r="H1161" s="1794">
        <v>0</v>
      </c>
      <c r="I1161" s="1794">
        <v>0</v>
      </c>
      <c r="J1161" s="2000">
        <v>0</v>
      </c>
      <c r="K1161" s="1798"/>
      <c r="L1161" s="1792">
        <v>13107970100</v>
      </c>
      <c r="M1161" s="1793">
        <v>0</v>
      </c>
      <c r="N1161" s="1793">
        <v>0</v>
      </c>
      <c r="O1161" s="1793">
        <v>0</v>
      </c>
    </row>
    <row r="1162" spans="3:15">
      <c r="C1162" s="1799" t="s">
        <v>5650</v>
      </c>
      <c r="D1162" s="1796">
        <v>0</v>
      </c>
      <c r="E1162" s="1796">
        <v>0</v>
      </c>
      <c r="F1162" s="1797">
        <v>0</v>
      </c>
      <c r="G1162" s="1999" t="s">
        <v>5650</v>
      </c>
      <c r="H1162" s="1794">
        <v>0</v>
      </c>
      <c r="I1162" s="1794">
        <v>0</v>
      </c>
      <c r="J1162" s="2000">
        <v>0</v>
      </c>
      <c r="K1162" s="1798"/>
      <c r="L1162" s="1792">
        <v>13107970200</v>
      </c>
      <c r="M1162" s="1793">
        <v>0</v>
      </c>
      <c r="N1162" s="1793">
        <v>0</v>
      </c>
      <c r="O1162" s="1793">
        <v>0</v>
      </c>
    </row>
    <row r="1163" spans="3:15">
      <c r="C1163" s="1799" t="s">
        <v>5651</v>
      </c>
      <c r="D1163" s="1796">
        <v>0</v>
      </c>
      <c r="E1163" s="1796">
        <v>0</v>
      </c>
      <c r="F1163" s="1797">
        <v>0</v>
      </c>
      <c r="G1163" s="1999" t="s">
        <v>5651</v>
      </c>
      <c r="H1163" s="1794">
        <v>0</v>
      </c>
      <c r="I1163" s="1794">
        <v>0</v>
      </c>
      <c r="J1163" s="2000">
        <v>0</v>
      </c>
      <c r="K1163" s="1798"/>
      <c r="L1163" s="1792">
        <v>13107970300</v>
      </c>
      <c r="M1163" s="1793">
        <v>0</v>
      </c>
      <c r="N1163" s="1793">
        <v>0</v>
      </c>
      <c r="O1163" s="1793">
        <v>0</v>
      </c>
    </row>
    <row r="1164" spans="3:15">
      <c r="C1164" s="1799" t="s">
        <v>5652</v>
      </c>
      <c r="D1164" s="1796">
        <v>0</v>
      </c>
      <c r="E1164" s="1796">
        <v>0</v>
      </c>
      <c r="F1164" s="1797">
        <v>0</v>
      </c>
      <c r="G1164" s="1999" t="s">
        <v>5652</v>
      </c>
      <c r="H1164" s="1794">
        <v>0</v>
      </c>
      <c r="I1164" s="1794">
        <v>0</v>
      </c>
      <c r="J1164" s="2000">
        <v>0</v>
      </c>
      <c r="K1164" s="1798"/>
      <c r="L1164" s="1792">
        <v>13107970400</v>
      </c>
      <c r="M1164" s="1793">
        <v>0</v>
      </c>
      <c r="N1164" s="1793">
        <v>0</v>
      </c>
      <c r="O1164" s="1793">
        <v>0</v>
      </c>
    </row>
    <row r="1165" spans="3:15">
      <c r="C1165" s="1799" t="s">
        <v>5653</v>
      </c>
      <c r="D1165" s="1796">
        <v>0</v>
      </c>
      <c r="E1165" s="1796">
        <v>0</v>
      </c>
      <c r="F1165" s="1797">
        <v>0</v>
      </c>
      <c r="G1165" s="1999" t="s">
        <v>5653</v>
      </c>
      <c r="H1165" s="1794">
        <v>0</v>
      </c>
      <c r="I1165" s="1794">
        <v>0</v>
      </c>
      <c r="J1165" s="2000">
        <v>0</v>
      </c>
      <c r="K1165" s="1798"/>
      <c r="L1165" s="1792">
        <v>13107970500</v>
      </c>
      <c r="M1165" s="1793">
        <v>0</v>
      </c>
      <c r="N1165" s="1793">
        <v>0</v>
      </c>
      <c r="O1165" s="1793">
        <v>0</v>
      </c>
    </row>
    <row r="1166" spans="3:15">
      <c r="C1166" s="1799" t="s">
        <v>5654</v>
      </c>
      <c r="D1166" s="1796">
        <v>0</v>
      </c>
      <c r="E1166" s="1796">
        <v>0</v>
      </c>
      <c r="F1166" s="1797">
        <v>0</v>
      </c>
      <c r="G1166" s="1999" t="s">
        <v>5654</v>
      </c>
      <c r="H1166" s="1794">
        <v>0</v>
      </c>
      <c r="I1166" s="1794">
        <v>0</v>
      </c>
      <c r="J1166" s="2000">
        <v>0</v>
      </c>
      <c r="K1166" s="1798"/>
      <c r="L1166" s="1792">
        <v>13107970600</v>
      </c>
      <c r="M1166" s="1793">
        <v>0</v>
      </c>
      <c r="N1166" s="1793">
        <v>0</v>
      </c>
      <c r="O1166" s="1793">
        <v>0</v>
      </c>
    </row>
    <row r="1167" spans="3:15">
      <c r="C1167" s="1799" t="s">
        <v>5655</v>
      </c>
      <c r="D1167" s="1796">
        <v>0</v>
      </c>
      <c r="E1167" s="1796">
        <v>0</v>
      </c>
      <c r="F1167" s="1797">
        <v>0</v>
      </c>
      <c r="G1167" s="1999" t="s">
        <v>5655</v>
      </c>
      <c r="H1167" s="1794">
        <v>0</v>
      </c>
      <c r="I1167" s="1794">
        <v>0</v>
      </c>
      <c r="J1167" s="2000">
        <v>0</v>
      </c>
      <c r="K1167" s="1798"/>
      <c r="L1167" s="1792">
        <v>13109970100</v>
      </c>
      <c r="M1167" s="1793">
        <v>0</v>
      </c>
      <c r="N1167" s="1793">
        <v>0</v>
      </c>
      <c r="O1167" s="1793">
        <v>0</v>
      </c>
    </row>
    <row r="1168" spans="3:15">
      <c r="C1168" s="1799" t="s">
        <v>5656</v>
      </c>
      <c r="D1168" s="1796">
        <v>0</v>
      </c>
      <c r="E1168" s="1796">
        <v>0</v>
      </c>
      <c r="F1168" s="1797">
        <v>0</v>
      </c>
      <c r="G1168" s="1999" t="s">
        <v>5656</v>
      </c>
      <c r="H1168" s="1794">
        <v>0</v>
      </c>
      <c r="I1168" s="1794">
        <v>0</v>
      </c>
      <c r="J1168" s="2000">
        <v>0</v>
      </c>
      <c r="K1168" s="1798"/>
      <c r="L1168" s="1792">
        <v>13109970200</v>
      </c>
      <c r="M1168" s="1793">
        <v>0</v>
      </c>
      <c r="N1168" s="1793">
        <v>0</v>
      </c>
      <c r="O1168" s="1793">
        <v>0</v>
      </c>
    </row>
    <row r="1169" spans="3:15">
      <c r="C1169" s="1799" t="s">
        <v>5657</v>
      </c>
      <c r="D1169" s="1796">
        <v>0</v>
      </c>
      <c r="E1169" s="1796">
        <v>0</v>
      </c>
      <c r="F1169" s="1797">
        <v>0</v>
      </c>
      <c r="G1169" s="1999" t="s">
        <v>5657</v>
      </c>
      <c r="H1169" s="1794">
        <v>0</v>
      </c>
      <c r="I1169" s="1794">
        <v>0</v>
      </c>
      <c r="J1169" s="2000">
        <v>0</v>
      </c>
      <c r="K1169" s="1798"/>
      <c r="L1169" s="1792">
        <v>13109970300</v>
      </c>
      <c r="M1169" s="1793">
        <v>0</v>
      </c>
      <c r="N1169" s="1793">
        <v>0</v>
      </c>
      <c r="O1169" s="1793">
        <v>0</v>
      </c>
    </row>
    <row r="1170" spans="3:15">
      <c r="C1170" s="1799" t="s">
        <v>5658</v>
      </c>
      <c r="D1170" s="1796">
        <v>0</v>
      </c>
      <c r="E1170" s="1796">
        <v>0</v>
      </c>
      <c r="F1170" s="1797">
        <v>0</v>
      </c>
      <c r="G1170" s="1999" t="s">
        <v>5658</v>
      </c>
      <c r="H1170" s="1794">
        <v>0</v>
      </c>
      <c r="I1170" s="1794">
        <v>0</v>
      </c>
      <c r="J1170" s="2000">
        <v>0</v>
      </c>
      <c r="K1170" s="1798"/>
      <c r="L1170" s="1792">
        <v>13111050100</v>
      </c>
      <c r="M1170" s="1793">
        <v>0</v>
      </c>
      <c r="N1170" s="1793">
        <v>0</v>
      </c>
      <c r="O1170" s="1793">
        <v>0</v>
      </c>
    </row>
    <row r="1171" spans="3:15">
      <c r="C1171" s="1799" t="s">
        <v>5659</v>
      </c>
      <c r="D1171" s="1796">
        <v>0</v>
      </c>
      <c r="E1171" s="1796">
        <v>0</v>
      </c>
      <c r="F1171" s="1797">
        <v>0</v>
      </c>
      <c r="G1171" s="1999" t="s">
        <v>5659</v>
      </c>
      <c r="H1171" s="1794">
        <v>0</v>
      </c>
      <c r="I1171" s="1794">
        <v>0</v>
      </c>
      <c r="J1171" s="2000">
        <v>0</v>
      </c>
      <c r="K1171" s="1798"/>
      <c r="L1171" s="1792">
        <v>13111050200</v>
      </c>
      <c r="M1171" s="1793">
        <v>0</v>
      </c>
      <c r="N1171" s="1793">
        <v>0</v>
      </c>
      <c r="O1171" s="1793">
        <v>0</v>
      </c>
    </row>
    <row r="1172" spans="3:15">
      <c r="C1172" s="1799" t="s">
        <v>5660</v>
      </c>
      <c r="D1172" s="1796">
        <v>0</v>
      </c>
      <c r="E1172" s="1796">
        <v>0</v>
      </c>
      <c r="F1172" s="1797">
        <v>0</v>
      </c>
      <c r="G1172" s="1999" t="s">
        <v>5660</v>
      </c>
      <c r="H1172" s="1794">
        <v>0</v>
      </c>
      <c r="I1172" s="1794" t="s">
        <v>4483</v>
      </c>
      <c r="J1172" s="2000">
        <v>0</v>
      </c>
      <c r="K1172" s="1798"/>
      <c r="L1172" s="1792">
        <v>13111050300</v>
      </c>
      <c r="M1172" s="1793">
        <v>0</v>
      </c>
      <c r="N1172" s="1793">
        <v>0</v>
      </c>
      <c r="O1172" s="1793">
        <v>0</v>
      </c>
    </row>
    <row r="1173" spans="3:15">
      <c r="C1173" s="1799" t="s">
        <v>5661</v>
      </c>
      <c r="D1173" s="1796">
        <v>0</v>
      </c>
      <c r="E1173" s="1796">
        <v>0</v>
      </c>
      <c r="F1173" s="1797">
        <v>0</v>
      </c>
      <c r="G1173" s="1999" t="s">
        <v>5661</v>
      </c>
      <c r="H1173" s="1794">
        <v>0</v>
      </c>
      <c r="I1173" s="1794">
        <v>1</v>
      </c>
      <c r="J1173" s="2000">
        <v>1</v>
      </c>
      <c r="K1173" s="1798"/>
      <c r="L1173" s="1792">
        <v>13111050400</v>
      </c>
      <c r="M1173" s="1793">
        <v>0</v>
      </c>
      <c r="N1173" s="1793">
        <v>1</v>
      </c>
      <c r="O1173" s="1793">
        <v>1</v>
      </c>
    </row>
    <row r="1174" spans="3:15">
      <c r="C1174" s="1799" t="s">
        <v>5662</v>
      </c>
      <c r="D1174" s="1796">
        <v>0</v>
      </c>
      <c r="E1174" s="1796">
        <v>0</v>
      </c>
      <c r="F1174" s="1797">
        <v>0</v>
      </c>
      <c r="G1174" s="1999" t="s">
        <v>5662</v>
      </c>
      <c r="H1174" s="1794">
        <v>1</v>
      </c>
      <c r="I1174" s="1794">
        <v>0</v>
      </c>
      <c r="J1174" s="2000">
        <v>1</v>
      </c>
      <c r="K1174" s="1798"/>
      <c r="L1174" s="1792">
        <v>13111050500</v>
      </c>
      <c r="M1174" s="1793">
        <v>1</v>
      </c>
      <c r="N1174" s="1793">
        <v>0</v>
      </c>
      <c r="O1174" s="1793">
        <v>1</v>
      </c>
    </row>
    <row r="1175" spans="3:15">
      <c r="C1175" s="1799" t="s">
        <v>5663</v>
      </c>
      <c r="D1175" s="1796">
        <v>1</v>
      </c>
      <c r="E1175" s="1796">
        <v>0</v>
      </c>
      <c r="F1175" s="1797">
        <v>1</v>
      </c>
      <c r="G1175" s="1999" t="s">
        <v>5663</v>
      </c>
      <c r="H1175" s="1794">
        <v>1</v>
      </c>
      <c r="I1175" s="1794">
        <v>1</v>
      </c>
      <c r="J1175" s="2000">
        <v>2</v>
      </c>
      <c r="K1175" s="1798"/>
      <c r="L1175" s="1792">
        <v>13113140101</v>
      </c>
      <c r="M1175" s="1793">
        <v>1</v>
      </c>
      <c r="N1175" s="1793">
        <v>1</v>
      </c>
      <c r="O1175" s="1793">
        <v>2</v>
      </c>
    </row>
    <row r="1176" spans="3:15">
      <c r="C1176" s="1799" t="s">
        <v>5664</v>
      </c>
      <c r="D1176" s="1796">
        <v>1</v>
      </c>
      <c r="E1176" s="1796">
        <v>1</v>
      </c>
      <c r="F1176" s="1797">
        <v>2</v>
      </c>
      <c r="G1176" s="1999" t="s">
        <v>5664</v>
      </c>
      <c r="H1176" s="1794">
        <v>1</v>
      </c>
      <c r="I1176" s="1794">
        <v>1</v>
      </c>
      <c r="J1176" s="2000">
        <v>2</v>
      </c>
      <c r="K1176" s="1798"/>
      <c r="L1176" s="1792">
        <v>13113140102</v>
      </c>
      <c r="M1176" s="1793">
        <v>1</v>
      </c>
      <c r="N1176" s="1793">
        <v>1</v>
      </c>
      <c r="O1176" s="1793">
        <v>2</v>
      </c>
    </row>
    <row r="1177" spans="3:15">
      <c r="C1177" s="1799" t="s">
        <v>5665</v>
      </c>
      <c r="D1177" s="1796">
        <v>1</v>
      </c>
      <c r="E1177" s="1796">
        <v>1</v>
      </c>
      <c r="F1177" s="1797">
        <v>2</v>
      </c>
      <c r="G1177" s="1999" t="s">
        <v>5665</v>
      </c>
      <c r="H1177" s="1794">
        <v>1</v>
      </c>
      <c r="I1177" s="1794">
        <v>1</v>
      </c>
      <c r="J1177" s="2000">
        <v>2</v>
      </c>
      <c r="K1177" s="1798"/>
      <c r="L1177" s="1792">
        <v>13113140203</v>
      </c>
      <c r="M1177" s="1793">
        <v>1</v>
      </c>
      <c r="N1177" s="1793">
        <v>1</v>
      </c>
      <c r="O1177" s="1793">
        <v>2</v>
      </c>
    </row>
    <row r="1178" spans="3:15">
      <c r="C1178" s="1799" t="s">
        <v>5666</v>
      </c>
      <c r="D1178" s="1796">
        <v>1</v>
      </c>
      <c r="E1178" s="1796">
        <v>1</v>
      </c>
      <c r="F1178" s="1797">
        <v>2</v>
      </c>
      <c r="G1178" s="1999" t="s">
        <v>5666</v>
      </c>
      <c r="H1178" s="1794">
        <v>1</v>
      </c>
      <c r="I1178" s="1794">
        <v>1</v>
      </c>
      <c r="J1178" s="2000">
        <v>2</v>
      </c>
      <c r="K1178" s="1798"/>
      <c r="L1178" s="1792">
        <v>13113140204</v>
      </c>
      <c r="M1178" s="1793">
        <v>1</v>
      </c>
      <c r="N1178" s="1793">
        <v>1</v>
      </c>
      <c r="O1178" s="1793">
        <v>2</v>
      </c>
    </row>
    <row r="1179" spans="3:15">
      <c r="C1179" s="1799" t="s">
        <v>5667</v>
      </c>
      <c r="D1179" s="1796">
        <v>1</v>
      </c>
      <c r="E1179" s="1796">
        <v>1</v>
      </c>
      <c r="F1179" s="1797">
        <v>2</v>
      </c>
      <c r="G1179" s="1999" t="s">
        <v>5667</v>
      </c>
      <c r="H1179" s="1794">
        <v>1</v>
      </c>
      <c r="I1179" s="1794">
        <v>1</v>
      </c>
      <c r="J1179" s="2000">
        <v>2</v>
      </c>
      <c r="K1179" s="1798"/>
      <c r="L1179" s="1792">
        <v>13113140206</v>
      </c>
      <c r="M1179" s="1793">
        <v>1</v>
      </c>
      <c r="N1179" s="1793">
        <v>1</v>
      </c>
      <c r="O1179" s="1793">
        <v>2</v>
      </c>
    </row>
    <row r="1180" spans="3:15">
      <c r="C1180" s="1799" t="s">
        <v>5668</v>
      </c>
      <c r="D1180" s="1796">
        <v>1</v>
      </c>
      <c r="E1180" s="1796">
        <v>1</v>
      </c>
      <c r="F1180" s="1797">
        <v>2</v>
      </c>
      <c r="G1180" s="1999" t="s">
        <v>5668</v>
      </c>
      <c r="H1180" s="1794">
        <v>1</v>
      </c>
      <c r="I1180" s="1794">
        <v>1</v>
      </c>
      <c r="J1180" s="2000">
        <v>2</v>
      </c>
      <c r="K1180" s="1798"/>
      <c r="L1180" s="1792">
        <v>13113140207</v>
      </c>
      <c r="M1180" s="1793">
        <v>1</v>
      </c>
      <c r="N1180" s="1793">
        <v>1</v>
      </c>
      <c r="O1180" s="1793">
        <v>2</v>
      </c>
    </row>
    <row r="1181" spans="3:15">
      <c r="C1181" s="1799" t="s">
        <v>5669</v>
      </c>
      <c r="D1181" s="1796">
        <v>1</v>
      </c>
      <c r="E1181" s="1796">
        <v>1</v>
      </c>
      <c r="F1181" s="1797">
        <v>2</v>
      </c>
      <c r="G1181" s="1999" t="s">
        <v>5669</v>
      </c>
      <c r="H1181" s="1794">
        <v>1</v>
      </c>
      <c r="I1181" s="1794">
        <v>1</v>
      </c>
      <c r="J1181" s="2000">
        <v>2</v>
      </c>
      <c r="K1181" s="1798"/>
      <c r="L1181" s="1792">
        <v>13113140208</v>
      </c>
      <c r="M1181" s="1793">
        <v>1</v>
      </c>
      <c r="N1181" s="1793">
        <v>1</v>
      </c>
      <c r="O1181" s="1793">
        <v>2</v>
      </c>
    </row>
    <row r="1182" spans="3:15">
      <c r="C1182" s="1799" t="s">
        <v>5670</v>
      </c>
      <c r="D1182" s="1796">
        <v>1</v>
      </c>
      <c r="E1182" s="1796">
        <v>1</v>
      </c>
      <c r="F1182" s="1797">
        <v>2</v>
      </c>
      <c r="G1182" s="1999" t="s">
        <v>5670</v>
      </c>
      <c r="H1182" s="1794">
        <v>1</v>
      </c>
      <c r="I1182" s="1794">
        <v>1</v>
      </c>
      <c r="J1182" s="2000">
        <v>2</v>
      </c>
      <c r="K1182" s="1798"/>
      <c r="L1182" s="1792">
        <v>13113140303</v>
      </c>
      <c r="M1182" s="1793">
        <v>1</v>
      </c>
      <c r="N1182" s="1793">
        <v>1</v>
      </c>
      <c r="O1182" s="1793">
        <v>2</v>
      </c>
    </row>
    <row r="1183" spans="3:15">
      <c r="C1183" s="1799" t="s">
        <v>5671</v>
      </c>
      <c r="D1183" s="1796">
        <v>1</v>
      </c>
      <c r="E1183" s="1796">
        <v>1</v>
      </c>
      <c r="F1183" s="1797">
        <v>2</v>
      </c>
      <c r="G1183" s="1999" t="s">
        <v>5671</v>
      </c>
      <c r="H1183" s="1794">
        <v>1</v>
      </c>
      <c r="I1183" s="1794">
        <v>1</v>
      </c>
      <c r="J1183" s="2000">
        <v>2</v>
      </c>
      <c r="K1183" s="1798"/>
      <c r="L1183" s="1792">
        <v>13113140304</v>
      </c>
      <c r="M1183" s="1793">
        <v>1</v>
      </c>
      <c r="N1183" s="1793">
        <v>1</v>
      </c>
      <c r="O1183" s="1793">
        <v>2</v>
      </c>
    </row>
    <row r="1184" spans="3:15">
      <c r="C1184" s="1799" t="s">
        <v>5672</v>
      </c>
      <c r="D1184" s="1796">
        <v>1</v>
      </c>
      <c r="E1184" s="1796">
        <v>1</v>
      </c>
      <c r="F1184" s="1797">
        <v>2</v>
      </c>
      <c r="G1184" s="1999" t="s">
        <v>5672</v>
      </c>
      <c r="H1184" s="1794">
        <v>1</v>
      </c>
      <c r="I1184" s="1794">
        <v>1</v>
      </c>
      <c r="J1184" s="2000">
        <v>2</v>
      </c>
      <c r="K1184" s="1798"/>
      <c r="L1184" s="1792">
        <v>13113140305</v>
      </c>
      <c r="M1184" s="1793">
        <v>1</v>
      </c>
      <c r="N1184" s="1793">
        <v>1</v>
      </c>
      <c r="O1184" s="1793">
        <v>2</v>
      </c>
    </row>
    <row r="1185" spans="3:15">
      <c r="C1185" s="1799" t="s">
        <v>5673</v>
      </c>
      <c r="D1185" s="1796">
        <v>1</v>
      </c>
      <c r="E1185" s="1796">
        <v>1</v>
      </c>
      <c r="F1185" s="1797">
        <v>2</v>
      </c>
      <c r="G1185" s="1999" t="s">
        <v>5673</v>
      </c>
      <c r="H1185" s="1794">
        <v>1</v>
      </c>
      <c r="I1185" s="1794">
        <v>1</v>
      </c>
      <c r="J1185" s="2000">
        <v>2</v>
      </c>
      <c r="K1185" s="1798"/>
      <c r="L1185" s="1792">
        <v>13113140306</v>
      </c>
      <c r="M1185" s="1793">
        <v>1</v>
      </c>
      <c r="N1185" s="1793">
        <v>1</v>
      </c>
      <c r="O1185" s="1793">
        <v>2</v>
      </c>
    </row>
    <row r="1186" spans="3:15">
      <c r="C1186" s="1799" t="s">
        <v>5674</v>
      </c>
      <c r="D1186" s="1796">
        <v>1</v>
      </c>
      <c r="E1186" s="1796">
        <v>1</v>
      </c>
      <c r="F1186" s="1797">
        <v>2</v>
      </c>
      <c r="G1186" s="1999" t="s">
        <v>5674</v>
      </c>
      <c r="H1186" s="1794">
        <v>1</v>
      </c>
      <c r="I1186" s="1794">
        <v>1</v>
      </c>
      <c r="J1186" s="2000">
        <v>2</v>
      </c>
      <c r="K1186" s="1798"/>
      <c r="L1186" s="1792">
        <v>13113140307</v>
      </c>
      <c r="M1186" s="1793">
        <v>1</v>
      </c>
      <c r="N1186" s="1793">
        <v>1</v>
      </c>
      <c r="O1186" s="1793">
        <v>2</v>
      </c>
    </row>
    <row r="1187" spans="3:15">
      <c r="C1187" s="1799" t="s">
        <v>5675</v>
      </c>
      <c r="D1187" s="1796">
        <v>1</v>
      </c>
      <c r="E1187" s="1796">
        <v>1</v>
      </c>
      <c r="F1187" s="1797">
        <v>2</v>
      </c>
      <c r="G1187" s="1999" t="s">
        <v>5675</v>
      </c>
      <c r="H1187" s="1794">
        <v>1</v>
      </c>
      <c r="I1187" s="1794">
        <v>1</v>
      </c>
      <c r="J1187" s="2000">
        <v>2</v>
      </c>
      <c r="K1187" s="1798"/>
      <c r="L1187" s="1792">
        <v>13113140403</v>
      </c>
      <c r="M1187" s="1793">
        <v>1</v>
      </c>
      <c r="N1187" s="1793">
        <v>1</v>
      </c>
      <c r="O1187" s="1793">
        <v>2</v>
      </c>
    </row>
    <row r="1188" spans="3:15">
      <c r="C1188" s="1799" t="s">
        <v>5676</v>
      </c>
      <c r="D1188" s="1796">
        <v>1</v>
      </c>
      <c r="E1188" s="1796">
        <v>1</v>
      </c>
      <c r="F1188" s="1797">
        <v>2</v>
      </c>
      <c r="G1188" s="1999" t="s">
        <v>5676</v>
      </c>
      <c r="H1188" s="1794">
        <v>1</v>
      </c>
      <c r="I1188" s="1794">
        <v>1</v>
      </c>
      <c r="J1188" s="2000">
        <v>2</v>
      </c>
      <c r="K1188" s="1798"/>
      <c r="L1188" s="1792">
        <v>13113140404</v>
      </c>
      <c r="M1188" s="1793">
        <v>1</v>
      </c>
      <c r="N1188" s="1793">
        <v>1</v>
      </c>
      <c r="O1188" s="1793">
        <v>2</v>
      </c>
    </row>
    <row r="1189" spans="3:15">
      <c r="C1189" s="1799" t="s">
        <v>5677</v>
      </c>
      <c r="D1189" s="1796">
        <v>1</v>
      </c>
      <c r="E1189" s="1796">
        <v>1</v>
      </c>
      <c r="F1189" s="1797">
        <v>2</v>
      </c>
      <c r="G1189" s="1999" t="s">
        <v>5677</v>
      </c>
      <c r="H1189" s="1794">
        <v>1</v>
      </c>
      <c r="I1189" s="1794">
        <v>1</v>
      </c>
      <c r="J1189" s="2000">
        <v>2</v>
      </c>
      <c r="K1189" s="1798"/>
      <c r="L1189" s="1792">
        <v>13113140405</v>
      </c>
      <c r="M1189" s="1793">
        <v>1</v>
      </c>
      <c r="N1189" s="1793">
        <v>1</v>
      </c>
      <c r="O1189" s="1793">
        <v>2</v>
      </c>
    </row>
    <row r="1190" spans="3:15">
      <c r="C1190" s="1799" t="s">
        <v>5678</v>
      </c>
      <c r="D1190" s="1796">
        <v>0</v>
      </c>
      <c r="E1190" s="1796">
        <v>1</v>
      </c>
      <c r="F1190" s="1797">
        <v>1</v>
      </c>
      <c r="G1190" s="1999" t="s">
        <v>5678</v>
      </c>
      <c r="H1190" s="1794">
        <v>0</v>
      </c>
      <c r="I1190" s="1794">
        <v>1</v>
      </c>
      <c r="J1190" s="2000">
        <v>1</v>
      </c>
      <c r="K1190" s="1798"/>
      <c r="L1190" s="1792">
        <v>13113140406</v>
      </c>
      <c r="M1190" s="1793">
        <v>0</v>
      </c>
      <c r="N1190" s="1793">
        <v>1</v>
      </c>
      <c r="O1190" s="1793">
        <v>1</v>
      </c>
    </row>
    <row r="1191" spans="3:15">
      <c r="C1191" s="1799" t="s">
        <v>5679</v>
      </c>
      <c r="D1191" s="1796">
        <v>1</v>
      </c>
      <c r="E1191" s="1796">
        <v>1</v>
      </c>
      <c r="F1191" s="1797">
        <v>2</v>
      </c>
      <c r="G1191" s="1999" t="s">
        <v>5679</v>
      </c>
      <c r="H1191" s="1794">
        <v>1</v>
      </c>
      <c r="I1191" s="1794">
        <v>1</v>
      </c>
      <c r="J1191" s="2000">
        <v>2</v>
      </c>
      <c r="K1191" s="1798"/>
      <c r="L1191" s="1792">
        <v>13113140407</v>
      </c>
      <c r="M1191" s="1793">
        <v>1</v>
      </c>
      <c r="N1191" s="1793">
        <v>1</v>
      </c>
      <c r="O1191" s="1793">
        <v>2</v>
      </c>
    </row>
    <row r="1192" spans="3:15">
      <c r="C1192" s="1799" t="s">
        <v>5680</v>
      </c>
      <c r="D1192" s="1796">
        <v>1</v>
      </c>
      <c r="E1192" s="1796">
        <v>1</v>
      </c>
      <c r="F1192" s="1797">
        <v>2</v>
      </c>
      <c r="G1192" s="1999" t="s">
        <v>5680</v>
      </c>
      <c r="H1192" s="1794">
        <v>1</v>
      </c>
      <c r="I1192" s="1794">
        <v>1</v>
      </c>
      <c r="J1192" s="2000">
        <v>2</v>
      </c>
      <c r="K1192" s="1798"/>
      <c r="L1192" s="1792">
        <v>13113140408</v>
      </c>
      <c r="M1192" s="1793">
        <v>1</v>
      </c>
      <c r="N1192" s="1793">
        <v>1</v>
      </c>
      <c r="O1192" s="1793">
        <v>2</v>
      </c>
    </row>
    <row r="1193" spans="3:15">
      <c r="C1193" s="1799" t="s">
        <v>5681</v>
      </c>
      <c r="D1193" s="1796">
        <v>1</v>
      </c>
      <c r="E1193" s="1796">
        <v>1</v>
      </c>
      <c r="F1193" s="1797">
        <v>2</v>
      </c>
      <c r="G1193" s="1999" t="s">
        <v>5681</v>
      </c>
      <c r="H1193" s="1794">
        <v>1</v>
      </c>
      <c r="I1193" s="1794">
        <v>1</v>
      </c>
      <c r="J1193" s="2000">
        <v>2</v>
      </c>
      <c r="K1193" s="1798"/>
      <c r="L1193" s="1792">
        <v>13113140501</v>
      </c>
      <c r="M1193" s="1793">
        <v>1</v>
      </c>
      <c r="N1193" s="1793">
        <v>1</v>
      </c>
      <c r="O1193" s="1793">
        <v>2</v>
      </c>
    </row>
    <row r="1194" spans="3:15">
      <c r="C1194" s="1799" t="s">
        <v>5682</v>
      </c>
      <c r="D1194" s="1796">
        <v>1</v>
      </c>
      <c r="E1194" s="1796">
        <v>1</v>
      </c>
      <c r="F1194" s="1797">
        <v>2</v>
      </c>
      <c r="G1194" s="1999" t="s">
        <v>5682</v>
      </c>
      <c r="H1194" s="1794">
        <v>1</v>
      </c>
      <c r="I1194" s="1794">
        <v>1</v>
      </c>
      <c r="J1194" s="2000">
        <v>2</v>
      </c>
      <c r="K1194" s="1798"/>
      <c r="L1194" s="1792">
        <v>13113140502</v>
      </c>
      <c r="M1194" s="1793">
        <v>1</v>
      </c>
      <c r="N1194" s="1793">
        <v>1</v>
      </c>
      <c r="O1194" s="1793">
        <v>2</v>
      </c>
    </row>
    <row r="1195" spans="3:15">
      <c r="C1195" s="1799" t="s">
        <v>5683</v>
      </c>
      <c r="D1195" s="1796">
        <v>0</v>
      </c>
      <c r="E1195" s="1796">
        <v>0</v>
      </c>
      <c r="F1195" s="1797">
        <v>0</v>
      </c>
      <c r="G1195" s="1999" t="s">
        <v>5683</v>
      </c>
      <c r="H1195" s="1794">
        <v>0</v>
      </c>
      <c r="I1195" s="1794">
        <v>1</v>
      </c>
      <c r="J1195" s="2000">
        <v>1</v>
      </c>
      <c r="K1195" s="1798"/>
      <c r="L1195" s="1792">
        <v>13115000100</v>
      </c>
      <c r="M1195" s="1793">
        <v>0</v>
      </c>
      <c r="N1195" s="1793">
        <v>1</v>
      </c>
      <c r="O1195" s="1793">
        <v>1</v>
      </c>
    </row>
    <row r="1196" spans="3:15">
      <c r="C1196" s="1799" t="s">
        <v>5684</v>
      </c>
      <c r="D1196" s="1796">
        <v>1</v>
      </c>
      <c r="E1196" s="1796">
        <v>1</v>
      </c>
      <c r="F1196" s="1797">
        <v>2</v>
      </c>
      <c r="G1196" s="1999" t="s">
        <v>5684</v>
      </c>
      <c r="H1196" s="1794">
        <v>1</v>
      </c>
      <c r="I1196" s="1794">
        <v>0</v>
      </c>
      <c r="J1196" s="2000">
        <v>1</v>
      </c>
      <c r="K1196" s="1798"/>
      <c r="L1196" s="1792">
        <v>13115000201</v>
      </c>
      <c r="M1196" s="1793">
        <v>1</v>
      </c>
      <c r="N1196" s="1793">
        <v>1</v>
      </c>
      <c r="O1196" s="1793">
        <v>2</v>
      </c>
    </row>
    <row r="1197" spans="3:15">
      <c r="C1197" s="1799" t="s">
        <v>5685</v>
      </c>
      <c r="D1197" s="1796">
        <v>1</v>
      </c>
      <c r="E1197" s="1796">
        <v>1</v>
      </c>
      <c r="F1197" s="1797">
        <v>2</v>
      </c>
      <c r="G1197" s="1999" t="s">
        <v>5685</v>
      </c>
      <c r="H1197" s="1794">
        <v>1</v>
      </c>
      <c r="I1197" s="1794">
        <v>1</v>
      </c>
      <c r="J1197" s="2000">
        <v>2</v>
      </c>
      <c r="K1197" s="1798"/>
      <c r="L1197" s="1792">
        <v>13115000202</v>
      </c>
      <c r="M1197" s="1793">
        <v>1</v>
      </c>
      <c r="N1197" s="1793">
        <v>1</v>
      </c>
      <c r="O1197" s="1794">
        <v>2</v>
      </c>
    </row>
    <row r="1198" spans="3:15">
      <c r="C1198" s="1799" t="s">
        <v>5686</v>
      </c>
      <c r="D1198" s="1796">
        <v>1</v>
      </c>
      <c r="E1198" s="1796">
        <v>1</v>
      </c>
      <c r="F1198" s="1797">
        <v>2</v>
      </c>
      <c r="G1198" s="1999" t="s">
        <v>5686</v>
      </c>
      <c r="H1198" s="1794">
        <v>1</v>
      </c>
      <c r="I1198" s="1794">
        <v>1</v>
      </c>
      <c r="J1198" s="2000">
        <v>2</v>
      </c>
      <c r="K1198" s="1798"/>
      <c r="L1198" s="1792">
        <v>13115000300</v>
      </c>
      <c r="M1198" s="1793">
        <v>1</v>
      </c>
      <c r="N1198" s="1793">
        <v>1</v>
      </c>
      <c r="O1198" s="1794">
        <v>2</v>
      </c>
    </row>
    <row r="1199" spans="3:15">
      <c r="C1199" s="1799" t="s">
        <v>5687</v>
      </c>
      <c r="D1199" s="1796">
        <v>0</v>
      </c>
      <c r="E1199" s="1796">
        <v>0</v>
      </c>
      <c r="F1199" s="1797">
        <v>0</v>
      </c>
      <c r="G1199" s="1999" t="s">
        <v>5687</v>
      </c>
      <c r="H1199" s="1794">
        <v>0</v>
      </c>
      <c r="I1199" s="1794">
        <v>1</v>
      </c>
      <c r="J1199" s="2000">
        <v>1</v>
      </c>
      <c r="K1199" s="1798"/>
      <c r="L1199" s="1792">
        <v>13115000400</v>
      </c>
      <c r="M1199" s="1793">
        <v>0</v>
      </c>
      <c r="N1199" s="1793">
        <v>1</v>
      </c>
      <c r="O1199" s="1794">
        <v>1</v>
      </c>
    </row>
    <row r="1200" spans="3:15">
      <c r="C1200" s="1799" t="s">
        <v>5688</v>
      </c>
      <c r="D1200" s="1796">
        <v>0</v>
      </c>
      <c r="E1200" s="1796">
        <v>0</v>
      </c>
      <c r="F1200" s="1797">
        <v>0</v>
      </c>
      <c r="G1200" s="1999" t="s">
        <v>5688</v>
      </c>
      <c r="H1200" s="1794">
        <v>0</v>
      </c>
      <c r="I1200" s="1794">
        <v>0</v>
      </c>
      <c r="J1200" s="2000">
        <v>0</v>
      </c>
      <c r="K1200" s="1798"/>
      <c r="L1200" s="1792">
        <v>13115000500</v>
      </c>
      <c r="M1200" s="1793">
        <v>0</v>
      </c>
      <c r="N1200" s="1793">
        <v>0</v>
      </c>
      <c r="O1200" s="1794">
        <v>0</v>
      </c>
    </row>
    <row r="1201" spans="3:15">
      <c r="C1201" s="1799" t="s">
        <v>5689</v>
      </c>
      <c r="D1201" s="1796">
        <v>0</v>
      </c>
      <c r="E1201" s="1796">
        <v>0</v>
      </c>
      <c r="F1201" s="1797">
        <v>0</v>
      </c>
      <c r="G1201" s="1999" t="s">
        <v>5689</v>
      </c>
      <c r="H1201" s="1794">
        <v>0</v>
      </c>
      <c r="I1201" s="1794">
        <v>0</v>
      </c>
      <c r="J1201" s="2000">
        <v>0</v>
      </c>
      <c r="K1201" s="1798"/>
      <c r="L1201" s="1792">
        <v>13115000600</v>
      </c>
      <c r="M1201" s="1793">
        <v>0</v>
      </c>
      <c r="N1201" s="1793">
        <v>0</v>
      </c>
      <c r="O1201" s="1794">
        <v>0</v>
      </c>
    </row>
    <row r="1202" spans="3:15">
      <c r="C1202" s="1799" t="s">
        <v>5690</v>
      </c>
      <c r="D1202" s="1796">
        <v>1</v>
      </c>
      <c r="E1202" s="1796">
        <v>1</v>
      </c>
      <c r="F1202" s="1797">
        <v>2</v>
      </c>
      <c r="G1202" s="1999" t="s">
        <v>5690</v>
      </c>
      <c r="H1202" s="1794">
        <v>0</v>
      </c>
      <c r="I1202" s="1794">
        <v>1</v>
      </c>
      <c r="J1202" s="2000">
        <v>1</v>
      </c>
      <c r="K1202" s="1798"/>
      <c r="L1202" s="1792">
        <v>13115000700</v>
      </c>
      <c r="M1202" s="1793">
        <v>1</v>
      </c>
      <c r="N1202" s="1793">
        <v>1</v>
      </c>
      <c r="O1202" s="1794">
        <v>2</v>
      </c>
    </row>
    <row r="1203" spans="3:15">
      <c r="C1203" s="1799" t="s">
        <v>5691</v>
      </c>
      <c r="D1203" s="1796">
        <v>1</v>
      </c>
      <c r="E1203" s="1796">
        <v>1</v>
      </c>
      <c r="F1203" s="1797">
        <v>2</v>
      </c>
      <c r="G1203" s="1999" t="s">
        <v>5691</v>
      </c>
      <c r="H1203" s="1794">
        <v>1</v>
      </c>
      <c r="I1203" s="1794">
        <v>1</v>
      </c>
      <c r="J1203" s="2000">
        <v>2</v>
      </c>
      <c r="K1203" s="1798"/>
      <c r="L1203" s="1792">
        <v>13115000800</v>
      </c>
      <c r="M1203" s="1793">
        <v>1</v>
      </c>
      <c r="N1203" s="1793">
        <v>1</v>
      </c>
      <c r="O1203" s="1794">
        <v>2</v>
      </c>
    </row>
    <row r="1204" spans="3:15">
      <c r="C1204" s="1799" t="s">
        <v>5692</v>
      </c>
      <c r="D1204" s="1796">
        <v>0</v>
      </c>
      <c r="E1204" s="1796">
        <v>1</v>
      </c>
      <c r="F1204" s="1797">
        <v>1</v>
      </c>
      <c r="G1204" s="1999" t="s">
        <v>5692</v>
      </c>
      <c r="H1204" s="1794">
        <v>0</v>
      </c>
      <c r="I1204" s="1794">
        <v>1</v>
      </c>
      <c r="J1204" s="2000">
        <v>1</v>
      </c>
      <c r="K1204" s="1798"/>
      <c r="L1204" s="1792">
        <v>13115000900</v>
      </c>
      <c r="M1204" s="1793">
        <v>0</v>
      </c>
      <c r="N1204" s="1793">
        <v>1</v>
      </c>
      <c r="O1204" s="1794">
        <v>1</v>
      </c>
    </row>
    <row r="1205" spans="3:15">
      <c r="C1205" s="1799" t="s">
        <v>5693</v>
      </c>
      <c r="D1205" s="1796">
        <v>0</v>
      </c>
      <c r="E1205" s="1796">
        <v>0</v>
      </c>
      <c r="F1205" s="1797">
        <v>0</v>
      </c>
      <c r="G1205" s="1999" t="s">
        <v>5693</v>
      </c>
      <c r="H1205" s="1794">
        <v>0</v>
      </c>
      <c r="I1205" s="1794">
        <v>0</v>
      </c>
      <c r="J1205" s="2000">
        <v>0</v>
      </c>
      <c r="K1205" s="1798"/>
      <c r="L1205" s="1792">
        <v>13115001100</v>
      </c>
      <c r="M1205" s="1793">
        <v>0</v>
      </c>
      <c r="N1205" s="1793">
        <v>0</v>
      </c>
      <c r="O1205" s="1794">
        <v>0</v>
      </c>
    </row>
    <row r="1206" spans="3:15">
      <c r="C1206" s="1799" t="s">
        <v>5694</v>
      </c>
      <c r="D1206" s="1796">
        <v>0</v>
      </c>
      <c r="E1206" s="1796">
        <v>0</v>
      </c>
      <c r="F1206" s="1797">
        <v>0</v>
      </c>
      <c r="G1206" s="1999" t="s">
        <v>5694</v>
      </c>
      <c r="H1206" s="1794">
        <v>0</v>
      </c>
      <c r="I1206" s="1794">
        <v>0</v>
      </c>
      <c r="J1206" s="2000">
        <v>0</v>
      </c>
      <c r="K1206" s="1798"/>
      <c r="L1206" s="1792">
        <v>13115001200</v>
      </c>
      <c r="M1206" s="1793">
        <v>0</v>
      </c>
      <c r="N1206" s="1793">
        <v>0</v>
      </c>
      <c r="O1206" s="1794">
        <v>0</v>
      </c>
    </row>
    <row r="1207" spans="3:15">
      <c r="C1207" s="1799" t="s">
        <v>5695</v>
      </c>
      <c r="D1207" s="1796">
        <v>0</v>
      </c>
      <c r="E1207" s="1796">
        <v>0</v>
      </c>
      <c r="F1207" s="1797">
        <v>0</v>
      </c>
      <c r="G1207" s="1999" t="s">
        <v>5695</v>
      </c>
      <c r="H1207" s="1794">
        <v>0</v>
      </c>
      <c r="I1207" s="1794">
        <v>0</v>
      </c>
      <c r="J1207" s="2000">
        <v>0</v>
      </c>
      <c r="K1207" s="1798"/>
      <c r="L1207" s="1792">
        <v>13115001300</v>
      </c>
      <c r="M1207" s="1793">
        <v>0</v>
      </c>
      <c r="N1207" s="1793">
        <v>0</v>
      </c>
      <c r="O1207" s="1794">
        <v>0</v>
      </c>
    </row>
    <row r="1208" spans="3:15">
      <c r="C1208" s="1799" t="s">
        <v>5696</v>
      </c>
      <c r="D1208" s="1796">
        <v>1</v>
      </c>
      <c r="E1208" s="1796">
        <v>1</v>
      </c>
      <c r="F1208" s="1797">
        <v>2</v>
      </c>
      <c r="G1208" s="1999" t="s">
        <v>5696</v>
      </c>
      <c r="H1208" s="1794">
        <v>0</v>
      </c>
      <c r="I1208" s="1794">
        <v>1</v>
      </c>
      <c r="J1208" s="2000">
        <v>1</v>
      </c>
      <c r="K1208" s="1798"/>
      <c r="L1208" s="1792">
        <v>13115001400</v>
      </c>
      <c r="M1208" s="1793">
        <v>1</v>
      </c>
      <c r="N1208" s="1793">
        <v>1</v>
      </c>
      <c r="O1208" s="1794">
        <v>2</v>
      </c>
    </row>
    <row r="1209" spans="3:15">
      <c r="C1209" s="1799" t="s">
        <v>5697</v>
      </c>
      <c r="D1209" s="1796">
        <v>0</v>
      </c>
      <c r="E1209" s="1796">
        <v>0</v>
      </c>
      <c r="F1209" s="1797">
        <v>0</v>
      </c>
      <c r="G1209" s="1999" t="s">
        <v>5697</v>
      </c>
      <c r="H1209" s="1794">
        <v>0</v>
      </c>
      <c r="I1209" s="1794">
        <v>0</v>
      </c>
      <c r="J1209" s="2000">
        <v>0</v>
      </c>
      <c r="K1209" s="1798"/>
      <c r="L1209" s="1792">
        <v>13115001600</v>
      </c>
      <c r="M1209" s="1793">
        <v>0</v>
      </c>
      <c r="N1209" s="1793">
        <v>0</v>
      </c>
      <c r="O1209" s="1794">
        <v>0</v>
      </c>
    </row>
    <row r="1210" spans="3:15">
      <c r="C1210" s="1799" t="s">
        <v>5698</v>
      </c>
      <c r="D1210" s="1796">
        <v>1</v>
      </c>
      <c r="E1210" s="1796">
        <v>0</v>
      </c>
      <c r="F1210" s="1797">
        <v>1</v>
      </c>
      <c r="G1210" s="1999" t="s">
        <v>5698</v>
      </c>
      <c r="H1210" s="1794">
        <v>1</v>
      </c>
      <c r="I1210" s="1794">
        <v>1</v>
      </c>
      <c r="J1210" s="2000">
        <v>2</v>
      </c>
      <c r="K1210" s="1798"/>
      <c r="L1210" s="1792">
        <v>13115001701</v>
      </c>
      <c r="M1210" s="1793">
        <v>1</v>
      </c>
      <c r="N1210" s="1793">
        <v>1</v>
      </c>
      <c r="O1210" s="1794">
        <v>2</v>
      </c>
    </row>
    <row r="1211" spans="3:15">
      <c r="C1211" s="1799" t="s">
        <v>5699</v>
      </c>
      <c r="D1211" s="1796">
        <v>1</v>
      </c>
      <c r="E1211" s="1796">
        <v>1</v>
      </c>
      <c r="F1211" s="1797">
        <v>2</v>
      </c>
      <c r="G1211" s="1999" t="s">
        <v>5699</v>
      </c>
      <c r="H1211" s="1794">
        <v>0</v>
      </c>
      <c r="I1211" s="1794">
        <v>0</v>
      </c>
      <c r="J1211" s="2000">
        <v>0</v>
      </c>
      <c r="K1211" s="1798"/>
      <c r="L1211" s="1792">
        <v>13115001702</v>
      </c>
      <c r="M1211" s="1793">
        <v>1</v>
      </c>
      <c r="N1211" s="1793">
        <v>1</v>
      </c>
      <c r="O1211" s="1794">
        <v>2</v>
      </c>
    </row>
    <row r="1212" spans="3:15">
      <c r="C1212" s="1799" t="s">
        <v>5700</v>
      </c>
      <c r="D1212" s="1796">
        <v>0</v>
      </c>
      <c r="E1212" s="1796">
        <v>0</v>
      </c>
      <c r="F1212" s="1797">
        <v>0</v>
      </c>
      <c r="G1212" s="1999" t="s">
        <v>5700</v>
      </c>
      <c r="H1212" s="1794">
        <v>0</v>
      </c>
      <c r="I1212" s="1794">
        <v>0</v>
      </c>
      <c r="J1212" s="2000">
        <v>0</v>
      </c>
      <c r="K1212" s="1798"/>
      <c r="L1212" s="1792">
        <v>13115001800</v>
      </c>
      <c r="M1212" s="1793">
        <v>0</v>
      </c>
      <c r="N1212" s="1793">
        <v>0</v>
      </c>
      <c r="O1212" s="1794">
        <v>0</v>
      </c>
    </row>
    <row r="1213" spans="3:15">
      <c r="C1213" s="1799" t="s">
        <v>5701</v>
      </c>
      <c r="D1213" s="1796">
        <v>0</v>
      </c>
      <c r="E1213" s="1796">
        <v>0</v>
      </c>
      <c r="F1213" s="1797">
        <v>0</v>
      </c>
      <c r="G1213" s="1999" t="s">
        <v>5701</v>
      </c>
      <c r="H1213" s="1794">
        <v>0</v>
      </c>
      <c r="I1213" s="1794">
        <v>0</v>
      </c>
      <c r="J1213" s="2000">
        <v>0</v>
      </c>
      <c r="K1213" s="1798"/>
      <c r="L1213" s="1792">
        <v>13115002000</v>
      </c>
      <c r="M1213" s="1793">
        <v>0</v>
      </c>
      <c r="N1213" s="1793">
        <v>0</v>
      </c>
      <c r="O1213" s="1794">
        <v>0</v>
      </c>
    </row>
    <row r="1214" spans="3:15">
      <c r="C1214" s="1799" t="s">
        <v>5702</v>
      </c>
      <c r="D1214" s="1796">
        <v>0</v>
      </c>
      <c r="E1214" s="1796">
        <v>0</v>
      </c>
      <c r="F1214" s="1797">
        <v>0</v>
      </c>
      <c r="G1214" s="1999" t="s">
        <v>5702</v>
      </c>
      <c r="H1214" s="1794">
        <v>0</v>
      </c>
      <c r="I1214" s="1794">
        <v>0</v>
      </c>
      <c r="J1214" s="2000">
        <v>0</v>
      </c>
      <c r="K1214" s="1798"/>
      <c r="L1214" s="1792">
        <v>13115002100</v>
      </c>
      <c r="M1214" s="1793">
        <v>0</v>
      </c>
      <c r="N1214" s="1793">
        <v>0</v>
      </c>
      <c r="O1214" s="1794">
        <v>0</v>
      </c>
    </row>
    <row r="1215" spans="3:15">
      <c r="C1215" s="1799" t="s">
        <v>5703</v>
      </c>
      <c r="D1215" s="1796">
        <v>1</v>
      </c>
      <c r="E1215" s="1796">
        <v>1</v>
      </c>
      <c r="F1215" s="1797">
        <v>2</v>
      </c>
      <c r="G1215" s="1999" t="s">
        <v>5703</v>
      </c>
      <c r="H1215" s="1794">
        <v>1</v>
      </c>
      <c r="I1215" s="1794">
        <v>1</v>
      </c>
      <c r="J1215" s="2000">
        <v>2</v>
      </c>
      <c r="K1215" s="1798"/>
      <c r="L1215" s="1792">
        <v>13117130101</v>
      </c>
      <c r="M1215" s="1793">
        <v>1</v>
      </c>
      <c r="N1215" s="1793">
        <v>1</v>
      </c>
      <c r="O1215" s="1794">
        <v>2</v>
      </c>
    </row>
    <row r="1216" spans="3:15">
      <c r="C1216" s="1799" t="s">
        <v>5704</v>
      </c>
      <c r="D1216" s="1796">
        <v>1</v>
      </c>
      <c r="E1216" s="1796">
        <v>1</v>
      </c>
      <c r="F1216" s="1797">
        <v>2</v>
      </c>
      <c r="G1216" s="1999" t="s">
        <v>5704</v>
      </c>
      <c r="H1216" s="1794">
        <v>1</v>
      </c>
      <c r="I1216" s="1794">
        <v>1</v>
      </c>
      <c r="J1216" s="2000">
        <v>2</v>
      </c>
      <c r="K1216" s="1798"/>
      <c r="L1216" s="1792">
        <v>13117130102</v>
      </c>
      <c r="M1216" s="1793">
        <v>1</v>
      </c>
      <c r="N1216" s="1793">
        <v>1</v>
      </c>
      <c r="O1216" s="1794">
        <v>2</v>
      </c>
    </row>
    <row r="1217" spans="3:15">
      <c r="C1217" s="1799" t="s">
        <v>5705</v>
      </c>
      <c r="D1217" s="1796">
        <v>1</v>
      </c>
      <c r="E1217" s="1796">
        <v>1</v>
      </c>
      <c r="F1217" s="1797">
        <v>2</v>
      </c>
      <c r="G1217" s="1999" t="s">
        <v>5705</v>
      </c>
      <c r="H1217" s="1794">
        <v>1</v>
      </c>
      <c r="I1217" s="1794">
        <v>0</v>
      </c>
      <c r="J1217" s="2000">
        <v>1</v>
      </c>
      <c r="K1217" s="1798"/>
      <c r="L1217" s="1792">
        <v>13117130103</v>
      </c>
      <c r="M1217" s="1793">
        <v>1</v>
      </c>
      <c r="N1217" s="1793">
        <v>1</v>
      </c>
      <c r="O1217" s="1794">
        <v>2</v>
      </c>
    </row>
    <row r="1218" spans="3:15">
      <c r="C1218" s="1799" t="s">
        <v>5706</v>
      </c>
      <c r="D1218" s="1796">
        <v>1</v>
      </c>
      <c r="E1218" s="1796">
        <v>1</v>
      </c>
      <c r="F1218" s="1797">
        <v>2</v>
      </c>
      <c r="G1218" s="1999" t="s">
        <v>5706</v>
      </c>
      <c r="H1218" s="1794">
        <v>1</v>
      </c>
      <c r="I1218" s="1794">
        <v>1</v>
      </c>
      <c r="J1218" s="2000">
        <v>2</v>
      </c>
      <c r="K1218" s="1798"/>
      <c r="L1218" s="1792">
        <v>13117130104</v>
      </c>
      <c r="M1218" s="1793">
        <v>1</v>
      </c>
      <c r="N1218" s="1793">
        <v>1</v>
      </c>
      <c r="O1218" s="1794">
        <v>2</v>
      </c>
    </row>
    <row r="1219" spans="3:15">
      <c r="C1219" s="1799" t="s">
        <v>5707</v>
      </c>
      <c r="D1219" s="1796">
        <v>0</v>
      </c>
      <c r="E1219" s="1796">
        <v>0</v>
      </c>
      <c r="F1219" s="1797">
        <v>0</v>
      </c>
      <c r="G1219" s="1999" t="s">
        <v>5707</v>
      </c>
      <c r="H1219" s="1794">
        <v>0</v>
      </c>
      <c r="I1219" s="1794">
        <v>1</v>
      </c>
      <c r="J1219" s="2000">
        <v>1</v>
      </c>
      <c r="K1219" s="1798"/>
      <c r="L1219" s="1792">
        <v>13117130105</v>
      </c>
      <c r="M1219" s="1793">
        <v>0</v>
      </c>
      <c r="N1219" s="1793">
        <v>1</v>
      </c>
      <c r="O1219" s="1794">
        <v>1</v>
      </c>
    </row>
    <row r="1220" spans="3:15">
      <c r="C1220" s="1799" t="s">
        <v>5708</v>
      </c>
      <c r="D1220" s="1796">
        <v>1</v>
      </c>
      <c r="E1220" s="1796">
        <v>1</v>
      </c>
      <c r="F1220" s="1797">
        <v>2</v>
      </c>
      <c r="G1220" s="1999" t="s">
        <v>5708</v>
      </c>
      <c r="H1220" s="1794">
        <v>1</v>
      </c>
      <c r="I1220" s="1794">
        <v>1</v>
      </c>
      <c r="J1220" s="2000">
        <v>2</v>
      </c>
      <c r="K1220" s="1798"/>
      <c r="L1220" s="1792">
        <v>13117130201</v>
      </c>
      <c r="M1220" s="1793">
        <v>1</v>
      </c>
      <c r="N1220" s="1793">
        <v>1</v>
      </c>
      <c r="O1220" s="1794">
        <v>2</v>
      </c>
    </row>
    <row r="1221" spans="3:15">
      <c r="C1221" s="1799" t="s">
        <v>5709</v>
      </c>
      <c r="D1221" s="1796">
        <v>1</v>
      </c>
      <c r="E1221" s="1796">
        <v>1</v>
      </c>
      <c r="F1221" s="1797">
        <v>2</v>
      </c>
      <c r="G1221" s="1999" t="s">
        <v>5709</v>
      </c>
      <c r="H1221" s="1794">
        <v>1</v>
      </c>
      <c r="I1221" s="1794" t="s">
        <v>4483</v>
      </c>
      <c r="J1221" s="2000">
        <v>1</v>
      </c>
      <c r="K1221" s="1798"/>
      <c r="L1221" s="1792">
        <v>13117130202</v>
      </c>
      <c r="M1221" s="1793">
        <v>1</v>
      </c>
      <c r="N1221" s="1793">
        <v>1</v>
      </c>
      <c r="O1221" s="1794">
        <v>2</v>
      </c>
    </row>
    <row r="1222" spans="3:15">
      <c r="C1222" s="1799" t="s">
        <v>5710</v>
      </c>
      <c r="D1222" s="1796">
        <v>1</v>
      </c>
      <c r="E1222" s="1796">
        <v>1</v>
      </c>
      <c r="F1222" s="1797">
        <v>2</v>
      </c>
      <c r="G1222" s="1999" t="s">
        <v>5710</v>
      </c>
      <c r="H1222" s="1794">
        <v>1</v>
      </c>
      <c r="I1222" s="1794">
        <v>1</v>
      </c>
      <c r="J1222" s="2000">
        <v>2</v>
      </c>
      <c r="K1222" s="1798"/>
      <c r="L1222" s="1792">
        <v>13117130203</v>
      </c>
      <c r="M1222" s="1793">
        <v>1</v>
      </c>
      <c r="N1222" s="1793">
        <v>1</v>
      </c>
      <c r="O1222" s="1794">
        <v>2</v>
      </c>
    </row>
    <row r="1223" spans="3:15">
      <c r="C1223" s="1799" t="s">
        <v>5711</v>
      </c>
      <c r="D1223" s="1796">
        <v>1</v>
      </c>
      <c r="E1223" s="1796">
        <v>0</v>
      </c>
      <c r="F1223" s="1797">
        <v>1</v>
      </c>
      <c r="G1223" s="1999" t="s">
        <v>5711</v>
      </c>
      <c r="H1223" s="1794">
        <v>1</v>
      </c>
      <c r="I1223" s="1794">
        <v>0</v>
      </c>
      <c r="J1223" s="2000">
        <v>1</v>
      </c>
      <c r="K1223" s="1798"/>
      <c r="L1223" s="1792">
        <v>13117130204</v>
      </c>
      <c r="M1223" s="1793">
        <v>1</v>
      </c>
      <c r="N1223" s="1793">
        <v>0</v>
      </c>
      <c r="O1223" s="1794">
        <v>1</v>
      </c>
    </row>
    <row r="1224" spans="3:15">
      <c r="C1224" s="1799" t="s">
        <v>5712</v>
      </c>
      <c r="D1224" s="1796">
        <v>1</v>
      </c>
      <c r="E1224" s="1796">
        <v>1</v>
      </c>
      <c r="F1224" s="1797">
        <v>2</v>
      </c>
      <c r="G1224" s="1999" t="s">
        <v>5712</v>
      </c>
      <c r="H1224" s="1794">
        <v>1</v>
      </c>
      <c r="I1224" s="1794" t="s">
        <v>4483</v>
      </c>
      <c r="J1224" s="2000">
        <v>1</v>
      </c>
      <c r="K1224" s="1798"/>
      <c r="L1224" s="1792">
        <v>13117130205</v>
      </c>
      <c r="M1224" s="1793">
        <v>1</v>
      </c>
      <c r="N1224" s="1793">
        <v>1</v>
      </c>
      <c r="O1224" s="1794">
        <v>2</v>
      </c>
    </row>
    <row r="1225" spans="3:15">
      <c r="C1225" s="1799" t="s">
        <v>5713</v>
      </c>
      <c r="D1225" s="1796">
        <v>1</v>
      </c>
      <c r="E1225" s="1796">
        <v>1</v>
      </c>
      <c r="F1225" s="1797">
        <v>2</v>
      </c>
      <c r="G1225" s="1999" t="s">
        <v>5713</v>
      </c>
      <c r="H1225" s="1794">
        <v>1</v>
      </c>
      <c r="I1225" s="1794">
        <v>1</v>
      </c>
      <c r="J1225" s="2000">
        <v>2</v>
      </c>
      <c r="K1225" s="1798"/>
      <c r="L1225" s="1792">
        <v>13117130301</v>
      </c>
      <c r="M1225" s="1793">
        <v>1</v>
      </c>
      <c r="N1225" s="1793">
        <v>1</v>
      </c>
      <c r="O1225" s="1794">
        <v>2</v>
      </c>
    </row>
    <row r="1226" spans="3:15">
      <c r="C1226" s="1799" t="s">
        <v>5714</v>
      </c>
      <c r="D1226" s="1796">
        <v>1</v>
      </c>
      <c r="E1226" s="1796">
        <v>1</v>
      </c>
      <c r="F1226" s="1797">
        <v>2</v>
      </c>
      <c r="G1226" s="1999" t="s">
        <v>5714</v>
      </c>
      <c r="H1226" s="1794">
        <v>1</v>
      </c>
      <c r="I1226" s="1794">
        <v>1</v>
      </c>
      <c r="J1226" s="2000">
        <v>2</v>
      </c>
      <c r="K1226" s="1798"/>
      <c r="L1226" s="1792">
        <v>13117130302</v>
      </c>
      <c r="M1226" s="1793">
        <v>1</v>
      </c>
      <c r="N1226" s="1793">
        <v>1</v>
      </c>
      <c r="O1226" s="1794">
        <v>2</v>
      </c>
    </row>
    <row r="1227" spans="3:15">
      <c r="C1227" s="1799" t="s">
        <v>5715</v>
      </c>
      <c r="D1227" s="1796">
        <v>1</v>
      </c>
      <c r="E1227" s="1796">
        <v>1</v>
      </c>
      <c r="F1227" s="1797">
        <v>2</v>
      </c>
      <c r="G1227" s="1999" t="s">
        <v>5715</v>
      </c>
      <c r="H1227" s="1794">
        <v>1</v>
      </c>
      <c r="I1227" s="1794">
        <v>1</v>
      </c>
      <c r="J1227" s="2000">
        <v>2</v>
      </c>
      <c r="K1227" s="1798"/>
      <c r="L1227" s="1792">
        <v>13117130303</v>
      </c>
      <c r="M1227" s="1793">
        <v>1</v>
      </c>
      <c r="N1227" s="1793">
        <v>1</v>
      </c>
      <c r="O1227" s="1794">
        <v>2</v>
      </c>
    </row>
    <row r="1228" spans="3:15">
      <c r="C1228" s="1799" t="s">
        <v>5716</v>
      </c>
      <c r="D1228" s="1796">
        <v>1</v>
      </c>
      <c r="E1228" s="1796">
        <v>1</v>
      </c>
      <c r="F1228" s="1797">
        <v>2</v>
      </c>
      <c r="G1228" s="1999" t="s">
        <v>5716</v>
      </c>
      <c r="H1228" s="1794">
        <v>1</v>
      </c>
      <c r="I1228" s="1794">
        <v>1</v>
      </c>
      <c r="J1228" s="2000">
        <v>2</v>
      </c>
      <c r="K1228" s="1798"/>
      <c r="L1228" s="1792">
        <v>13117130304</v>
      </c>
      <c r="M1228" s="1793">
        <v>1</v>
      </c>
      <c r="N1228" s="1793">
        <v>1</v>
      </c>
      <c r="O1228" s="1794">
        <v>2</v>
      </c>
    </row>
    <row r="1229" spans="3:15">
      <c r="C1229" s="1799" t="s">
        <v>5717</v>
      </c>
      <c r="D1229" s="1796">
        <v>1</v>
      </c>
      <c r="E1229" s="1796">
        <v>1</v>
      </c>
      <c r="F1229" s="1797">
        <v>2</v>
      </c>
      <c r="G1229" s="1999" t="s">
        <v>5717</v>
      </c>
      <c r="H1229" s="1794">
        <v>1</v>
      </c>
      <c r="I1229" s="1794">
        <v>1</v>
      </c>
      <c r="J1229" s="2000">
        <v>2</v>
      </c>
      <c r="K1229" s="1798"/>
      <c r="L1229" s="1792">
        <v>13117130305</v>
      </c>
      <c r="M1229" s="1793">
        <v>1</v>
      </c>
      <c r="N1229" s="1793">
        <v>1</v>
      </c>
      <c r="O1229" s="1794">
        <v>2</v>
      </c>
    </row>
    <row r="1230" spans="3:15">
      <c r="C1230" s="1799" t="s">
        <v>5718</v>
      </c>
      <c r="D1230" s="1796">
        <v>1</v>
      </c>
      <c r="E1230" s="1796">
        <v>1</v>
      </c>
      <c r="F1230" s="1797">
        <v>2</v>
      </c>
      <c r="G1230" s="1999" t="s">
        <v>5718</v>
      </c>
      <c r="H1230" s="1794">
        <v>1</v>
      </c>
      <c r="I1230" s="1794">
        <v>1</v>
      </c>
      <c r="J1230" s="2000">
        <v>2</v>
      </c>
      <c r="K1230" s="1798"/>
      <c r="L1230" s="1792">
        <v>13117130306</v>
      </c>
      <c r="M1230" s="1793">
        <v>1</v>
      </c>
      <c r="N1230" s="1793">
        <v>1</v>
      </c>
      <c r="O1230" s="1794">
        <v>2</v>
      </c>
    </row>
    <row r="1231" spans="3:15">
      <c r="C1231" s="1799" t="s">
        <v>5719</v>
      </c>
      <c r="D1231" s="1796">
        <v>1</v>
      </c>
      <c r="E1231" s="1796">
        <v>1</v>
      </c>
      <c r="F1231" s="1797">
        <v>2</v>
      </c>
      <c r="G1231" s="1999" t="s">
        <v>5719</v>
      </c>
      <c r="H1231" s="1794">
        <v>1</v>
      </c>
      <c r="I1231" s="1794">
        <v>1</v>
      </c>
      <c r="J1231" s="2000">
        <v>2</v>
      </c>
      <c r="K1231" s="1798"/>
      <c r="L1231" s="1792">
        <v>13117130307</v>
      </c>
      <c r="M1231" s="1793">
        <v>1</v>
      </c>
      <c r="N1231" s="1793">
        <v>1</v>
      </c>
      <c r="O1231" s="1794">
        <v>2</v>
      </c>
    </row>
    <row r="1232" spans="3:15">
      <c r="C1232" s="1799" t="s">
        <v>5720</v>
      </c>
      <c r="D1232" s="1796">
        <v>1</v>
      </c>
      <c r="E1232" s="1796">
        <v>1</v>
      </c>
      <c r="F1232" s="1797">
        <v>2</v>
      </c>
      <c r="G1232" s="1999" t="s">
        <v>5720</v>
      </c>
      <c r="H1232" s="1794">
        <v>1</v>
      </c>
      <c r="I1232" s="1794">
        <v>1</v>
      </c>
      <c r="J1232" s="2000">
        <v>2</v>
      </c>
      <c r="K1232" s="1798"/>
      <c r="L1232" s="1792">
        <v>13117130403</v>
      </c>
      <c r="M1232" s="1793">
        <v>1</v>
      </c>
      <c r="N1232" s="1793">
        <v>1</v>
      </c>
      <c r="O1232" s="1794">
        <v>2</v>
      </c>
    </row>
    <row r="1233" spans="3:15">
      <c r="C1233" s="1799" t="s">
        <v>5721</v>
      </c>
      <c r="D1233" s="1796">
        <v>1</v>
      </c>
      <c r="E1233" s="1796">
        <v>1</v>
      </c>
      <c r="F1233" s="1797">
        <v>2</v>
      </c>
      <c r="G1233" s="1999" t="s">
        <v>5721</v>
      </c>
      <c r="H1233" s="1794">
        <v>1</v>
      </c>
      <c r="I1233" s="1794">
        <v>1</v>
      </c>
      <c r="J1233" s="2000">
        <v>2</v>
      </c>
      <c r="K1233" s="1798"/>
      <c r="L1233" s="1792">
        <v>13117130404</v>
      </c>
      <c r="M1233" s="1793">
        <v>1</v>
      </c>
      <c r="N1233" s="1793">
        <v>1</v>
      </c>
      <c r="O1233" s="1794">
        <v>2</v>
      </c>
    </row>
    <row r="1234" spans="3:15">
      <c r="C1234" s="1799" t="s">
        <v>5722</v>
      </c>
      <c r="D1234" s="1796">
        <v>1</v>
      </c>
      <c r="E1234" s="1796">
        <v>1</v>
      </c>
      <c r="F1234" s="1797">
        <v>2</v>
      </c>
      <c r="G1234" s="1999" t="s">
        <v>5722</v>
      </c>
      <c r="H1234" s="1794">
        <v>1</v>
      </c>
      <c r="I1234" s="1794">
        <v>1</v>
      </c>
      <c r="J1234" s="2000">
        <v>2</v>
      </c>
      <c r="K1234" s="1798"/>
      <c r="L1234" s="1792">
        <v>13117130405</v>
      </c>
      <c r="M1234" s="1793">
        <v>1</v>
      </c>
      <c r="N1234" s="1793">
        <v>1</v>
      </c>
      <c r="O1234" s="1794">
        <v>2</v>
      </c>
    </row>
    <row r="1235" spans="3:15">
      <c r="C1235" s="1799" t="s">
        <v>5723</v>
      </c>
      <c r="D1235" s="1796">
        <v>1</v>
      </c>
      <c r="E1235" s="1796">
        <v>0</v>
      </c>
      <c r="F1235" s="1797">
        <v>1</v>
      </c>
      <c r="G1235" s="1999" t="s">
        <v>5723</v>
      </c>
      <c r="H1235" s="1794">
        <v>1</v>
      </c>
      <c r="I1235" s="1794">
        <v>0</v>
      </c>
      <c r="J1235" s="2000">
        <v>1</v>
      </c>
      <c r="K1235" s="1798"/>
      <c r="L1235" s="1792">
        <v>13117130406</v>
      </c>
      <c r="M1235" s="1793">
        <v>1</v>
      </c>
      <c r="N1235" s="1793">
        <v>0</v>
      </c>
      <c r="O1235" s="1794">
        <v>1</v>
      </c>
    </row>
    <row r="1236" spans="3:15">
      <c r="C1236" s="1799" t="s">
        <v>5724</v>
      </c>
      <c r="D1236" s="1796">
        <v>1</v>
      </c>
      <c r="E1236" s="1796">
        <v>0</v>
      </c>
      <c r="F1236" s="1797">
        <v>1</v>
      </c>
      <c r="G1236" s="1999" t="s">
        <v>5724</v>
      </c>
      <c r="H1236" s="1794">
        <v>0</v>
      </c>
      <c r="I1236" s="1794">
        <v>0</v>
      </c>
      <c r="J1236" s="2000">
        <v>0</v>
      </c>
      <c r="K1236" s="1798"/>
      <c r="L1236" s="1792">
        <v>13117130408</v>
      </c>
      <c r="M1236" s="1793">
        <v>1</v>
      </c>
      <c r="N1236" s="1793">
        <v>0</v>
      </c>
      <c r="O1236" s="1794">
        <v>1</v>
      </c>
    </row>
    <row r="1237" spans="3:15">
      <c r="C1237" s="1799" t="s">
        <v>5725</v>
      </c>
      <c r="D1237" s="1796">
        <v>1</v>
      </c>
      <c r="E1237" s="1796">
        <v>1</v>
      </c>
      <c r="F1237" s="1797">
        <v>2</v>
      </c>
      <c r="G1237" s="1999" t="s">
        <v>5725</v>
      </c>
      <c r="H1237" s="1794">
        <v>1</v>
      </c>
      <c r="I1237" s="1794">
        <v>0</v>
      </c>
      <c r="J1237" s="2000">
        <v>1</v>
      </c>
      <c r="K1237" s="1798"/>
      <c r="L1237" s="1792">
        <v>13117130409</v>
      </c>
      <c r="M1237" s="1793">
        <v>1</v>
      </c>
      <c r="N1237" s="1793">
        <v>1</v>
      </c>
      <c r="O1237" s="1794">
        <v>2</v>
      </c>
    </row>
    <row r="1238" spans="3:15">
      <c r="C1238" s="1799" t="s">
        <v>5726</v>
      </c>
      <c r="D1238" s="1796">
        <v>1</v>
      </c>
      <c r="E1238" s="1796">
        <v>1</v>
      </c>
      <c r="F1238" s="1797">
        <v>2</v>
      </c>
      <c r="G1238" s="1999" t="s">
        <v>5726</v>
      </c>
      <c r="H1238" s="1794">
        <v>1</v>
      </c>
      <c r="I1238" s="1794">
        <v>1</v>
      </c>
      <c r="J1238" s="2000">
        <v>1</v>
      </c>
      <c r="K1238" s="1798"/>
      <c r="L1238" s="1792">
        <v>13117130410</v>
      </c>
      <c r="M1238" s="1793">
        <v>1</v>
      </c>
      <c r="N1238" s="1793">
        <v>1</v>
      </c>
      <c r="O1238" s="1794">
        <v>2</v>
      </c>
    </row>
    <row r="1239" spans="3:15">
      <c r="C1239" s="1799" t="s">
        <v>5727</v>
      </c>
      <c r="D1239" s="1796">
        <v>1</v>
      </c>
      <c r="E1239" s="1796">
        <v>1</v>
      </c>
      <c r="F1239" s="1797">
        <v>2</v>
      </c>
      <c r="G1239" s="1999" t="s">
        <v>5727</v>
      </c>
      <c r="H1239" s="1794">
        <v>1</v>
      </c>
      <c r="I1239" s="1794">
        <v>0</v>
      </c>
      <c r="J1239" s="2000">
        <v>1</v>
      </c>
      <c r="K1239" s="1798"/>
      <c r="L1239" s="1792">
        <v>13117130503</v>
      </c>
      <c r="M1239" s="1793">
        <v>1</v>
      </c>
      <c r="N1239" s="1793">
        <v>1</v>
      </c>
      <c r="O1239" s="1794">
        <v>2</v>
      </c>
    </row>
    <row r="1240" spans="3:15">
      <c r="C1240" s="1799" t="s">
        <v>5728</v>
      </c>
      <c r="D1240" s="1796">
        <v>1</v>
      </c>
      <c r="E1240" s="1796">
        <v>1</v>
      </c>
      <c r="F1240" s="1797">
        <v>2</v>
      </c>
      <c r="G1240" s="1999" t="s">
        <v>5728</v>
      </c>
      <c r="H1240" s="1794">
        <v>1</v>
      </c>
      <c r="I1240" s="1794">
        <v>0</v>
      </c>
      <c r="J1240" s="2000">
        <v>1</v>
      </c>
      <c r="K1240" s="1798"/>
      <c r="L1240" s="1792">
        <v>13117130504</v>
      </c>
      <c r="M1240" s="1793">
        <v>1</v>
      </c>
      <c r="N1240" s="1793">
        <v>1</v>
      </c>
      <c r="O1240" s="1794">
        <v>2</v>
      </c>
    </row>
    <row r="1241" spans="3:15">
      <c r="C1241" s="1799" t="s">
        <v>5729</v>
      </c>
      <c r="D1241" s="1796">
        <v>1</v>
      </c>
      <c r="E1241" s="1796">
        <v>1</v>
      </c>
      <c r="F1241" s="1797">
        <v>2</v>
      </c>
      <c r="G1241" s="1999" t="s">
        <v>5729</v>
      </c>
      <c r="H1241" s="1794">
        <v>1</v>
      </c>
      <c r="I1241" s="1794" t="s">
        <v>4483</v>
      </c>
      <c r="J1241" s="2000">
        <v>1</v>
      </c>
      <c r="K1241" s="1798"/>
      <c r="L1241" s="1792">
        <v>13117130505</v>
      </c>
      <c r="M1241" s="1793">
        <v>1</v>
      </c>
      <c r="N1241" s="1793">
        <v>1</v>
      </c>
      <c r="O1241" s="1794">
        <v>2</v>
      </c>
    </row>
    <row r="1242" spans="3:15">
      <c r="C1242" s="1799" t="s">
        <v>5730</v>
      </c>
      <c r="D1242" s="1796">
        <v>1</v>
      </c>
      <c r="E1242" s="1796">
        <v>1</v>
      </c>
      <c r="F1242" s="1797">
        <v>2</v>
      </c>
      <c r="G1242" s="1999" t="s">
        <v>5730</v>
      </c>
      <c r="H1242" s="1794">
        <v>1</v>
      </c>
      <c r="I1242" s="1794">
        <v>1</v>
      </c>
      <c r="J1242" s="2000">
        <v>2</v>
      </c>
      <c r="K1242" s="1798"/>
      <c r="L1242" s="1792">
        <v>13117130506</v>
      </c>
      <c r="M1242" s="1793">
        <v>1</v>
      </c>
      <c r="N1242" s="1793">
        <v>1</v>
      </c>
      <c r="O1242" s="1794">
        <v>2</v>
      </c>
    </row>
    <row r="1243" spans="3:15">
      <c r="C1243" s="1799" t="s">
        <v>5731</v>
      </c>
      <c r="D1243" s="1796">
        <v>1</v>
      </c>
      <c r="E1243" s="1796">
        <v>1</v>
      </c>
      <c r="F1243" s="1797">
        <v>2</v>
      </c>
      <c r="G1243" s="1999" t="s">
        <v>5731</v>
      </c>
      <c r="H1243" s="1794">
        <v>1</v>
      </c>
      <c r="I1243" s="1794">
        <v>1</v>
      </c>
      <c r="J1243" s="2000">
        <v>2</v>
      </c>
      <c r="K1243" s="1798"/>
      <c r="L1243" s="1792">
        <v>13117130507</v>
      </c>
      <c r="M1243" s="1793">
        <v>1</v>
      </c>
      <c r="N1243" s="1793">
        <v>1</v>
      </c>
      <c r="O1243" s="1794">
        <v>2</v>
      </c>
    </row>
    <row r="1244" spans="3:15">
      <c r="C1244" s="1799" t="s">
        <v>5732</v>
      </c>
      <c r="D1244" s="1796">
        <v>1</v>
      </c>
      <c r="E1244" s="1796">
        <v>1</v>
      </c>
      <c r="F1244" s="1797">
        <v>2</v>
      </c>
      <c r="G1244" s="1999" t="s">
        <v>5732</v>
      </c>
      <c r="H1244" s="1794">
        <v>1</v>
      </c>
      <c r="I1244" s="1794">
        <v>1</v>
      </c>
      <c r="J1244" s="2000">
        <v>2</v>
      </c>
      <c r="K1244" s="1798"/>
      <c r="L1244" s="1792">
        <v>13117130508</v>
      </c>
      <c r="M1244" s="1793">
        <v>1</v>
      </c>
      <c r="N1244" s="1793">
        <v>1</v>
      </c>
      <c r="O1244" s="1794">
        <v>2</v>
      </c>
    </row>
    <row r="1245" spans="3:15">
      <c r="C1245" s="1799" t="s">
        <v>5733</v>
      </c>
      <c r="D1245" s="1796">
        <v>1</v>
      </c>
      <c r="E1245" s="1796">
        <v>1</v>
      </c>
      <c r="F1245" s="1797">
        <v>2</v>
      </c>
      <c r="G1245" s="1999" t="s">
        <v>5733</v>
      </c>
      <c r="H1245" s="1794">
        <v>1</v>
      </c>
      <c r="I1245" s="1794">
        <v>1</v>
      </c>
      <c r="J1245" s="2000">
        <v>2</v>
      </c>
      <c r="K1245" s="1798"/>
      <c r="L1245" s="1792">
        <v>13117130509</v>
      </c>
      <c r="M1245" s="1793">
        <v>1</v>
      </c>
      <c r="N1245" s="1793">
        <v>1</v>
      </c>
      <c r="O1245" s="1794">
        <v>2</v>
      </c>
    </row>
    <row r="1246" spans="3:15">
      <c r="C1246" s="1799" t="s">
        <v>5734</v>
      </c>
      <c r="D1246" s="1796">
        <v>1</v>
      </c>
      <c r="E1246" s="1796">
        <v>1</v>
      </c>
      <c r="F1246" s="1797">
        <v>2</v>
      </c>
      <c r="G1246" s="1999" t="s">
        <v>5734</v>
      </c>
      <c r="H1246" s="1794">
        <v>1</v>
      </c>
      <c r="I1246" s="1794">
        <v>1</v>
      </c>
      <c r="J1246" s="2000">
        <v>2</v>
      </c>
      <c r="K1246" s="1798"/>
      <c r="L1246" s="1792">
        <v>13117130510</v>
      </c>
      <c r="M1246" s="1793">
        <v>1</v>
      </c>
      <c r="N1246" s="1793">
        <v>1</v>
      </c>
      <c r="O1246" s="1794">
        <v>2</v>
      </c>
    </row>
    <row r="1247" spans="3:15">
      <c r="C1247" s="1799" t="s">
        <v>5735</v>
      </c>
      <c r="D1247" s="1796">
        <v>1</v>
      </c>
      <c r="E1247" s="1796">
        <v>1</v>
      </c>
      <c r="F1247" s="1797">
        <v>2</v>
      </c>
      <c r="G1247" s="1999" t="s">
        <v>5735</v>
      </c>
      <c r="H1247" s="1794">
        <v>1</v>
      </c>
      <c r="I1247" s="1794">
        <v>1</v>
      </c>
      <c r="J1247" s="2000">
        <v>2</v>
      </c>
      <c r="K1247" s="1798"/>
      <c r="L1247" s="1792">
        <v>13117130601</v>
      </c>
      <c r="M1247" s="1793">
        <v>1</v>
      </c>
      <c r="N1247" s="1793">
        <v>1</v>
      </c>
      <c r="O1247" s="1794">
        <v>2</v>
      </c>
    </row>
    <row r="1248" spans="3:15">
      <c r="C1248" s="1799" t="s">
        <v>5736</v>
      </c>
      <c r="D1248" s="1796">
        <v>1</v>
      </c>
      <c r="E1248" s="1796">
        <v>1</v>
      </c>
      <c r="F1248" s="1797">
        <v>2</v>
      </c>
      <c r="G1248" s="1999" t="s">
        <v>5736</v>
      </c>
      <c r="H1248" s="1794">
        <v>1</v>
      </c>
      <c r="I1248" s="1794">
        <v>0</v>
      </c>
      <c r="J1248" s="2000">
        <v>1</v>
      </c>
      <c r="K1248" s="1798"/>
      <c r="L1248" s="1792">
        <v>13117130602</v>
      </c>
      <c r="M1248" s="1793">
        <v>1</v>
      </c>
      <c r="N1248" s="1793">
        <v>1</v>
      </c>
      <c r="O1248" s="1794">
        <v>2</v>
      </c>
    </row>
    <row r="1249" spans="3:15">
      <c r="C1249" s="1799" t="s">
        <v>5737</v>
      </c>
      <c r="D1249" s="1796">
        <v>1</v>
      </c>
      <c r="E1249" s="1796">
        <v>1</v>
      </c>
      <c r="F1249" s="1797">
        <v>2</v>
      </c>
      <c r="G1249" s="1999" t="s">
        <v>5737</v>
      </c>
      <c r="H1249" s="1794">
        <v>1</v>
      </c>
      <c r="I1249" s="1794" t="s">
        <v>4483</v>
      </c>
      <c r="J1249" s="2000">
        <v>1</v>
      </c>
      <c r="K1249" s="1798"/>
      <c r="L1249" s="1792">
        <v>13117130603</v>
      </c>
      <c r="M1249" s="1793">
        <v>1</v>
      </c>
      <c r="N1249" s="1793">
        <v>1</v>
      </c>
      <c r="O1249" s="1794">
        <v>2</v>
      </c>
    </row>
    <row r="1250" spans="3:15">
      <c r="C1250" s="1799" t="s">
        <v>5738</v>
      </c>
      <c r="D1250" s="1796">
        <v>1</v>
      </c>
      <c r="E1250" s="1796">
        <v>1</v>
      </c>
      <c r="F1250" s="1797">
        <v>2</v>
      </c>
      <c r="G1250" s="1999" t="s">
        <v>5738</v>
      </c>
      <c r="H1250" s="1794">
        <v>1</v>
      </c>
      <c r="I1250" s="1794">
        <v>1</v>
      </c>
      <c r="J1250" s="2000">
        <v>2</v>
      </c>
      <c r="K1250" s="1798"/>
      <c r="L1250" s="1792">
        <v>13117130604</v>
      </c>
      <c r="M1250" s="1793">
        <v>1</v>
      </c>
      <c r="N1250" s="1793">
        <v>1</v>
      </c>
      <c r="O1250" s="1794">
        <v>2</v>
      </c>
    </row>
    <row r="1251" spans="3:15">
      <c r="C1251" s="1799" t="s">
        <v>5739</v>
      </c>
      <c r="D1251" s="1796">
        <v>1</v>
      </c>
      <c r="E1251" s="1796">
        <v>1</v>
      </c>
      <c r="F1251" s="1797">
        <v>2</v>
      </c>
      <c r="G1251" s="1999" t="s">
        <v>5739</v>
      </c>
      <c r="H1251" s="1794">
        <v>1</v>
      </c>
      <c r="I1251" s="1794">
        <v>1</v>
      </c>
      <c r="J1251" s="2000">
        <v>2</v>
      </c>
      <c r="K1251" s="1798"/>
      <c r="L1251" s="1792">
        <v>13117130605</v>
      </c>
      <c r="M1251" s="1793">
        <v>1</v>
      </c>
      <c r="N1251" s="1793">
        <v>1</v>
      </c>
      <c r="O1251" s="1794">
        <v>2</v>
      </c>
    </row>
    <row r="1252" spans="3:15">
      <c r="C1252" s="1799" t="s">
        <v>5740</v>
      </c>
      <c r="D1252" s="1796">
        <v>1</v>
      </c>
      <c r="E1252" s="1796">
        <v>1</v>
      </c>
      <c r="F1252" s="1797">
        <v>2</v>
      </c>
      <c r="G1252" s="1999" t="s">
        <v>5740</v>
      </c>
      <c r="H1252" s="1794">
        <v>1</v>
      </c>
      <c r="I1252" s="1794">
        <v>1</v>
      </c>
      <c r="J1252" s="2000">
        <v>2</v>
      </c>
      <c r="K1252" s="1798"/>
      <c r="L1252" s="1792">
        <v>13117130606</v>
      </c>
      <c r="M1252" s="1793">
        <v>1</v>
      </c>
      <c r="N1252" s="1793">
        <v>1</v>
      </c>
      <c r="O1252" s="1794">
        <v>2</v>
      </c>
    </row>
    <row r="1253" spans="3:15">
      <c r="C1253" s="1799" t="s">
        <v>5741</v>
      </c>
      <c r="D1253" s="1796">
        <v>1</v>
      </c>
      <c r="E1253" s="1796">
        <v>1</v>
      </c>
      <c r="F1253" s="1797">
        <v>2</v>
      </c>
      <c r="G1253" s="1999" t="s">
        <v>5741</v>
      </c>
      <c r="H1253" s="1794">
        <v>1</v>
      </c>
      <c r="I1253" s="1794">
        <v>1</v>
      </c>
      <c r="J1253" s="2000">
        <v>2</v>
      </c>
      <c r="K1253" s="1798"/>
      <c r="L1253" s="1792">
        <v>13117130607</v>
      </c>
      <c r="M1253" s="1793">
        <v>1</v>
      </c>
      <c r="N1253" s="1793">
        <v>1</v>
      </c>
      <c r="O1253" s="1794">
        <v>2</v>
      </c>
    </row>
    <row r="1254" spans="3:15">
      <c r="C1254" s="1799" t="s">
        <v>5742</v>
      </c>
      <c r="D1254" s="1796">
        <v>1</v>
      </c>
      <c r="E1254" s="1796">
        <v>1</v>
      </c>
      <c r="F1254" s="1797">
        <v>2</v>
      </c>
      <c r="G1254" s="1999" t="s">
        <v>5742</v>
      </c>
      <c r="H1254" s="1794">
        <v>1</v>
      </c>
      <c r="I1254" s="1794">
        <v>1</v>
      </c>
      <c r="J1254" s="2000">
        <v>2</v>
      </c>
      <c r="K1254" s="1798"/>
      <c r="L1254" s="1792">
        <v>13117130608</v>
      </c>
      <c r="M1254" s="1793">
        <v>1</v>
      </c>
      <c r="N1254" s="1793">
        <v>1</v>
      </c>
      <c r="O1254" s="1794">
        <v>2</v>
      </c>
    </row>
    <row r="1255" spans="3:15">
      <c r="C1255" s="1799" t="s">
        <v>5743</v>
      </c>
      <c r="D1255" s="1796">
        <v>1</v>
      </c>
      <c r="E1255" s="1796">
        <v>1</v>
      </c>
      <c r="F1255" s="1797">
        <v>2</v>
      </c>
      <c r="G1255" s="1999" t="s">
        <v>5743</v>
      </c>
      <c r="H1255" s="1794">
        <v>1</v>
      </c>
      <c r="I1255" s="1794">
        <v>1</v>
      </c>
      <c r="J1255" s="2000">
        <v>2</v>
      </c>
      <c r="K1255" s="1798"/>
      <c r="L1255" s="1792">
        <v>13117130609</v>
      </c>
      <c r="M1255" s="1793">
        <v>1</v>
      </c>
      <c r="N1255" s="1793">
        <v>1</v>
      </c>
      <c r="O1255" s="1794">
        <v>2</v>
      </c>
    </row>
    <row r="1256" spans="3:15">
      <c r="C1256" s="1799" t="s">
        <v>5744</v>
      </c>
      <c r="D1256" s="1796">
        <v>1</v>
      </c>
      <c r="E1256" s="1796">
        <v>1</v>
      </c>
      <c r="F1256" s="1797">
        <v>2</v>
      </c>
      <c r="G1256" s="1999" t="s">
        <v>5744</v>
      </c>
      <c r="H1256" s="1794">
        <v>1</v>
      </c>
      <c r="I1256" s="1794">
        <v>1</v>
      </c>
      <c r="J1256" s="2000">
        <v>2</v>
      </c>
      <c r="K1256" s="1798"/>
      <c r="L1256" s="1792">
        <v>13117130610</v>
      </c>
      <c r="M1256" s="1793">
        <v>1</v>
      </c>
      <c r="N1256" s="1793">
        <v>1</v>
      </c>
      <c r="O1256" s="1794">
        <v>2</v>
      </c>
    </row>
    <row r="1257" spans="3:15">
      <c r="C1257" s="1799" t="s">
        <v>5745</v>
      </c>
      <c r="D1257" s="1796">
        <v>1</v>
      </c>
      <c r="E1257" s="1796">
        <v>1</v>
      </c>
      <c r="F1257" s="1797">
        <v>2</v>
      </c>
      <c r="G1257" s="1999" t="s">
        <v>5745</v>
      </c>
      <c r="H1257" s="1794">
        <v>1</v>
      </c>
      <c r="I1257" s="1794">
        <v>1</v>
      </c>
      <c r="J1257" s="2000">
        <v>2</v>
      </c>
      <c r="K1257" s="1798"/>
      <c r="L1257" s="1792">
        <v>13117130611</v>
      </c>
      <c r="M1257" s="1793">
        <v>1</v>
      </c>
      <c r="N1257" s="1793">
        <v>1</v>
      </c>
      <c r="O1257" s="1794">
        <v>2</v>
      </c>
    </row>
    <row r="1258" spans="3:15">
      <c r="C1258" s="1799" t="s">
        <v>5746</v>
      </c>
      <c r="D1258" s="1796">
        <v>1</v>
      </c>
      <c r="E1258" s="1796">
        <v>1</v>
      </c>
      <c r="F1258" s="1797">
        <v>2</v>
      </c>
      <c r="G1258" s="1999" t="s">
        <v>5746</v>
      </c>
      <c r="H1258" s="1794">
        <v>1</v>
      </c>
      <c r="I1258" s="1794">
        <v>1</v>
      </c>
      <c r="J1258" s="2000">
        <v>2</v>
      </c>
      <c r="K1258" s="1798"/>
      <c r="L1258" s="1792">
        <v>13117130612</v>
      </c>
      <c r="M1258" s="1793">
        <v>1</v>
      </c>
      <c r="N1258" s="1793">
        <v>1</v>
      </c>
      <c r="O1258" s="1794">
        <v>2</v>
      </c>
    </row>
    <row r="1259" spans="3:15">
      <c r="C1259" s="1799" t="s">
        <v>5747</v>
      </c>
      <c r="D1259" s="1796">
        <v>1</v>
      </c>
      <c r="E1259" s="1796">
        <v>1</v>
      </c>
      <c r="F1259" s="1797">
        <v>2</v>
      </c>
      <c r="G1259" s="1999" t="s">
        <v>5747</v>
      </c>
      <c r="H1259" s="1794">
        <v>1</v>
      </c>
      <c r="I1259" s="1794" t="s">
        <v>4483</v>
      </c>
      <c r="J1259" s="2000">
        <v>1</v>
      </c>
      <c r="K1259" s="1798"/>
      <c r="L1259" s="1792">
        <v>13117130613</v>
      </c>
      <c r="M1259" s="1793">
        <v>1</v>
      </c>
      <c r="N1259" s="1793">
        <v>1</v>
      </c>
      <c r="O1259" s="1794">
        <v>2</v>
      </c>
    </row>
    <row r="1260" spans="3:15">
      <c r="C1260" s="1799" t="s">
        <v>5748</v>
      </c>
      <c r="D1260" s="1796">
        <v>0</v>
      </c>
      <c r="E1260" s="1796">
        <v>0</v>
      </c>
      <c r="F1260" s="1797">
        <v>0</v>
      </c>
      <c r="G1260" s="1999" t="s">
        <v>5748</v>
      </c>
      <c r="H1260" s="1794">
        <v>0</v>
      </c>
      <c r="I1260" s="1794">
        <v>0</v>
      </c>
      <c r="J1260" s="2000">
        <v>0</v>
      </c>
      <c r="K1260" s="1798"/>
      <c r="L1260" s="1792">
        <v>13119890101</v>
      </c>
      <c r="M1260" s="1793">
        <v>0</v>
      </c>
      <c r="N1260" s="1793">
        <v>0</v>
      </c>
      <c r="O1260" s="1794">
        <v>0</v>
      </c>
    </row>
    <row r="1261" spans="3:15">
      <c r="C1261" s="1799" t="s">
        <v>5749</v>
      </c>
      <c r="D1261" s="1796">
        <v>0</v>
      </c>
      <c r="E1261" s="1796">
        <v>1</v>
      </c>
      <c r="F1261" s="1797">
        <v>1</v>
      </c>
      <c r="G1261" s="1999" t="s">
        <v>5749</v>
      </c>
      <c r="H1261" s="1794">
        <v>0</v>
      </c>
      <c r="I1261" s="1794">
        <v>0</v>
      </c>
      <c r="J1261" s="2000">
        <v>0</v>
      </c>
      <c r="K1261" s="1798"/>
      <c r="L1261" s="1792">
        <v>13119890102</v>
      </c>
      <c r="M1261" s="1793">
        <v>0</v>
      </c>
      <c r="N1261" s="1793">
        <v>1</v>
      </c>
      <c r="O1261" s="1794">
        <v>1</v>
      </c>
    </row>
    <row r="1262" spans="3:15">
      <c r="C1262" s="1799" t="s">
        <v>5750</v>
      </c>
      <c r="D1262" s="1796">
        <v>0</v>
      </c>
      <c r="E1262" s="1796">
        <v>0</v>
      </c>
      <c r="F1262" s="1797">
        <v>0</v>
      </c>
      <c r="G1262" s="1999" t="s">
        <v>5750</v>
      </c>
      <c r="H1262" s="1794">
        <v>0</v>
      </c>
      <c r="I1262" s="1794">
        <v>0</v>
      </c>
      <c r="J1262" s="2000">
        <v>0</v>
      </c>
      <c r="K1262" s="1798"/>
      <c r="L1262" s="1792">
        <v>13119890200</v>
      </c>
      <c r="M1262" s="1793">
        <v>0</v>
      </c>
      <c r="N1262" s="1793">
        <v>0</v>
      </c>
      <c r="O1262" s="1794">
        <v>0</v>
      </c>
    </row>
    <row r="1263" spans="3:15">
      <c r="C1263" s="1799" t="s">
        <v>5751</v>
      </c>
      <c r="D1263" s="1796">
        <v>0</v>
      </c>
      <c r="E1263" s="1796">
        <v>0</v>
      </c>
      <c r="F1263" s="1797">
        <v>0</v>
      </c>
      <c r="G1263" s="1999" t="s">
        <v>5751</v>
      </c>
      <c r="H1263" s="1794">
        <v>0</v>
      </c>
      <c r="I1263" s="1794">
        <v>0</v>
      </c>
      <c r="J1263" s="2000">
        <v>0</v>
      </c>
      <c r="K1263" s="1798"/>
      <c r="L1263" s="1792">
        <v>13119890300</v>
      </c>
      <c r="M1263" s="1793">
        <v>0</v>
      </c>
      <c r="N1263" s="1793">
        <v>0</v>
      </c>
      <c r="O1263" s="1794">
        <v>0</v>
      </c>
    </row>
    <row r="1264" spans="3:15">
      <c r="C1264" s="1799" t="s">
        <v>5752</v>
      </c>
      <c r="D1264" s="1796">
        <v>0</v>
      </c>
      <c r="E1264" s="1796">
        <v>0</v>
      </c>
      <c r="F1264" s="1797">
        <v>0</v>
      </c>
      <c r="G1264" s="1999" t="s">
        <v>5752</v>
      </c>
      <c r="H1264" s="1794">
        <v>0</v>
      </c>
      <c r="I1264" s="1794">
        <v>0</v>
      </c>
      <c r="J1264" s="2000">
        <v>0</v>
      </c>
      <c r="K1264" s="1798"/>
      <c r="L1264" s="1792">
        <v>13119890400</v>
      </c>
      <c r="M1264" s="1793">
        <v>0</v>
      </c>
      <c r="N1264" s="1793">
        <v>0</v>
      </c>
      <c r="O1264" s="1794">
        <v>0</v>
      </c>
    </row>
    <row r="1265" spans="3:15">
      <c r="C1265" s="1799" t="s">
        <v>5753</v>
      </c>
      <c r="D1265" s="1796">
        <v>1</v>
      </c>
      <c r="E1265" s="1796">
        <v>1</v>
      </c>
      <c r="F1265" s="1797">
        <v>2</v>
      </c>
      <c r="G1265" s="1999" t="s">
        <v>5753</v>
      </c>
      <c r="H1265" s="1794">
        <v>1</v>
      </c>
      <c r="I1265" s="1794">
        <v>1</v>
      </c>
      <c r="J1265" s="2000">
        <v>2</v>
      </c>
      <c r="K1265" s="1798"/>
      <c r="L1265" s="1792">
        <v>13121000100</v>
      </c>
      <c r="M1265" s="1793">
        <v>1</v>
      </c>
      <c r="N1265" s="1793">
        <v>1</v>
      </c>
      <c r="O1265" s="1794">
        <v>2</v>
      </c>
    </row>
    <row r="1266" spans="3:15">
      <c r="C1266" s="1799" t="s">
        <v>5754</v>
      </c>
      <c r="D1266" s="1796">
        <v>1</v>
      </c>
      <c r="E1266" s="1796">
        <v>1</v>
      </c>
      <c r="F1266" s="1797">
        <v>2</v>
      </c>
      <c r="G1266" s="1999" t="s">
        <v>5754</v>
      </c>
      <c r="H1266" s="1794">
        <v>1</v>
      </c>
      <c r="I1266" s="1794">
        <v>1</v>
      </c>
      <c r="J1266" s="2000">
        <v>2</v>
      </c>
      <c r="K1266" s="1798"/>
      <c r="L1266" s="1792">
        <v>13121000200</v>
      </c>
      <c r="M1266" s="1793">
        <v>1</v>
      </c>
      <c r="N1266" s="1793">
        <v>1</v>
      </c>
      <c r="O1266" s="1794">
        <v>2</v>
      </c>
    </row>
    <row r="1267" spans="3:15">
      <c r="C1267" s="1799" t="s">
        <v>5755</v>
      </c>
      <c r="D1267" s="1796">
        <v>1</v>
      </c>
      <c r="E1267" s="1796">
        <v>1</v>
      </c>
      <c r="F1267" s="1797">
        <v>2</v>
      </c>
      <c r="G1267" s="1999" t="s">
        <v>5755</v>
      </c>
      <c r="H1267" s="1794">
        <v>1</v>
      </c>
      <c r="I1267" s="1794">
        <v>1</v>
      </c>
      <c r="J1267" s="2000">
        <v>2</v>
      </c>
      <c r="K1267" s="1798"/>
      <c r="L1267" s="1792">
        <v>13121000400</v>
      </c>
      <c r="M1267" s="1793">
        <v>1</v>
      </c>
      <c r="N1267" s="1793">
        <v>1</v>
      </c>
      <c r="O1267" s="1794">
        <v>2</v>
      </c>
    </row>
    <row r="1268" spans="3:15">
      <c r="C1268" s="1799" t="s">
        <v>5756</v>
      </c>
      <c r="D1268" s="1796">
        <v>1</v>
      </c>
      <c r="E1268" s="1796">
        <v>1</v>
      </c>
      <c r="F1268" s="1797">
        <v>2</v>
      </c>
      <c r="G1268" s="1999" t="s">
        <v>5756</v>
      </c>
      <c r="H1268" s="1794">
        <v>1</v>
      </c>
      <c r="I1268" s="1794" t="s">
        <v>4483</v>
      </c>
      <c r="J1268" s="2000">
        <v>1</v>
      </c>
      <c r="K1268" s="1798"/>
      <c r="L1268" s="1792">
        <v>13121000500</v>
      </c>
      <c r="M1268" s="1793">
        <v>1</v>
      </c>
      <c r="N1268" s="1793">
        <v>1</v>
      </c>
      <c r="O1268" s="1794">
        <v>2</v>
      </c>
    </row>
    <row r="1269" spans="3:15">
      <c r="C1269" s="1799" t="s">
        <v>5757</v>
      </c>
      <c r="D1269" s="1796">
        <v>0</v>
      </c>
      <c r="E1269" s="1796">
        <v>1</v>
      </c>
      <c r="F1269" s="1797">
        <v>1</v>
      </c>
      <c r="G1269" s="1999" t="s">
        <v>5757</v>
      </c>
      <c r="H1269" s="1794">
        <v>0</v>
      </c>
      <c r="I1269" s="1794" t="s">
        <v>4483</v>
      </c>
      <c r="J1269" s="2000">
        <v>0</v>
      </c>
      <c r="K1269" s="1798"/>
      <c r="L1269" s="1792">
        <v>13121000600</v>
      </c>
      <c r="M1269" s="1793">
        <v>0</v>
      </c>
      <c r="N1269" s="1793">
        <v>1</v>
      </c>
      <c r="O1269" s="1794">
        <v>1</v>
      </c>
    </row>
    <row r="1270" spans="3:15">
      <c r="C1270" s="1799" t="s">
        <v>5758</v>
      </c>
      <c r="D1270" s="1796">
        <v>0</v>
      </c>
      <c r="E1270" s="1796">
        <v>0</v>
      </c>
      <c r="F1270" s="1797">
        <v>0</v>
      </c>
      <c r="G1270" s="1999" t="s">
        <v>5758</v>
      </c>
      <c r="H1270" s="1794">
        <v>0</v>
      </c>
      <c r="I1270" s="1794" t="s">
        <v>4483</v>
      </c>
      <c r="J1270" s="2000">
        <v>0</v>
      </c>
      <c r="K1270" s="1798"/>
      <c r="L1270" s="1792">
        <v>13121000700</v>
      </c>
      <c r="M1270" s="1793">
        <v>0</v>
      </c>
      <c r="N1270" s="1793">
        <v>0</v>
      </c>
      <c r="O1270" s="1794">
        <v>0</v>
      </c>
    </row>
    <row r="1271" spans="3:15">
      <c r="C1271" s="1799" t="s">
        <v>5759</v>
      </c>
      <c r="D1271" s="1796">
        <v>1</v>
      </c>
      <c r="E1271" s="1796">
        <v>1</v>
      </c>
      <c r="F1271" s="1797">
        <v>2</v>
      </c>
      <c r="G1271" s="1999" t="s">
        <v>5759</v>
      </c>
      <c r="H1271" s="1794">
        <v>1</v>
      </c>
      <c r="I1271" s="1794" t="s">
        <v>4483</v>
      </c>
      <c r="J1271" s="2000">
        <v>1</v>
      </c>
      <c r="K1271" s="1798"/>
      <c r="L1271" s="1792">
        <v>13121001001</v>
      </c>
      <c r="M1271" s="1793">
        <v>1</v>
      </c>
      <c r="N1271" s="1793">
        <v>1</v>
      </c>
      <c r="O1271" s="1794">
        <v>2</v>
      </c>
    </row>
    <row r="1272" spans="3:15">
      <c r="C1272" s="1799" t="s">
        <v>5760</v>
      </c>
      <c r="D1272" s="1796">
        <v>0</v>
      </c>
      <c r="E1272" s="1796">
        <v>1</v>
      </c>
      <c r="F1272" s="1797">
        <v>1</v>
      </c>
      <c r="G1272" s="1999" t="s">
        <v>5760</v>
      </c>
      <c r="H1272" s="1794">
        <v>0</v>
      </c>
      <c r="I1272" s="1794" t="s">
        <v>4483</v>
      </c>
      <c r="J1272" s="2000">
        <v>0</v>
      </c>
      <c r="K1272" s="1798"/>
      <c r="L1272" s="1792">
        <v>13121001002</v>
      </c>
      <c r="M1272" s="1793">
        <v>0</v>
      </c>
      <c r="N1272" s="1793">
        <v>1</v>
      </c>
      <c r="O1272" s="1794">
        <v>1</v>
      </c>
    </row>
    <row r="1273" spans="3:15">
      <c r="C1273" s="1799" t="s">
        <v>5761</v>
      </c>
      <c r="D1273" s="1796">
        <v>1</v>
      </c>
      <c r="E1273" s="1796">
        <v>1</v>
      </c>
      <c r="F1273" s="1797">
        <v>2</v>
      </c>
      <c r="G1273" s="1999" t="s">
        <v>5761</v>
      </c>
      <c r="H1273" s="1794">
        <v>1</v>
      </c>
      <c r="I1273" s="1794" t="s">
        <v>4483</v>
      </c>
      <c r="J1273" s="2000">
        <v>1</v>
      </c>
      <c r="K1273" s="1798"/>
      <c r="L1273" s="1792">
        <v>13121001100</v>
      </c>
      <c r="M1273" s="1793">
        <v>1</v>
      </c>
      <c r="N1273" s="1793">
        <v>1</v>
      </c>
      <c r="O1273" s="1794">
        <v>2</v>
      </c>
    </row>
    <row r="1274" spans="3:15">
      <c r="C1274" s="1799" t="s">
        <v>5762</v>
      </c>
      <c r="D1274" s="1796">
        <v>1</v>
      </c>
      <c r="E1274" s="1796">
        <v>1</v>
      </c>
      <c r="F1274" s="1797">
        <v>2</v>
      </c>
      <c r="G1274" s="1999" t="s">
        <v>5762</v>
      </c>
      <c r="H1274" s="1794">
        <v>1</v>
      </c>
      <c r="I1274" s="1794">
        <v>1</v>
      </c>
      <c r="J1274" s="2000">
        <v>2</v>
      </c>
      <c r="K1274" s="1798"/>
      <c r="L1274" s="1792">
        <v>13121001201</v>
      </c>
      <c r="M1274" s="1793">
        <v>1</v>
      </c>
      <c r="N1274" s="1793">
        <v>1</v>
      </c>
      <c r="O1274" s="1794">
        <v>2</v>
      </c>
    </row>
    <row r="1275" spans="3:15">
      <c r="C1275" s="1799" t="s">
        <v>5763</v>
      </c>
      <c r="D1275" s="1796">
        <v>1</v>
      </c>
      <c r="E1275" s="1796">
        <v>1</v>
      </c>
      <c r="F1275" s="1797">
        <v>2</v>
      </c>
      <c r="G1275" s="1999" t="s">
        <v>5763</v>
      </c>
      <c r="H1275" s="1794">
        <v>1</v>
      </c>
      <c r="I1275" s="1794" t="s">
        <v>4483</v>
      </c>
      <c r="J1275" s="2000">
        <v>1</v>
      </c>
      <c r="K1275" s="1798"/>
      <c r="L1275" s="1792">
        <v>13121001202</v>
      </c>
      <c r="M1275" s="1793">
        <v>1</v>
      </c>
      <c r="N1275" s="1793">
        <v>1</v>
      </c>
      <c r="O1275" s="1794">
        <v>2</v>
      </c>
    </row>
    <row r="1276" spans="3:15">
      <c r="C1276" s="1799" t="s">
        <v>5764</v>
      </c>
      <c r="D1276" s="1796">
        <v>1</v>
      </c>
      <c r="E1276" s="1796">
        <v>1</v>
      </c>
      <c r="F1276" s="1797">
        <v>2</v>
      </c>
      <c r="G1276" s="1999" t="s">
        <v>5764</v>
      </c>
      <c r="H1276" s="1794">
        <v>1</v>
      </c>
      <c r="I1276" s="1794">
        <v>1</v>
      </c>
      <c r="J1276" s="2000">
        <v>2</v>
      </c>
      <c r="K1276" s="1798"/>
      <c r="L1276" s="1792">
        <v>13121001300</v>
      </c>
      <c r="M1276" s="1793">
        <v>1</v>
      </c>
      <c r="N1276" s="1793">
        <v>1</v>
      </c>
      <c r="O1276" s="1794">
        <v>2</v>
      </c>
    </row>
    <row r="1277" spans="3:15">
      <c r="C1277" s="1799" t="s">
        <v>5765</v>
      </c>
      <c r="D1277" s="1796">
        <v>1</v>
      </c>
      <c r="E1277" s="1796">
        <v>1</v>
      </c>
      <c r="F1277" s="1797">
        <v>2</v>
      </c>
      <c r="G1277" s="1999" t="s">
        <v>5765</v>
      </c>
      <c r="H1277" s="1794">
        <v>1</v>
      </c>
      <c r="I1277" s="1794" t="s">
        <v>4483</v>
      </c>
      <c r="J1277" s="2000">
        <v>1</v>
      </c>
      <c r="K1277" s="1798"/>
      <c r="L1277" s="1792">
        <v>13121001400</v>
      </c>
      <c r="M1277" s="1793">
        <v>1</v>
      </c>
      <c r="N1277" s="1793">
        <v>1</v>
      </c>
      <c r="O1277" s="1794">
        <v>2</v>
      </c>
    </row>
    <row r="1278" spans="3:15">
      <c r="C1278" s="1799" t="s">
        <v>5766</v>
      </c>
      <c r="D1278" s="1796">
        <v>1</v>
      </c>
      <c r="E1278" s="1796">
        <v>1</v>
      </c>
      <c r="F1278" s="1797">
        <v>2</v>
      </c>
      <c r="G1278" s="1999" t="s">
        <v>5766</v>
      </c>
      <c r="H1278" s="1794">
        <v>1</v>
      </c>
      <c r="I1278" s="1794">
        <v>0</v>
      </c>
      <c r="J1278" s="2000">
        <v>1</v>
      </c>
      <c r="K1278" s="1798"/>
      <c r="L1278" s="1792">
        <v>13121001500</v>
      </c>
      <c r="M1278" s="1793">
        <v>1</v>
      </c>
      <c r="N1278" s="1793">
        <v>1</v>
      </c>
      <c r="O1278" s="1794">
        <v>2</v>
      </c>
    </row>
    <row r="1279" spans="3:15">
      <c r="C1279" s="1799" t="s">
        <v>5767</v>
      </c>
      <c r="D1279" s="1796">
        <v>1</v>
      </c>
      <c r="E1279" s="1796">
        <v>1</v>
      </c>
      <c r="F1279" s="1797">
        <v>2</v>
      </c>
      <c r="G1279" s="1999" t="s">
        <v>5767</v>
      </c>
      <c r="H1279" s="1794">
        <v>1</v>
      </c>
      <c r="I1279" s="1794" t="s">
        <v>4483</v>
      </c>
      <c r="J1279" s="2000">
        <v>1</v>
      </c>
      <c r="K1279" s="1798"/>
      <c r="L1279" s="1792">
        <v>13121001600</v>
      </c>
      <c r="M1279" s="1793">
        <v>1</v>
      </c>
      <c r="N1279" s="1793">
        <v>1</v>
      </c>
      <c r="O1279" s="1794">
        <v>2</v>
      </c>
    </row>
    <row r="1280" spans="3:15">
      <c r="C1280" s="1799" t="s">
        <v>5768</v>
      </c>
      <c r="D1280" s="1796">
        <v>1</v>
      </c>
      <c r="E1280" s="1796">
        <v>0</v>
      </c>
      <c r="F1280" s="1797">
        <v>1</v>
      </c>
      <c r="G1280" s="1999" t="s">
        <v>5768</v>
      </c>
      <c r="H1280" s="1794">
        <v>1</v>
      </c>
      <c r="I1280" s="1794">
        <v>1</v>
      </c>
      <c r="J1280" s="2000">
        <v>2</v>
      </c>
      <c r="K1280" s="1798"/>
      <c r="L1280" s="1792">
        <v>13121001700</v>
      </c>
      <c r="M1280" s="1793">
        <v>1</v>
      </c>
      <c r="N1280" s="1793">
        <v>1</v>
      </c>
      <c r="O1280" s="1794">
        <v>2</v>
      </c>
    </row>
    <row r="1281" spans="3:15">
      <c r="C1281" s="1799" t="s">
        <v>5769</v>
      </c>
      <c r="D1281" s="1796">
        <v>0</v>
      </c>
      <c r="E1281" s="1796">
        <v>0</v>
      </c>
      <c r="F1281" s="1797">
        <v>0</v>
      </c>
      <c r="G1281" s="1999" t="s">
        <v>5769</v>
      </c>
      <c r="H1281" s="1794">
        <v>0</v>
      </c>
      <c r="I1281" s="1794">
        <v>1</v>
      </c>
      <c r="J1281" s="2000">
        <v>1</v>
      </c>
      <c r="K1281" s="1798"/>
      <c r="L1281" s="1792">
        <v>13121001800</v>
      </c>
      <c r="M1281" s="1793">
        <v>0</v>
      </c>
      <c r="N1281" s="1793">
        <v>1</v>
      </c>
      <c r="O1281" s="1794">
        <v>1</v>
      </c>
    </row>
    <row r="1282" spans="3:15">
      <c r="C1282" s="1799" t="s">
        <v>5770</v>
      </c>
      <c r="D1282" s="1796">
        <v>0</v>
      </c>
      <c r="E1282" s="1796">
        <v>1</v>
      </c>
      <c r="F1282" s="1797">
        <v>1</v>
      </c>
      <c r="G1282" s="1999" t="s">
        <v>5770</v>
      </c>
      <c r="H1282" s="1794">
        <v>0</v>
      </c>
      <c r="I1282" s="1794" t="s">
        <v>4483</v>
      </c>
      <c r="J1282" s="2000">
        <v>0</v>
      </c>
      <c r="K1282" s="1798"/>
      <c r="L1282" s="1792">
        <v>13121001900</v>
      </c>
      <c r="M1282" s="1793">
        <v>0</v>
      </c>
      <c r="N1282" s="1793">
        <v>1</v>
      </c>
      <c r="O1282" s="1794">
        <v>1</v>
      </c>
    </row>
    <row r="1283" spans="3:15">
      <c r="C1283" s="1799" t="s">
        <v>5771</v>
      </c>
      <c r="D1283" s="1796">
        <v>0</v>
      </c>
      <c r="E1283" s="1796">
        <v>0</v>
      </c>
      <c r="F1283" s="1797">
        <v>0</v>
      </c>
      <c r="G1283" s="1999" t="s">
        <v>5771</v>
      </c>
      <c r="H1283" s="1794">
        <v>0</v>
      </c>
      <c r="I1283" s="1794" t="s">
        <v>4483</v>
      </c>
      <c r="J1283" s="2000">
        <v>0</v>
      </c>
      <c r="K1283" s="1798"/>
      <c r="L1283" s="1792">
        <v>13121002100</v>
      </c>
      <c r="M1283" s="1793">
        <v>0</v>
      </c>
      <c r="N1283" s="1793">
        <v>0</v>
      </c>
      <c r="O1283" s="1794">
        <v>0</v>
      </c>
    </row>
    <row r="1284" spans="3:15">
      <c r="C1284" s="1799" t="s">
        <v>5772</v>
      </c>
      <c r="D1284" s="1796">
        <v>0</v>
      </c>
      <c r="E1284" s="1796">
        <v>0</v>
      </c>
      <c r="F1284" s="1797">
        <v>0</v>
      </c>
      <c r="G1284" s="1999" t="s">
        <v>5772</v>
      </c>
      <c r="H1284" s="1794">
        <v>0</v>
      </c>
      <c r="I1284" s="1794">
        <v>0</v>
      </c>
      <c r="J1284" s="2000">
        <v>0</v>
      </c>
      <c r="K1284" s="1798"/>
      <c r="L1284" s="1792">
        <v>13121002300</v>
      </c>
      <c r="M1284" s="1793">
        <v>0</v>
      </c>
      <c r="N1284" s="1793">
        <v>0</v>
      </c>
      <c r="O1284" s="1794">
        <v>0</v>
      </c>
    </row>
    <row r="1285" spans="3:15">
      <c r="C1285" s="1799" t="s">
        <v>5773</v>
      </c>
      <c r="D1285" s="1796">
        <v>0</v>
      </c>
      <c r="E1285" s="1796">
        <v>0</v>
      </c>
      <c r="F1285" s="1797">
        <v>0</v>
      </c>
      <c r="G1285" s="1999" t="s">
        <v>5773</v>
      </c>
      <c r="H1285" s="1794">
        <v>0</v>
      </c>
      <c r="I1285" s="1794">
        <v>0</v>
      </c>
      <c r="J1285" s="2000">
        <v>0</v>
      </c>
      <c r="K1285" s="1798"/>
      <c r="L1285" s="1792">
        <v>13121002400</v>
      </c>
      <c r="M1285" s="1793">
        <v>0</v>
      </c>
      <c r="N1285" s="1793">
        <v>0</v>
      </c>
      <c r="O1285" s="1794">
        <v>0</v>
      </c>
    </row>
    <row r="1286" spans="3:15">
      <c r="C1286" s="1799" t="s">
        <v>5774</v>
      </c>
      <c r="D1286" s="1796">
        <v>0</v>
      </c>
      <c r="E1286" s="1796">
        <v>0</v>
      </c>
      <c r="F1286" s="1797">
        <v>0</v>
      </c>
      <c r="G1286" s="1999" t="s">
        <v>5774</v>
      </c>
      <c r="H1286" s="1794">
        <v>0</v>
      </c>
      <c r="I1286" s="1794">
        <v>0</v>
      </c>
      <c r="J1286" s="2000">
        <v>0</v>
      </c>
      <c r="K1286" s="1798"/>
      <c r="L1286" s="1792">
        <v>13121002500</v>
      </c>
      <c r="M1286" s="1793">
        <v>0</v>
      </c>
      <c r="N1286" s="1793">
        <v>0</v>
      </c>
      <c r="O1286" s="1794">
        <v>0</v>
      </c>
    </row>
    <row r="1287" spans="3:15">
      <c r="C1287" s="1799" t="s">
        <v>5775</v>
      </c>
      <c r="D1287" s="1796">
        <v>0</v>
      </c>
      <c r="E1287" s="1796">
        <v>0</v>
      </c>
      <c r="F1287" s="1797">
        <v>0</v>
      </c>
      <c r="G1287" s="1999" t="s">
        <v>5775</v>
      </c>
      <c r="H1287" s="1794">
        <v>0</v>
      </c>
      <c r="I1287" s="1794" t="s">
        <v>4483</v>
      </c>
      <c r="J1287" s="2000">
        <v>0</v>
      </c>
      <c r="K1287" s="1798"/>
      <c r="L1287" s="1792">
        <v>13121002600</v>
      </c>
      <c r="M1287" s="1793">
        <v>0</v>
      </c>
      <c r="N1287" s="1793">
        <v>0</v>
      </c>
      <c r="O1287" s="1794">
        <v>0</v>
      </c>
    </row>
    <row r="1288" spans="3:15">
      <c r="C1288" s="1799" t="s">
        <v>5776</v>
      </c>
      <c r="D1288" s="1796">
        <v>0</v>
      </c>
      <c r="E1288" s="1796">
        <v>0</v>
      </c>
      <c r="F1288" s="1797">
        <v>0</v>
      </c>
      <c r="G1288" s="1999" t="s">
        <v>5776</v>
      </c>
      <c r="H1288" s="1794">
        <v>0</v>
      </c>
      <c r="I1288" s="1794" t="s">
        <v>4483</v>
      </c>
      <c r="J1288" s="2000">
        <v>0</v>
      </c>
      <c r="K1288" s="1798"/>
      <c r="L1288" s="1792">
        <v>13121002800</v>
      </c>
      <c r="M1288" s="1793">
        <v>0</v>
      </c>
      <c r="N1288" s="1793">
        <v>0</v>
      </c>
      <c r="O1288" s="1794">
        <v>0</v>
      </c>
    </row>
    <row r="1289" spans="3:15">
      <c r="C1289" s="1799" t="s">
        <v>5777</v>
      </c>
      <c r="D1289" s="1796">
        <v>1</v>
      </c>
      <c r="E1289" s="1796">
        <v>1</v>
      </c>
      <c r="F1289" s="1797">
        <v>2</v>
      </c>
      <c r="G1289" s="1999" t="s">
        <v>5777</v>
      </c>
      <c r="H1289" s="1794">
        <v>1</v>
      </c>
      <c r="I1289" s="1794">
        <v>1</v>
      </c>
      <c r="J1289" s="2000">
        <v>2</v>
      </c>
      <c r="K1289" s="1798"/>
      <c r="L1289" s="1792">
        <v>13121002900</v>
      </c>
      <c r="M1289" s="1793">
        <v>1</v>
      </c>
      <c r="N1289" s="1793">
        <v>1</v>
      </c>
      <c r="O1289" s="1794">
        <v>2</v>
      </c>
    </row>
    <row r="1290" spans="3:15">
      <c r="C1290" s="1799" t="s">
        <v>5778</v>
      </c>
      <c r="D1290" s="1796">
        <v>1</v>
      </c>
      <c r="E1290" s="1796">
        <v>1</v>
      </c>
      <c r="F1290" s="1797">
        <v>2</v>
      </c>
      <c r="G1290" s="1999" t="s">
        <v>5778</v>
      </c>
      <c r="H1290" s="1794">
        <v>1</v>
      </c>
      <c r="I1290" s="1794" t="s">
        <v>4483</v>
      </c>
      <c r="J1290" s="2000">
        <v>1</v>
      </c>
      <c r="K1290" s="1798"/>
      <c r="L1290" s="1792">
        <v>13121003000</v>
      </c>
      <c r="M1290" s="1793">
        <v>1</v>
      </c>
      <c r="N1290" s="1793">
        <v>1</v>
      </c>
      <c r="O1290" s="1794">
        <v>2</v>
      </c>
    </row>
    <row r="1291" spans="3:15">
      <c r="C1291" s="1799" t="s">
        <v>5779</v>
      </c>
      <c r="D1291" s="1796">
        <v>1</v>
      </c>
      <c r="E1291" s="1796">
        <v>0</v>
      </c>
      <c r="F1291" s="1797">
        <v>1</v>
      </c>
      <c r="G1291" s="1999" t="s">
        <v>5779</v>
      </c>
      <c r="H1291" s="1794">
        <v>1</v>
      </c>
      <c r="I1291" s="1794">
        <v>0</v>
      </c>
      <c r="J1291" s="2000">
        <v>1</v>
      </c>
      <c r="K1291" s="1798"/>
      <c r="L1291" s="1792">
        <v>13121003100</v>
      </c>
      <c r="M1291" s="1793">
        <v>1</v>
      </c>
      <c r="N1291" s="1793">
        <v>0</v>
      </c>
      <c r="O1291" s="1794">
        <v>1</v>
      </c>
    </row>
    <row r="1292" spans="3:15">
      <c r="C1292" s="1799" t="s">
        <v>5780</v>
      </c>
      <c r="D1292" s="1796">
        <v>1</v>
      </c>
      <c r="E1292" s="1796">
        <v>1</v>
      </c>
      <c r="F1292" s="1797">
        <v>2</v>
      </c>
      <c r="G1292" s="1999" t="s">
        <v>5780</v>
      </c>
      <c r="H1292" s="1794">
        <v>1</v>
      </c>
      <c r="I1292" s="1794" t="s">
        <v>4483</v>
      </c>
      <c r="J1292" s="2000">
        <v>1</v>
      </c>
      <c r="K1292" s="1798"/>
      <c r="L1292" s="1792">
        <v>13121003200</v>
      </c>
      <c r="M1292" s="1793">
        <v>1</v>
      </c>
      <c r="N1292" s="1793">
        <v>1</v>
      </c>
      <c r="O1292" s="1794">
        <v>2</v>
      </c>
    </row>
    <row r="1293" spans="3:15">
      <c r="C1293" s="1799" t="s">
        <v>5781</v>
      </c>
      <c r="D1293" s="1796">
        <v>0</v>
      </c>
      <c r="E1293" s="1796">
        <v>0</v>
      </c>
      <c r="F1293" s="1797">
        <v>0</v>
      </c>
      <c r="G1293" s="1999" t="s">
        <v>5781</v>
      </c>
      <c r="H1293" s="1794">
        <v>0</v>
      </c>
      <c r="I1293" s="1794" t="s">
        <v>4483</v>
      </c>
      <c r="J1293" s="2000">
        <v>0</v>
      </c>
      <c r="K1293" s="1798"/>
      <c r="L1293" s="1792">
        <v>13121003500</v>
      </c>
      <c r="M1293" s="1793">
        <v>0</v>
      </c>
      <c r="N1293" s="1793">
        <v>0</v>
      </c>
      <c r="O1293" s="1794">
        <v>0</v>
      </c>
    </row>
    <row r="1294" spans="3:15">
      <c r="C1294" s="1799" t="s">
        <v>5782</v>
      </c>
      <c r="D1294" s="1796">
        <v>1</v>
      </c>
      <c r="E1294" s="1796">
        <v>0</v>
      </c>
      <c r="F1294" s="1797">
        <v>1</v>
      </c>
      <c r="G1294" s="1999" t="s">
        <v>5782</v>
      </c>
      <c r="H1294" s="1794">
        <v>0</v>
      </c>
      <c r="I1294" s="1794">
        <v>0</v>
      </c>
      <c r="J1294" s="2000">
        <v>0</v>
      </c>
      <c r="K1294" s="1798"/>
      <c r="L1294" s="1792">
        <v>13121003600</v>
      </c>
      <c r="M1294" s="1793">
        <v>1</v>
      </c>
      <c r="N1294" s="1793">
        <v>0</v>
      </c>
      <c r="O1294" s="1794">
        <v>1</v>
      </c>
    </row>
    <row r="1295" spans="3:15">
      <c r="C1295" s="1799" t="s">
        <v>5783</v>
      </c>
      <c r="D1295" s="1796" t="s">
        <v>4483</v>
      </c>
      <c r="E1295" s="1796" t="s">
        <v>4483</v>
      </c>
      <c r="F1295" s="1797">
        <v>0</v>
      </c>
      <c r="G1295" s="1999" t="s">
        <v>5783</v>
      </c>
      <c r="H1295" s="1794">
        <v>0</v>
      </c>
      <c r="I1295" s="1794" t="s">
        <v>4483</v>
      </c>
      <c r="J1295" s="2000">
        <v>0</v>
      </c>
      <c r="K1295" s="1798"/>
      <c r="L1295" s="1792">
        <v>13121003700</v>
      </c>
      <c r="M1295" s="1793">
        <v>0</v>
      </c>
      <c r="N1295" s="1793">
        <v>0</v>
      </c>
      <c r="O1295" s="1794">
        <v>0</v>
      </c>
    </row>
    <row r="1296" spans="3:15">
      <c r="C1296" s="1799" t="s">
        <v>5784</v>
      </c>
      <c r="D1296" s="1796">
        <v>0</v>
      </c>
      <c r="E1296" s="1796">
        <v>0</v>
      </c>
      <c r="F1296" s="1797">
        <v>0</v>
      </c>
      <c r="G1296" s="1999" t="s">
        <v>5784</v>
      </c>
      <c r="H1296" s="1794">
        <v>0</v>
      </c>
      <c r="I1296" s="1794" t="s">
        <v>4483</v>
      </c>
      <c r="J1296" s="2000">
        <v>0</v>
      </c>
      <c r="K1296" s="1798"/>
      <c r="L1296" s="1792">
        <v>13121003800</v>
      </c>
      <c r="M1296" s="1793">
        <v>0</v>
      </c>
      <c r="N1296" s="1793">
        <v>0</v>
      </c>
      <c r="O1296" s="1794">
        <v>0</v>
      </c>
    </row>
    <row r="1297" spans="3:15">
      <c r="C1297" s="1799" t="s">
        <v>5785</v>
      </c>
      <c r="D1297" s="1796">
        <v>0</v>
      </c>
      <c r="E1297" s="1796">
        <v>0</v>
      </c>
      <c r="F1297" s="1797">
        <v>0</v>
      </c>
      <c r="G1297" s="1999" t="s">
        <v>5785</v>
      </c>
      <c r="H1297" s="1794">
        <v>0</v>
      </c>
      <c r="I1297" s="1794">
        <v>0</v>
      </c>
      <c r="J1297" s="2000">
        <v>0</v>
      </c>
      <c r="K1297" s="1798"/>
      <c r="L1297" s="1792">
        <v>13121003900</v>
      </c>
      <c r="M1297" s="1793">
        <v>0</v>
      </c>
      <c r="N1297" s="1793">
        <v>0</v>
      </c>
      <c r="O1297" s="1794">
        <v>0</v>
      </c>
    </row>
    <row r="1298" spans="3:15">
      <c r="C1298" s="1799" t="s">
        <v>5786</v>
      </c>
      <c r="D1298" s="1796">
        <v>0</v>
      </c>
      <c r="E1298" s="1796">
        <v>0</v>
      </c>
      <c r="F1298" s="1797">
        <v>0</v>
      </c>
      <c r="G1298" s="1999" t="s">
        <v>5786</v>
      </c>
      <c r="H1298" s="1794">
        <v>0</v>
      </c>
      <c r="I1298" s="1794">
        <v>0</v>
      </c>
      <c r="J1298" s="2000">
        <v>0</v>
      </c>
      <c r="K1298" s="1798"/>
      <c r="L1298" s="1792">
        <v>13121004000</v>
      </c>
      <c r="M1298" s="1793">
        <v>0</v>
      </c>
      <c r="N1298" s="1793">
        <v>0</v>
      </c>
      <c r="O1298" s="1794">
        <v>0</v>
      </c>
    </row>
    <row r="1299" spans="3:15">
      <c r="C1299" s="1799" t="s">
        <v>5787</v>
      </c>
      <c r="D1299" s="1796">
        <v>0</v>
      </c>
      <c r="E1299" s="1796">
        <v>0</v>
      </c>
      <c r="F1299" s="1797">
        <v>0</v>
      </c>
      <c r="G1299" s="1999" t="s">
        <v>5787</v>
      </c>
      <c r="H1299" s="1794">
        <v>0</v>
      </c>
      <c r="I1299" s="1794">
        <v>0</v>
      </c>
      <c r="J1299" s="2000">
        <v>0</v>
      </c>
      <c r="K1299" s="1798"/>
      <c r="L1299" s="1792">
        <v>13121004100</v>
      </c>
      <c r="M1299" s="1793">
        <v>0</v>
      </c>
      <c r="N1299" s="1793">
        <v>0</v>
      </c>
      <c r="O1299" s="1794">
        <v>0</v>
      </c>
    </row>
    <row r="1300" spans="3:15">
      <c r="C1300" s="1799" t="s">
        <v>5788</v>
      </c>
      <c r="D1300" s="1796">
        <v>0</v>
      </c>
      <c r="E1300" s="1796">
        <v>0</v>
      </c>
      <c r="F1300" s="1797">
        <v>0</v>
      </c>
      <c r="G1300" s="1999" t="s">
        <v>5788</v>
      </c>
      <c r="H1300" s="1794">
        <v>0</v>
      </c>
      <c r="I1300" s="1794">
        <v>0</v>
      </c>
      <c r="J1300" s="2000">
        <v>0</v>
      </c>
      <c r="K1300" s="1798"/>
      <c r="L1300" s="1792">
        <v>13121004200</v>
      </c>
      <c r="M1300" s="1793">
        <v>0</v>
      </c>
      <c r="N1300" s="1793">
        <v>0</v>
      </c>
      <c r="O1300" s="1794">
        <v>0</v>
      </c>
    </row>
    <row r="1301" spans="3:15">
      <c r="C1301" s="1799" t="s">
        <v>5789</v>
      </c>
      <c r="D1301" s="1796">
        <v>0</v>
      </c>
      <c r="E1301" s="1796">
        <v>0</v>
      </c>
      <c r="F1301" s="1797">
        <v>0</v>
      </c>
      <c r="G1301" s="1999" t="s">
        <v>5789</v>
      </c>
      <c r="H1301" s="1794">
        <v>0</v>
      </c>
      <c r="I1301" s="1794" t="s">
        <v>4483</v>
      </c>
      <c r="J1301" s="2000">
        <v>0</v>
      </c>
      <c r="K1301" s="1798"/>
      <c r="L1301" s="1792">
        <v>13121004300</v>
      </c>
      <c r="M1301" s="1793">
        <v>0</v>
      </c>
      <c r="N1301" s="1793">
        <v>0</v>
      </c>
      <c r="O1301" s="1794">
        <v>0</v>
      </c>
    </row>
    <row r="1302" spans="3:15">
      <c r="C1302" s="1799" t="s">
        <v>5790</v>
      </c>
      <c r="D1302" s="1796">
        <v>0</v>
      </c>
      <c r="E1302" s="1796">
        <v>0</v>
      </c>
      <c r="F1302" s="1797">
        <v>0</v>
      </c>
      <c r="G1302" s="1999" t="s">
        <v>5790</v>
      </c>
      <c r="H1302" s="1794">
        <v>0</v>
      </c>
      <c r="I1302" s="1794">
        <v>0</v>
      </c>
      <c r="J1302" s="2000">
        <v>0</v>
      </c>
      <c r="K1302" s="1798"/>
      <c r="L1302" s="1792">
        <v>13121004400</v>
      </c>
      <c r="M1302" s="1793">
        <v>0</v>
      </c>
      <c r="N1302" s="1793">
        <v>0</v>
      </c>
      <c r="O1302" s="1794">
        <v>0</v>
      </c>
    </row>
    <row r="1303" spans="3:15">
      <c r="C1303" s="1799" t="s">
        <v>5791</v>
      </c>
      <c r="D1303" s="1796">
        <v>0</v>
      </c>
      <c r="E1303" s="1796">
        <v>0</v>
      </c>
      <c r="F1303" s="1797">
        <v>0</v>
      </c>
      <c r="G1303" s="1999" t="s">
        <v>5791</v>
      </c>
      <c r="H1303" s="1794">
        <v>0</v>
      </c>
      <c r="I1303" s="1794" t="s">
        <v>4483</v>
      </c>
      <c r="J1303" s="2000">
        <v>0</v>
      </c>
      <c r="K1303" s="1798"/>
      <c r="L1303" s="1792">
        <v>13121004800</v>
      </c>
      <c r="M1303" s="1793">
        <v>0</v>
      </c>
      <c r="N1303" s="1793">
        <v>0</v>
      </c>
      <c r="O1303" s="1794">
        <v>0</v>
      </c>
    </row>
    <row r="1304" spans="3:15">
      <c r="C1304" s="1799" t="s">
        <v>5792</v>
      </c>
      <c r="D1304" s="1796">
        <v>1</v>
      </c>
      <c r="E1304" s="1796">
        <v>0</v>
      </c>
      <c r="F1304" s="1797">
        <v>1</v>
      </c>
      <c r="G1304" s="1999" t="s">
        <v>5792</v>
      </c>
      <c r="H1304" s="1794">
        <v>1</v>
      </c>
      <c r="I1304" s="1794" t="s">
        <v>4483</v>
      </c>
      <c r="J1304" s="2000">
        <v>1</v>
      </c>
      <c r="K1304" s="1798"/>
      <c r="L1304" s="1792">
        <v>13121004900</v>
      </c>
      <c r="M1304" s="1793">
        <v>1</v>
      </c>
      <c r="N1304" s="1793">
        <v>0</v>
      </c>
      <c r="O1304" s="1794">
        <v>1</v>
      </c>
    </row>
    <row r="1305" spans="3:15">
      <c r="C1305" s="1799" t="s">
        <v>5793</v>
      </c>
      <c r="D1305" s="1796">
        <v>1</v>
      </c>
      <c r="E1305" s="1796">
        <v>1</v>
      </c>
      <c r="F1305" s="1797">
        <v>2</v>
      </c>
      <c r="G1305" s="1999" t="s">
        <v>5793</v>
      </c>
      <c r="H1305" s="1794">
        <v>1</v>
      </c>
      <c r="I1305" s="1794">
        <v>1</v>
      </c>
      <c r="J1305" s="2000">
        <v>2</v>
      </c>
      <c r="K1305" s="1798"/>
      <c r="L1305" s="1792">
        <v>13121005000</v>
      </c>
      <c r="M1305" s="1793">
        <v>1</v>
      </c>
      <c r="N1305" s="1793">
        <v>1</v>
      </c>
      <c r="O1305" s="1794">
        <v>2</v>
      </c>
    </row>
    <row r="1306" spans="3:15">
      <c r="C1306" s="1799" t="s">
        <v>5794</v>
      </c>
      <c r="D1306" s="1796">
        <v>1</v>
      </c>
      <c r="E1306" s="1796">
        <v>1</v>
      </c>
      <c r="F1306" s="1797">
        <v>2</v>
      </c>
      <c r="G1306" s="1999" t="s">
        <v>5794</v>
      </c>
      <c r="H1306" s="1794">
        <v>1</v>
      </c>
      <c r="I1306" s="1794">
        <v>1</v>
      </c>
      <c r="J1306" s="2000">
        <v>2</v>
      </c>
      <c r="K1306" s="1798"/>
      <c r="L1306" s="1792">
        <v>13121005200</v>
      </c>
      <c r="M1306" s="1793">
        <v>1</v>
      </c>
      <c r="N1306" s="1793">
        <v>1</v>
      </c>
      <c r="O1306" s="1794">
        <v>2</v>
      </c>
    </row>
    <row r="1307" spans="3:15">
      <c r="C1307" s="1799" t="s">
        <v>5795</v>
      </c>
      <c r="D1307" s="1796">
        <v>1</v>
      </c>
      <c r="E1307" s="1796">
        <v>1</v>
      </c>
      <c r="F1307" s="1797">
        <v>2</v>
      </c>
      <c r="G1307" s="1999" t="s">
        <v>5795</v>
      </c>
      <c r="H1307" s="1794">
        <v>1</v>
      </c>
      <c r="I1307" s="1794">
        <v>1</v>
      </c>
      <c r="J1307" s="2000">
        <v>2</v>
      </c>
      <c r="K1307" s="1798"/>
      <c r="L1307" s="1792">
        <v>13121005300</v>
      </c>
      <c r="M1307" s="1793">
        <v>1</v>
      </c>
      <c r="N1307" s="1793">
        <v>1</v>
      </c>
      <c r="O1307" s="1794">
        <v>2</v>
      </c>
    </row>
    <row r="1308" spans="3:15">
      <c r="C1308" s="1799" t="s">
        <v>5796</v>
      </c>
      <c r="D1308" s="1796">
        <v>0</v>
      </c>
      <c r="E1308" s="1796">
        <v>0</v>
      </c>
      <c r="F1308" s="1797">
        <v>0</v>
      </c>
      <c r="G1308" s="1999" t="s">
        <v>5796</v>
      </c>
      <c r="H1308" s="1794">
        <v>0</v>
      </c>
      <c r="I1308" s="1794">
        <v>0</v>
      </c>
      <c r="J1308" s="2000">
        <v>0</v>
      </c>
      <c r="K1308" s="1798"/>
      <c r="L1308" s="1792">
        <v>13121005501</v>
      </c>
      <c r="M1308" s="1793">
        <v>0</v>
      </c>
      <c r="N1308" s="1793">
        <v>0</v>
      </c>
      <c r="O1308" s="1794">
        <v>0</v>
      </c>
    </row>
    <row r="1309" spans="3:15">
      <c r="C1309" s="1799" t="s">
        <v>5797</v>
      </c>
      <c r="D1309" s="1796">
        <v>0</v>
      </c>
      <c r="E1309" s="1796">
        <v>0</v>
      </c>
      <c r="F1309" s="1797">
        <v>0</v>
      </c>
      <c r="G1309" s="1999" t="s">
        <v>5797</v>
      </c>
      <c r="H1309" s="1794">
        <v>0</v>
      </c>
      <c r="I1309" s="1794">
        <v>0</v>
      </c>
      <c r="J1309" s="2000">
        <v>0</v>
      </c>
      <c r="K1309" s="1798"/>
      <c r="L1309" s="1792">
        <v>13121005502</v>
      </c>
      <c r="M1309" s="1793">
        <v>0</v>
      </c>
      <c r="N1309" s="1793">
        <v>0</v>
      </c>
      <c r="O1309" s="1794">
        <v>0</v>
      </c>
    </row>
    <row r="1310" spans="3:15">
      <c r="C1310" s="1799" t="s">
        <v>5798</v>
      </c>
      <c r="D1310" s="1796">
        <v>0</v>
      </c>
      <c r="E1310" s="1796">
        <v>0</v>
      </c>
      <c r="F1310" s="1797">
        <v>0</v>
      </c>
      <c r="G1310" s="1999" t="s">
        <v>5798</v>
      </c>
      <c r="H1310" s="1794">
        <v>0</v>
      </c>
      <c r="I1310" s="1794">
        <v>0</v>
      </c>
      <c r="J1310" s="2000">
        <v>0</v>
      </c>
      <c r="K1310" s="1798"/>
      <c r="L1310" s="1792">
        <v>13121005700</v>
      </c>
      <c r="M1310" s="1793">
        <v>0</v>
      </c>
      <c r="N1310" s="1793">
        <v>0</v>
      </c>
      <c r="O1310" s="1794">
        <v>0</v>
      </c>
    </row>
    <row r="1311" spans="3:15">
      <c r="C1311" s="1799" t="s">
        <v>5799</v>
      </c>
      <c r="D1311" s="1796">
        <v>0</v>
      </c>
      <c r="E1311" s="1796">
        <v>0</v>
      </c>
      <c r="F1311" s="1797">
        <v>0</v>
      </c>
      <c r="G1311" s="1999" t="s">
        <v>5799</v>
      </c>
      <c r="H1311" s="1794">
        <v>0</v>
      </c>
      <c r="I1311" s="1794">
        <v>0</v>
      </c>
      <c r="J1311" s="2000">
        <v>0</v>
      </c>
      <c r="K1311" s="1798"/>
      <c r="L1311" s="1792">
        <v>13121005800</v>
      </c>
      <c r="M1311" s="1793">
        <v>0</v>
      </c>
      <c r="N1311" s="1793">
        <v>0</v>
      </c>
      <c r="O1311" s="1794">
        <v>0</v>
      </c>
    </row>
    <row r="1312" spans="3:15">
      <c r="C1312" s="1799" t="s">
        <v>5800</v>
      </c>
      <c r="D1312" s="1796">
        <v>0</v>
      </c>
      <c r="E1312" s="1796">
        <v>0</v>
      </c>
      <c r="F1312" s="1797">
        <v>0</v>
      </c>
      <c r="G1312" s="1999" t="s">
        <v>5800</v>
      </c>
      <c r="H1312" s="1794">
        <v>0</v>
      </c>
      <c r="I1312" s="1794">
        <v>0</v>
      </c>
      <c r="J1312" s="2000">
        <v>0</v>
      </c>
      <c r="K1312" s="1798"/>
      <c r="L1312" s="1792">
        <v>13121006000</v>
      </c>
      <c r="M1312" s="1793">
        <v>0</v>
      </c>
      <c r="N1312" s="1793">
        <v>0</v>
      </c>
      <c r="O1312" s="1794">
        <v>0</v>
      </c>
    </row>
    <row r="1313" spans="3:15">
      <c r="C1313" s="1799" t="s">
        <v>5801</v>
      </c>
      <c r="D1313" s="1796">
        <v>0</v>
      </c>
      <c r="E1313" s="1796">
        <v>0</v>
      </c>
      <c r="F1313" s="1797">
        <v>0</v>
      </c>
      <c r="G1313" s="1999" t="s">
        <v>5801</v>
      </c>
      <c r="H1313" s="1794">
        <v>0</v>
      </c>
      <c r="I1313" s="1794">
        <v>0</v>
      </c>
      <c r="J1313" s="2000">
        <v>0</v>
      </c>
      <c r="K1313" s="1798"/>
      <c r="L1313" s="1792">
        <v>13121006100</v>
      </c>
      <c r="M1313" s="1793">
        <v>0</v>
      </c>
      <c r="N1313" s="1793">
        <v>0</v>
      </c>
      <c r="O1313" s="1794">
        <v>0</v>
      </c>
    </row>
    <row r="1314" spans="3:15">
      <c r="C1314" s="1799" t="s">
        <v>5802</v>
      </c>
      <c r="D1314" s="1796">
        <v>0</v>
      </c>
      <c r="E1314" s="1796">
        <v>0</v>
      </c>
      <c r="F1314" s="1797">
        <v>0</v>
      </c>
      <c r="G1314" s="1999" t="s">
        <v>5802</v>
      </c>
      <c r="H1314" s="1794">
        <v>0</v>
      </c>
      <c r="I1314" s="1794">
        <v>0</v>
      </c>
      <c r="J1314" s="2000">
        <v>0</v>
      </c>
      <c r="K1314" s="1798"/>
      <c r="L1314" s="1792">
        <v>13121006200</v>
      </c>
      <c r="M1314" s="1793">
        <v>0</v>
      </c>
      <c r="N1314" s="1793">
        <v>0</v>
      </c>
      <c r="O1314" s="1794">
        <v>0</v>
      </c>
    </row>
    <row r="1315" spans="3:15">
      <c r="C1315" s="1799" t="s">
        <v>5803</v>
      </c>
      <c r="D1315" s="1796">
        <v>0</v>
      </c>
      <c r="E1315" s="1796">
        <v>0</v>
      </c>
      <c r="F1315" s="1797">
        <v>0</v>
      </c>
      <c r="G1315" s="1999" t="s">
        <v>5803</v>
      </c>
      <c r="H1315" s="1794">
        <v>0</v>
      </c>
      <c r="I1315" s="1794">
        <v>0</v>
      </c>
      <c r="J1315" s="2000">
        <v>0</v>
      </c>
      <c r="K1315" s="1798"/>
      <c r="L1315" s="1792">
        <v>13121006300</v>
      </c>
      <c r="M1315" s="1793">
        <v>0</v>
      </c>
      <c r="N1315" s="1793">
        <v>0</v>
      </c>
      <c r="O1315" s="1794">
        <v>0</v>
      </c>
    </row>
    <row r="1316" spans="3:15">
      <c r="C1316" s="1799" t="s">
        <v>5804</v>
      </c>
      <c r="D1316" s="1796">
        <v>0</v>
      </c>
      <c r="E1316" s="1796">
        <v>0</v>
      </c>
      <c r="F1316" s="1797">
        <v>0</v>
      </c>
      <c r="G1316" s="1999" t="s">
        <v>5804</v>
      </c>
      <c r="H1316" s="1794">
        <v>0</v>
      </c>
      <c r="I1316" s="1794" t="s">
        <v>4483</v>
      </c>
      <c r="J1316" s="2000">
        <v>0</v>
      </c>
      <c r="K1316" s="1798"/>
      <c r="L1316" s="1792">
        <v>13121006400</v>
      </c>
      <c r="M1316" s="1793">
        <v>0</v>
      </c>
      <c r="N1316" s="1793">
        <v>0</v>
      </c>
      <c r="O1316" s="1794">
        <v>0</v>
      </c>
    </row>
    <row r="1317" spans="3:15">
      <c r="C1317" s="1799" t="s">
        <v>5805</v>
      </c>
      <c r="D1317" s="1796">
        <v>0</v>
      </c>
      <c r="E1317" s="1796">
        <v>0</v>
      </c>
      <c r="F1317" s="1797">
        <v>0</v>
      </c>
      <c r="G1317" s="1999" t="s">
        <v>5805</v>
      </c>
      <c r="H1317" s="1794">
        <v>0</v>
      </c>
      <c r="I1317" s="1794">
        <v>0</v>
      </c>
      <c r="J1317" s="2000">
        <v>0</v>
      </c>
      <c r="K1317" s="1798"/>
      <c r="L1317" s="1792">
        <v>13121006500</v>
      </c>
      <c r="M1317" s="1793">
        <v>0</v>
      </c>
      <c r="N1317" s="1793">
        <v>0</v>
      </c>
      <c r="O1317" s="1794">
        <v>0</v>
      </c>
    </row>
    <row r="1318" spans="3:15">
      <c r="C1318" s="1799" t="s">
        <v>5806</v>
      </c>
      <c r="D1318" s="1796">
        <v>0</v>
      </c>
      <c r="E1318" s="1796">
        <v>0</v>
      </c>
      <c r="F1318" s="1797">
        <v>0</v>
      </c>
      <c r="G1318" s="1999" t="s">
        <v>5806</v>
      </c>
      <c r="H1318" s="1794">
        <v>0</v>
      </c>
      <c r="I1318" s="1794">
        <v>0</v>
      </c>
      <c r="J1318" s="2000">
        <v>0</v>
      </c>
      <c r="K1318" s="1798"/>
      <c r="L1318" s="1792">
        <v>13121006601</v>
      </c>
      <c r="M1318" s="1793">
        <v>0</v>
      </c>
      <c r="N1318" s="1793">
        <v>0</v>
      </c>
      <c r="O1318" s="1794">
        <v>0</v>
      </c>
    </row>
    <row r="1319" spans="3:15">
      <c r="C1319" s="1799" t="s">
        <v>5807</v>
      </c>
      <c r="D1319" s="1796">
        <v>0</v>
      </c>
      <c r="E1319" s="1796">
        <v>0</v>
      </c>
      <c r="F1319" s="1797">
        <v>0</v>
      </c>
      <c r="G1319" s="1999" t="s">
        <v>5807</v>
      </c>
      <c r="H1319" s="1794">
        <v>0</v>
      </c>
      <c r="I1319" s="1794">
        <v>0</v>
      </c>
      <c r="J1319" s="2000">
        <v>0</v>
      </c>
      <c r="K1319" s="1798"/>
      <c r="L1319" s="1792">
        <v>13121006602</v>
      </c>
      <c r="M1319" s="1793">
        <v>0</v>
      </c>
      <c r="N1319" s="1793">
        <v>0</v>
      </c>
      <c r="O1319" s="1794">
        <v>0</v>
      </c>
    </row>
    <row r="1320" spans="3:15">
      <c r="C1320" s="1799" t="s">
        <v>5808</v>
      </c>
      <c r="D1320" s="1796">
        <v>0</v>
      </c>
      <c r="E1320" s="1796">
        <v>0</v>
      </c>
      <c r="F1320" s="1797">
        <v>0</v>
      </c>
      <c r="G1320" s="1999" t="s">
        <v>5808</v>
      </c>
      <c r="H1320" s="1794">
        <v>0</v>
      </c>
      <c r="I1320" s="1794">
        <v>0</v>
      </c>
      <c r="J1320" s="2000">
        <v>0</v>
      </c>
      <c r="K1320" s="1798"/>
      <c r="L1320" s="1792">
        <v>13121006700</v>
      </c>
      <c r="M1320" s="1793">
        <v>0</v>
      </c>
      <c r="N1320" s="1793">
        <v>0</v>
      </c>
      <c r="O1320" s="1794">
        <v>0</v>
      </c>
    </row>
    <row r="1321" spans="3:15">
      <c r="C1321" s="1799" t="s">
        <v>5809</v>
      </c>
      <c r="D1321" s="1796" t="s">
        <v>4483</v>
      </c>
      <c r="E1321" s="1796" t="s">
        <v>4483</v>
      </c>
      <c r="F1321" s="1797">
        <v>0</v>
      </c>
      <c r="G1321" s="1999" t="s">
        <v>5809</v>
      </c>
      <c r="H1321" s="1794" t="s">
        <v>4483</v>
      </c>
      <c r="I1321" s="1794" t="s">
        <v>4483</v>
      </c>
      <c r="J1321" s="2000">
        <v>0</v>
      </c>
      <c r="K1321" s="1798"/>
      <c r="L1321" s="1792">
        <v>13121006801</v>
      </c>
      <c r="M1321" s="1793">
        <v>0</v>
      </c>
      <c r="N1321" s="1793">
        <v>0</v>
      </c>
      <c r="O1321" s="1794">
        <v>0</v>
      </c>
    </row>
    <row r="1322" spans="3:15">
      <c r="C1322" s="1799" t="s">
        <v>5810</v>
      </c>
      <c r="D1322" s="1796">
        <v>0</v>
      </c>
      <c r="E1322" s="1796">
        <v>0</v>
      </c>
      <c r="F1322" s="1797">
        <v>0</v>
      </c>
      <c r="G1322" s="1999" t="s">
        <v>5810</v>
      </c>
      <c r="H1322" s="1794">
        <v>0</v>
      </c>
      <c r="I1322" s="1794">
        <v>0</v>
      </c>
      <c r="J1322" s="2000">
        <v>0</v>
      </c>
      <c r="K1322" s="1798"/>
      <c r="L1322" s="1792">
        <v>13121006802</v>
      </c>
      <c r="M1322" s="1793">
        <v>0</v>
      </c>
      <c r="N1322" s="1793">
        <v>0</v>
      </c>
      <c r="O1322" s="1794">
        <v>0</v>
      </c>
    </row>
    <row r="1323" spans="3:15">
      <c r="C1323" s="1799" t="s">
        <v>5811</v>
      </c>
      <c r="D1323" s="1796">
        <v>0</v>
      </c>
      <c r="E1323" s="1796">
        <v>0</v>
      </c>
      <c r="F1323" s="1797">
        <v>0</v>
      </c>
      <c r="G1323" s="1999" t="s">
        <v>5811</v>
      </c>
      <c r="H1323" s="1794">
        <v>1</v>
      </c>
      <c r="I1323" s="1794">
        <v>0</v>
      </c>
      <c r="J1323" s="2000">
        <v>1</v>
      </c>
      <c r="K1323" s="1798"/>
      <c r="L1323" s="1792">
        <v>13121006900</v>
      </c>
      <c r="M1323" s="1793">
        <v>1</v>
      </c>
      <c r="N1323" s="1793">
        <v>0</v>
      </c>
      <c r="O1323" s="1794">
        <v>1</v>
      </c>
    </row>
    <row r="1324" spans="3:15">
      <c r="C1324" s="1799" t="s">
        <v>5812</v>
      </c>
      <c r="D1324" s="1796">
        <v>0</v>
      </c>
      <c r="E1324" s="1796">
        <v>0</v>
      </c>
      <c r="F1324" s="1797">
        <v>0</v>
      </c>
      <c r="G1324" s="1999" t="s">
        <v>5812</v>
      </c>
      <c r="H1324" s="1794">
        <v>0</v>
      </c>
      <c r="I1324" s="1794">
        <v>0</v>
      </c>
      <c r="J1324" s="2000">
        <v>0</v>
      </c>
      <c r="K1324" s="1798"/>
      <c r="L1324" s="1792">
        <v>13121007001</v>
      </c>
      <c r="M1324" s="1793">
        <v>0</v>
      </c>
      <c r="N1324" s="1793">
        <v>0</v>
      </c>
      <c r="O1324" s="1794">
        <v>0</v>
      </c>
    </row>
    <row r="1325" spans="3:15">
      <c r="C1325" s="1799" t="s">
        <v>5813</v>
      </c>
      <c r="D1325" s="1796">
        <v>0</v>
      </c>
      <c r="E1325" s="1796">
        <v>0</v>
      </c>
      <c r="F1325" s="1797">
        <v>0</v>
      </c>
      <c r="G1325" s="1999" t="s">
        <v>5813</v>
      </c>
      <c r="H1325" s="1794">
        <v>0</v>
      </c>
      <c r="I1325" s="1794">
        <v>0</v>
      </c>
      <c r="J1325" s="2000">
        <v>0</v>
      </c>
      <c r="K1325" s="1798"/>
      <c r="L1325" s="1792">
        <v>13121007002</v>
      </c>
      <c r="M1325" s="1793">
        <v>0</v>
      </c>
      <c r="N1325" s="1793">
        <v>0</v>
      </c>
      <c r="O1325" s="1794">
        <v>0</v>
      </c>
    </row>
    <row r="1326" spans="3:15">
      <c r="C1326" s="1799" t="s">
        <v>5814</v>
      </c>
      <c r="D1326" s="1796">
        <v>0</v>
      </c>
      <c r="E1326" s="1796">
        <v>0</v>
      </c>
      <c r="F1326" s="1797">
        <v>0</v>
      </c>
      <c r="G1326" s="1999" t="s">
        <v>5814</v>
      </c>
      <c r="H1326" s="1794">
        <v>0</v>
      </c>
      <c r="I1326" s="1794">
        <v>0</v>
      </c>
      <c r="J1326" s="2000">
        <v>0</v>
      </c>
      <c r="K1326" s="1798"/>
      <c r="L1326" s="1792">
        <v>13121007100</v>
      </c>
      <c r="M1326" s="1793">
        <v>0</v>
      </c>
      <c r="N1326" s="1793">
        <v>0</v>
      </c>
      <c r="O1326" s="1794">
        <v>0</v>
      </c>
    </row>
    <row r="1327" spans="3:15">
      <c r="C1327" s="1799" t="s">
        <v>5815</v>
      </c>
      <c r="D1327" s="1796">
        <v>0</v>
      </c>
      <c r="E1327" s="1796">
        <v>0</v>
      </c>
      <c r="F1327" s="1797">
        <v>0</v>
      </c>
      <c r="G1327" s="1999" t="s">
        <v>5815</v>
      </c>
      <c r="H1327" s="1794">
        <v>0</v>
      </c>
      <c r="I1327" s="1794">
        <v>0</v>
      </c>
      <c r="J1327" s="2000">
        <v>0</v>
      </c>
      <c r="K1327" s="1798"/>
      <c r="L1327" s="1792">
        <v>13121007200</v>
      </c>
      <c r="M1327" s="1793">
        <v>0</v>
      </c>
      <c r="N1327" s="1793">
        <v>0</v>
      </c>
      <c r="O1327" s="1794">
        <v>0</v>
      </c>
    </row>
    <row r="1328" spans="3:15">
      <c r="C1328" s="1799" t="s">
        <v>5816</v>
      </c>
      <c r="D1328" s="1796">
        <v>0</v>
      </c>
      <c r="E1328" s="1796">
        <v>0</v>
      </c>
      <c r="F1328" s="1797">
        <v>0</v>
      </c>
      <c r="G1328" s="1999" t="s">
        <v>5816</v>
      </c>
      <c r="H1328" s="1794">
        <v>0</v>
      </c>
      <c r="I1328" s="1794">
        <v>0</v>
      </c>
      <c r="J1328" s="2000">
        <v>0</v>
      </c>
      <c r="K1328" s="1798"/>
      <c r="L1328" s="1792">
        <v>13121007300</v>
      </c>
      <c r="M1328" s="1793">
        <v>0</v>
      </c>
      <c r="N1328" s="1793">
        <v>0</v>
      </c>
      <c r="O1328" s="1794">
        <v>0</v>
      </c>
    </row>
    <row r="1329" spans="3:15">
      <c r="C1329" s="1799" t="s">
        <v>5817</v>
      </c>
      <c r="D1329" s="1796">
        <v>0</v>
      </c>
      <c r="E1329" s="1796">
        <v>0</v>
      </c>
      <c r="F1329" s="1797">
        <v>0</v>
      </c>
      <c r="G1329" s="1999" t="s">
        <v>5817</v>
      </c>
      <c r="H1329" s="1794">
        <v>0</v>
      </c>
      <c r="I1329" s="1794">
        <v>0</v>
      </c>
      <c r="J1329" s="2000">
        <v>0</v>
      </c>
      <c r="K1329" s="1798"/>
      <c r="L1329" s="1792">
        <v>13121007400</v>
      </c>
      <c r="M1329" s="1793">
        <v>0</v>
      </c>
      <c r="N1329" s="1793">
        <v>0</v>
      </c>
      <c r="O1329" s="1794">
        <v>0</v>
      </c>
    </row>
    <row r="1330" spans="3:15">
      <c r="C1330" s="1799" t="s">
        <v>5818</v>
      </c>
      <c r="D1330" s="1796">
        <v>0</v>
      </c>
      <c r="E1330" s="1796">
        <v>0</v>
      </c>
      <c r="F1330" s="1797">
        <v>0</v>
      </c>
      <c r="G1330" s="1999" t="s">
        <v>5818</v>
      </c>
      <c r="H1330" s="1794">
        <v>0</v>
      </c>
      <c r="I1330" s="1794">
        <v>0</v>
      </c>
      <c r="J1330" s="2000">
        <v>0</v>
      </c>
      <c r="K1330" s="1798"/>
      <c r="L1330" s="1792">
        <v>13121007500</v>
      </c>
      <c r="M1330" s="1793">
        <v>0</v>
      </c>
      <c r="N1330" s="1793">
        <v>0</v>
      </c>
      <c r="O1330" s="1794">
        <v>0</v>
      </c>
    </row>
    <row r="1331" spans="3:15">
      <c r="C1331" s="1799" t="s">
        <v>5819</v>
      </c>
      <c r="D1331" s="1796">
        <v>0</v>
      </c>
      <c r="E1331" s="1796">
        <v>0</v>
      </c>
      <c r="F1331" s="1797">
        <v>0</v>
      </c>
      <c r="G1331" s="1999" t="s">
        <v>5819</v>
      </c>
      <c r="H1331" s="1794">
        <v>0</v>
      </c>
      <c r="I1331" s="1794">
        <v>0</v>
      </c>
      <c r="J1331" s="2000">
        <v>0</v>
      </c>
      <c r="K1331" s="1798"/>
      <c r="L1331" s="1792">
        <v>13121007602</v>
      </c>
      <c r="M1331" s="1793">
        <v>0</v>
      </c>
      <c r="N1331" s="1793">
        <v>0</v>
      </c>
      <c r="O1331" s="1794">
        <v>0</v>
      </c>
    </row>
    <row r="1332" spans="3:15">
      <c r="C1332" s="1799" t="s">
        <v>5820</v>
      </c>
      <c r="D1332" s="1796">
        <v>0</v>
      </c>
      <c r="E1332" s="1796">
        <v>0</v>
      </c>
      <c r="F1332" s="1797">
        <v>0</v>
      </c>
      <c r="G1332" s="1999" t="s">
        <v>5820</v>
      </c>
      <c r="H1332" s="1794">
        <v>0</v>
      </c>
      <c r="I1332" s="1794">
        <v>0</v>
      </c>
      <c r="J1332" s="2000">
        <v>0</v>
      </c>
      <c r="K1332" s="1798"/>
      <c r="L1332" s="1792">
        <v>13121007603</v>
      </c>
      <c r="M1332" s="1793">
        <v>0</v>
      </c>
      <c r="N1332" s="1793">
        <v>0</v>
      </c>
      <c r="O1332" s="1794">
        <v>0</v>
      </c>
    </row>
    <row r="1333" spans="3:15">
      <c r="C1333" s="1799" t="s">
        <v>5821</v>
      </c>
      <c r="D1333" s="1796">
        <v>0</v>
      </c>
      <c r="E1333" s="1796">
        <v>0</v>
      </c>
      <c r="F1333" s="1797">
        <v>0</v>
      </c>
      <c r="G1333" s="1999" t="s">
        <v>5821</v>
      </c>
      <c r="H1333" s="1794">
        <v>0</v>
      </c>
      <c r="I1333" s="1794" t="s">
        <v>4483</v>
      </c>
      <c r="J1333" s="2000">
        <v>0</v>
      </c>
      <c r="K1333" s="1798"/>
      <c r="L1333" s="1792">
        <v>13121007604</v>
      </c>
      <c r="M1333" s="1793">
        <v>0</v>
      </c>
      <c r="N1333" s="1793">
        <v>0</v>
      </c>
      <c r="O1333" s="1794">
        <v>0</v>
      </c>
    </row>
    <row r="1334" spans="3:15">
      <c r="C1334" s="1799" t="s">
        <v>5822</v>
      </c>
      <c r="D1334" s="1796">
        <v>0</v>
      </c>
      <c r="E1334" s="1796">
        <v>0</v>
      </c>
      <c r="F1334" s="1797">
        <v>0</v>
      </c>
      <c r="G1334" s="1999" t="s">
        <v>5822</v>
      </c>
      <c r="H1334" s="1794">
        <v>0</v>
      </c>
      <c r="I1334" s="1794">
        <v>0</v>
      </c>
      <c r="J1334" s="2000">
        <v>0</v>
      </c>
      <c r="K1334" s="1798"/>
      <c r="L1334" s="1792">
        <v>13121007703</v>
      </c>
      <c r="M1334" s="1793">
        <v>0</v>
      </c>
      <c r="N1334" s="1793">
        <v>0</v>
      </c>
      <c r="O1334" s="1794">
        <v>0</v>
      </c>
    </row>
    <row r="1335" spans="3:15">
      <c r="C1335" s="1799" t="s">
        <v>5823</v>
      </c>
      <c r="D1335" s="1796">
        <v>0</v>
      </c>
      <c r="E1335" s="1796">
        <v>0</v>
      </c>
      <c r="F1335" s="1797">
        <v>0</v>
      </c>
      <c r="G1335" s="1999" t="s">
        <v>5823</v>
      </c>
      <c r="H1335" s="1794">
        <v>0</v>
      </c>
      <c r="I1335" s="1794">
        <v>0</v>
      </c>
      <c r="J1335" s="2000">
        <v>0</v>
      </c>
      <c r="K1335" s="1798"/>
      <c r="L1335" s="1792">
        <v>13121007704</v>
      </c>
      <c r="M1335" s="1793">
        <v>0</v>
      </c>
      <c r="N1335" s="1793">
        <v>0</v>
      </c>
      <c r="O1335" s="1794">
        <v>0</v>
      </c>
    </row>
    <row r="1336" spans="3:15">
      <c r="C1336" s="1799" t="s">
        <v>5824</v>
      </c>
      <c r="D1336" s="1796">
        <v>0</v>
      </c>
      <c r="E1336" s="1796">
        <v>0</v>
      </c>
      <c r="F1336" s="1797">
        <v>0</v>
      </c>
      <c r="G1336" s="1999" t="s">
        <v>5824</v>
      </c>
      <c r="H1336" s="1794">
        <v>0</v>
      </c>
      <c r="I1336" s="1794">
        <v>0</v>
      </c>
      <c r="J1336" s="2000">
        <v>0</v>
      </c>
      <c r="K1336" s="1798"/>
      <c r="L1336" s="1792">
        <v>13121007705</v>
      </c>
      <c r="M1336" s="1793">
        <v>0</v>
      </c>
      <c r="N1336" s="1793">
        <v>0</v>
      </c>
      <c r="O1336" s="1794">
        <v>0</v>
      </c>
    </row>
    <row r="1337" spans="3:15">
      <c r="C1337" s="1799" t="s">
        <v>5825</v>
      </c>
      <c r="D1337" s="1796">
        <v>0</v>
      </c>
      <c r="E1337" s="1796">
        <v>0</v>
      </c>
      <c r="F1337" s="1797">
        <v>0</v>
      </c>
      <c r="G1337" s="1999" t="s">
        <v>5825</v>
      </c>
      <c r="H1337" s="1794">
        <v>0</v>
      </c>
      <c r="I1337" s="1794">
        <v>1</v>
      </c>
      <c r="J1337" s="2000">
        <v>1</v>
      </c>
      <c r="K1337" s="1798"/>
      <c r="L1337" s="1792">
        <v>13121007706</v>
      </c>
      <c r="M1337" s="1793">
        <v>0</v>
      </c>
      <c r="N1337" s="1793">
        <v>1</v>
      </c>
      <c r="O1337" s="1794">
        <v>1</v>
      </c>
    </row>
    <row r="1338" spans="3:15">
      <c r="C1338" s="1799" t="s">
        <v>5826</v>
      </c>
      <c r="D1338" s="1796">
        <v>0</v>
      </c>
      <c r="E1338" s="1796">
        <v>0</v>
      </c>
      <c r="F1338" s="1797">
        <v>0</v>
      </c>
      <c r="G1338" s="1999" t="s">
        <v>5826</v>
      </c>
      <c r="H1338" s="1794">
        <v>0</v>
      </c>
      <c r="I1338" s="1794">
        <v>0</v>
      </c>
      <c r="J1338" s="2000">
        <v>0</v>
      </c>
      <c r="K1338" s="1798"/>
      <c r="L1338" s="1792">
        <v>13121007802</v>
      </c>
      <c r="M1338" s="1793">
        <v>0</v>
      </c>
      <c r="N1338" s="1793">
        <v>0</v>
      </c>
      <c r="O1338" s="1794">
        <v>0</v>
      </c>
    </row>
    <row r="1339" spans="3:15">
      <c r="C1339" s="1799" t="s">
        <v>5827</v>
      </c>
      <c r="D1339" s="1796">
        <v>0</v>
      </c>
      <c r="E1339" s="1796">
        <v>0</v>
      </c>
      <c r="F1339" s="1797">
        <v>0</v>
      </c>
      <c r="G1339" s="1999" t="s">
        <v>5827</v>
      </c>
      <c r="H1339" s="1794">
        <v>0</v>
      </c>
      <c r="I1339" s="1794">
        <v>0</v>
      </c>
      <c r="J1339" s="2000">
        <v>0</v>
      </c>
      <c r="K1339" s="1798"/>
      <c r="L1339" s="1792">
        <v>13121007805</v>
      </c>
      <c r="M1339" s="1793">
        <v>0</v>
      </c>
      <c r="N1339" s="1793">
        <v>0</v>
      </c>
      <c r="O1339" s="1794">
        <v>0</v>
      </c>
    </row>
    <row r="1340" spans="3:15">
      <c r="C1340" s="1799" t="s">
        <v>5828</v>
      </c>
      <c r="D1340" s="1796">
        <v>0</v>
      </c>
      <c r="E1340" s="1796">
        <v>0</v>
      </c>
      <c r="F1340" s="1797">
        <v>0</v>
      </c>
      <c r="G1340" s="1999" t="s">
        <v>5828</v>
      </c>
      <c r="H1340" s="1794">
        <v>0</v>
      </c>
      <c r="I1340" s="1794">
        <v>1</v>
      </c>
      <c r="J1340" s="2000">
        <v>1</v>
      </c>
      <c r="K1340" s="1798"/>
      <c r="L1340" s="1792">
        <v>13121007806</v>
      </c>
      <c r="M1340" s="1793">
        <v>0</v>
      </c>
      <c r="N1340" s="1793">
        <v>1</v>
      </c>
      <c r="O1340" s="1794">
        <v>1</v>
      </c>
    </row>
    <row r="1341" spans="3:15">
      <c r="C1341" s="1799" t="s">
        <v>5829</v>
      </c>
      <c r="D1341" s="1796">
        <v>0</v>
      </c>
      <c r="E1341" s="1796">
        <v>0</v>
      </c>
      <c r="F1341" s="1797">
        <v>0</v>
      </c>
      <c r="G1341" s="1999" t="s">
        <v>5829</v>
      </c>
      <c r="H1341" s="1794">
        <v>0</v>
      </c>
      <c r="I1341" s="1794">
        <v>0</v>
      </c>
      <c r="J1341" s="2000">
        <v>0</v>
      </c>
      <c r="K1341" s="1798"/>
      <c r="L1341" s="1792">
        <v>13121007807</v>
      </c>
      <c r="M1341" s="1793">
        <v>0</v>
      </c>
      <c r="N1341" s="1793">
        <v>0</v>
      </c>
      <c r="O1341" s="1794">
        <v>0</v>
      </c>
    </row>
    <row r="1342" spans="3:15">
      <c r="C1342" s="1799" t="s">
        <v>5830</v>
      </c>
      <c r="D1342" s="1796">
        <v>0</v>
      </c>
      <c r="E1342" s="1796">
        <v>0</v>
      </c>
      <c r="F1342" s="1797">
        <v>0</v>
      </c>
      <c r="G1342" s="1999" t="s">
        <v>5830</v>
      </c>
      <c r="H1342" s="1794">
        <v>0</v>
      </c>
      <c r="I1342" s="1794">
        <v>0</v>
      </c>
      <c r="J1342" s="2000">
        <v>0</v>
      </c>
      <c r="K1342" s="1798"/>
      <c r="L1342" s="1792">
        <v>13121007808</v>
      </c>
      <c r="M1342" s="1793">
        <v>0</v>
      </c>
      <c r="N1342" s="1793">
        <v>0</v>
      </c>
      <c r="O1342" s="1794">
        <v>0</v>
      </c>
    </row>
    <row r="1343" spans="3:15">
      <c r="C1343" s="1799" t="s">
        <v>5831</v>
      </c>
      <c r="D1343" s="1796">
        <v>0</v>
      </c>
      <c r="E1343" s="1796">
        <v>0</v>
      </c>
      <c r="F1343" s="1797">
        <v>0</v>
      </c>
      <c r="G1343" s="1999" t="s">
        <v>5831</v>
      </c>
      <c r="H1343" s="1794">
        <v>1</v>
      </c>
      <c r="I1343" s="1794">
        <v>1</v>
      </c>
      <c r="J1343" s="2000">
        <v>2</v>
      </c>
      <c r="K1343" s="1798"/>
      <c r="L1343" s="1792">
        <v>13121007900</v>
      </c>
      <c r="M1343" s="1793">
        <v>1</v>
      </c>
      <c r="N1343" s="1793">
        <v>1</v>
      </c>
      <c r="O1343" s="1794">
        <v>2</v>
      </c>
    </row>
    <row r="1344" spans="3:15">
      <c r="C1344" s="1799" t="s">
        <v>5832</v>
      </c>
      <c r="D1344" s="1796">
        <v>0</v>
      </c>
      <c r="E1344" s="1796">
        <v>0</v>
      </c>
      <c r="F1344" s="1797">
        <v>0</v>
      </c>
      <c r="G1344" s="1999" t="s">
        <v>5832</v>
      </c>
      <c r="H1344" s="1794">
        <v>0</v>
      </c>
      <c r="I1344" s="1794">
        <v>0</v>
      </c>
      <c r="J1344" s="2000">
        <v>0</v>
      </c>
      <c r="K1344" s="1798"/>
      <c r="L1344" s="1792">
        <v>13121008000</v>
      </c>
      <c r="M1344" s="1793">
        <v>0</v>
      </c>
      <c r="N1344" s="1793">
        <v>0</v>
      </c>
      <c r="O1344" s="1794">
        <v>0</v>
      </c>
    </row>
    <row r="1345" spans="3:15">
      <c r="C1345" s="1799" t="s">
        <v>5833</v>
      </c>
      <c r="D1345" s="1796">
        <v>0</v>
      </c>
      <c r="E1345" s="1796">
        <v>0</v>
      </c>
      <c r="F1345" s="1797">
        <v>0</v>
      </c>
      <c r="G1345" s="1999" t="s">
        <v>5833</v>
      </c>
      <c r="H1345" s="1794">
        <v>0</v>
      </c>
      <c r="I1345" s="1794">
        <v>0</v>
      </c>
      <c r="J1345" s="2000">
        <v>0</v>
      </c>
      <c r="K1345" s="1798"/>
      <c r="L1345" s="1792">
        <v>13121008101</v>
      </c>
      <c r="M1345" s="1793">
        <v>0</v>
      </c>
      <c r="N1345" s="1793">
        <v>0</v>
      </c>
      <c r="O1345" s="1794">
        <v>0</v>
      </c>
    </row>
    <row r="1346" spans="3:15">
      <c r="C1346" s="1799" t="s">
        <v>5834</v>
      </c>
      <c r="D1346" s="1796">
        <v>0</v>
      </c>
      <c r="E1346" s="1796">
        <v>0</v>
      </c>
      <c r="F1346" s="1797">
        <v>0</v>
      </c>
      <c r="G1346" s="1999" t="s">
        <v>5834</v>
      </c>
      <c r="H1346" s="1794">
        <v>0</v>
      </c>
      <c r="I1346" s="1794">
        <v>0</v>
      </c>
      <c r="J1346" s="2000">
        <v>0</v>
      </c>
      <c r="K1346" s="1798"/>
      <c r="L1346" s="1792">
        <v>13121008102</v>
      </c>
      <c r="M1346" s="1793">
        <v>0</v>
      </c>
      <c r="N1346" s="1793">
        <v>0</v>
      </c>
      <c r="O1346" s="1794">
        <v>0</v>
      </c>
    </row>
    <row r="1347" spans="3:15">
      <c r="C1347" s="1799" t="s">
        <v>5835</v>
      </c>
      <c r="D1347" s="1796">
        <v>0</v>
      </c>
      <c r="E1347" s="1796">
        <v>0</v>
      </c>
      <c r="F1347" s="1797">
        <v>0</v>
      </c>
      <c r="G1347" s="1999" t="s">
        <v>5835</v>
      </c>
      <c r="H1347" s="1794">
        <v>0</v>
      </c>
      <c r="I1347" s="1794">
        <v>0</v>
      </c>
      <c r="J1347" s="2000">
        <v>0</v>
      </c>
      <c r="K1347" s="1798"/>
      <c r="L1347" s="1792">
        <v>13121008201</v>
      </c>
      <c r="M1347" s="1793">
        <v>0</v>
      </c>
      <c r="N1347" s="1793">
        <v>0</v>
      </c>
      <c r="O1347" s="1794">
        <v>0</v>
      </c>
    </row>
    <row r="1348" spans="3:15">
      <c r="C1348" s="1799" t="s">
        <v>5836</v>
      </c>
      <c r="D1348" s="1796">
        <v>0</v>
      </c>
      <c r="E1348" s="1796">
        <v>0</v>
      </c>
      <c r="F1348" s="1797">
        <v>0</v>
      </c>
      <c r="G1348" s="1999" t="s">
        <v>5836</v>
      </c>
      <c r="H1348" s="1794">
        <v>0</v>
      </c>
      <c r="I1348" s="1794">
        <v>0</v>
      </c>
      <c r="J1348" s="2000">
        <v>0</v>
      </c>
      <c r="K1348" s="1798"/>
      <c r="L1348" s="1792">
        <v>13121008202</v>
      </c>
      <c r="M1348" s="1793">
        <v>0</v>
      </c>
      <c r="N1348" s="1793">
        <v>0</v>
      </c>
      <c r="O1348" s="1794">
        <v>0</v>
      </c>
    </row>
    <row r="1349" spans="3:15">
      <c r="C1349" s="1799" t="s">
        <v>5837</v>
      </c>
      <c r="D1349" s="1796">
        <v>0</v>
      </c>
      <c r="E1349" s="1796">
        <v>0</v>
      </c>
      <c r="F1349" s="1797">
        <v>0</v>
      </c>
      <c r="G1349" s="1999" t="s">
        <v>5837</v>
      </c>
      <c r="H1349" s="1794">
        <v>0</v>
      </c>
      <c r="I1349" s="1794" t="s">
        <v>4483</v>
      </c>
      <c r="J1349" s="2000">
        <v>0</v>
      </c>
      <c r="K1349" s="1798"/>
      <c r="L1349" s="1792">
        <v>13121008301</v>
      </c>
      <c r="M1349" s="1793">
        <v>0</v>
      </c>
      <c r="N1349" s="1793">
        <v>0</v>
      </c>
      <c r="O1349" s="1794">
        <v>0</v>
      </c>
    </row>
    <row r="1350" spans="3:15">
      <c r="C1350" s="1799" t="s">
        <v>5838</v>
      </c>
      <c r="D1350" s="1796">
        <v>0</v>
      </c>
      <c r="E1350" s="1796">
        <v>0</v>
      </c>
      <c r="F1350" s="1797">
        <v>0</v>
      </c>
      <c r="G1350" s="1999" t="s">
        <v>5838</v>
      </c>
      <c r="H1350" s="1794">
        <v>0</v>
      </c>
      <c r="I1350" s="1794" t="s">
        <v>4483</v>
      </c>
      <c r="J1350" s="2000">
        <v>0</v>
      </c>
      <c r="K1350" s="1798"/>
      <c r="L1350" s="1792">
        <v>13121008302</v>
      </c>
      <c r="M1350" s="1793">
        <v>0</v>
      </c>
      <c r="N1350" s="1793">
        <v>0</v>
      </c>
      <c r="O1350" s="1794">
        <v>0</v>
      </c>
    </row>
    <row r="1351" spans="3:15">
      <c r="C1351" s="1799" t="s">
        <v>5839</v>
      </c>
      <c r="D1351" s="1796">
        <v>0</v>
      </c>
      <c r="E1351" s="1796">
        <v>0</v>
      </c>
      <c r="F1351" s="1797">
        <v>0</v>
      </c>
      <c r="G1351" s="1999" t="s">
        <v>5839</v>
      </c>
      <c r="H1351" s="1794">
        <v>0</v>
      </c>
      <c r="I1351" s="1794">
        <v>0</v>
      </c>
      <c r="J1351" s="2000">
        <v>0</v>
      </c>
      <c r="K1351" s="1798"/>
      <c r="L1351" s="1792">
        <v>13121008400</v>
      </c>
      <c r="M1351" s="1793">
        <v>0</v>
      </c>
      <c r="N1351" s="1793">
        <v>0</v>
      </c>
      <c r="O1351" s="1794">
        <v>0</v>
      </c>
    </row>
    <row r="1352" spans="3:15">
      <c r="C1352" s="1799" t="s">
        <v>5840</v>
      </c>
      <c r="D1352" s="1796">
        <v>0</v>
      </c>
      <c r="E1352" s="1796">
        <v>0</v>
      </c>
      <c r="F1352" s="1797">
        <v>0</v>
      </c>
      <c r="G1352" s="1999" t="s">
        <v>5840</v>
      </c>
      <c r="H1352" s="1794">
        <v>0</v>
      </c>
      <c r="I1352" s="1794">
        <v>0</v>
      </c>
      <c r="J1352" s="2000">
        <v>0</v>
      </c>
      <c r="K1352" s="1798"/>
      <c r="L1352" s="1792">
        <v>13121008500</v>
      </c>
      <c r="M1352" s="1793">
        <v>0</v>
      </c>
      <c r="N1352" s="1793">
        <v>0</v>
      </c>
      <c r="O1352" s="1794">
        <v>0</v>
      </c>
    </row>
    <row r="1353" spans="3:15">
      <c r="C1353" s="1799" t="s">
        <v>5841</v>
      </c>
      <c r="D1353" s="1796">
        <v>0</v>
      </c>
      <c r="E1353" s="1796">
        <v>0</v>
      </c>
      <c r="F1353" s="1797">
        <v>0</v>
      </c>
      <c r="G1353" s="1999" t="s">
        <v>5841</v>
      </c>
      <c r="H1353" s="1794">
        <v>0</v>
      </c>
      <c r="I1353" s="1794">
        <v>0</v>
      </c>
      <c r="J1353" s="2000">
        <v>0</v>
      </c>
      <c r="K1353" s="1798"/>
      <c r="L1353" s="1792">
        <v>13121008601</v>
      </c>
      <c r="M1353" s="1793">
        <v>0</v>
      </c>
      <c r="N1353" s="1793">
        <v>0</v>
      </c>
      <c r="O1353" s="1794">
        <v>0</v>
      </c>
    </row>
    <row r="1354" spans="3:15">
      <c r="C1354" s="1799" t="s">
        <v>5842</v>
      </c>
      <c r="D1354" s="1796">
        <v>0</v>
      </c>
      <c r="E1354" s="1796">
        <v>0</v>
      </c>
      <c r="F1354" s="1797">
        <v>0</v>
      </c>
      <c r="G1354" s="1999" t="s">
        <v>5842</v>
      </c>
      <c r="H1354" s="1794">
        <v>0</v>
      </c>
      <c r="I1354" s="1794" t="s">
        <v>4483</v>
      </c>
      <c r="J1354" s="2000">
        <v>0</v>
      </c>
      <c r="K1354" s="1798"/>
      <c r="L1354" s="1792">
        <v>13121008602</v>
      </c>
      <c r="M1354" s="1793">
        <v>0</v>
      </c>
      <c r="N1354" s="1793">
        <v>0</v>
      </c>
      <c r="O1354" s="1794">
        <v>0</v>
      </c>
    </row>
    <row r="1355" spans="3:15">
      <c r="C1355" s="1799" t="s">
        <v>5843</v>
      </c>
      <c r="D1355" s="1796">
        <v>0</v>
      </c>
      <c r="E1355" s="1796">
        <v>0</v>
      </c>
      <c r="F1355" s="1797">
        <v>0</v>
      </c>
      <c r="G1355" s="1999" t="s">
        <v>5843</v>
      </c>
      <c r="H1355" s="1794">
        <v>0</v>
      </c>
      <c r="I1355" s="1794">
        <v>0</v>
      </c>
      <c r="J1355" s="2000">
        <v>0</v>
      </c>
      <c r="K1355" s="1798"/>
      <c r="L1355" s="1792">
        <v>13121008700</v>
      </c>
      <c r="M1355" s="1793">
        <v>0</v>
      </c>
      <c r="N1355" s="1793">
        <v>0</v>
      </c>
      <c r="O1355" s="1794">
        <v>0</v>
      </c>
    </row>
    <row r="1356" spans="3:15">
      <c r="C1356" s="1799" t="s">
        <v>5844</v>
      </c>
      <c r="D1356" s="1796">
        <v>1</v>
      </c>
      <c r="E1356" s="1796">
        <v>1</v>
      </c>
      <c r="F1356" s="1797">
        <v>2</v>
      </c>
      <c r="G1356" s="1999" t="s">
        <v>5844</v>
      </c>
      <c r="H1356" s="1794">
        <v>1</v>
      </c>
      <c r="I1356" s="1794" t="s">
        <v>4483</v>
      </c>
      <c r="J1356" s="2000">
        <v>1</v>
      </c>
      <c r="K1356" s="1798"/>
      <c r="L1356" s="1792">
        <v>13121008800</v>
      </c>
      <c r="M1356" s="1793">
        <v>1</v>
      </c>
      <c r="N1356" s="1793">
        <v>1</v>
      </c>
      <c r="O1356" s="1794">
        <v>2</v>
      </c>
    </row>
    <row r="1357" spans="3:15">
      <c r="C1357" s="1799" t="s">
        <v>5845</v>
      </c>
      <c r="D1357" s="1796">
        <v>1</v>
      </c>
      <c r="E1357" s="1796">
        <v>1</v>
      </c>
      <c r="F1357" s="1797">
        <v>2</v>
      </c>
      <c r="G1357" s="1999" t="s">
        <v>5845</v>
      </c>
      <c r="H1357" s="1794">
        <v>1</v>
      </c>
      <c r="I1357" s="1794">
        <v>1</v>
      </c>
      <c r="J1357" s="2000">
        <v>2</v>
      </c>
      <c r="K1357" s="1798"/>
      <c r="L1357" s="1792">
        <v>13121008902</v>
      </c>
      <c r="M1357" s="1793">
        <v>1</v>
      </c>
      <c r="N1357" s="1793">
        <v>1</v>
      </c>
      <c r="O1357" s="1794">
        <v>2</v>
      </c>
    </row>
    <row r="1358" spans="3:15">
      <c r="C1358" s="1799" t="s">
        <v>5846</v>
      </c>
      <c r="D1358" s="1796">
        <v>1</v>
      </c>
      <c r="E1358" s="1796">
        <v>0</v>
      </c>
      <c r="F1358" s="1797">
        <v>1</v>
      </c>
      <c r="G1358" s="1999" t="s">
        <v>5846</v>
      </c>
      <c r="H1358" s="1794">
        <v>1</v>
      </c>
      <c r="I1358" s="1794" t="s">
        <v>4483</v>
      </c>
      <c r="J1358" s="2000">
        <v>1</v>
      </c>
      <c r="K1358" s="1798"/>
      <c r="L1358" s="1792">
        <v>13121008903</v>
      </c>
      <c r="M1358" s="1793">
        <v>1</v>
      </c>
      <c r="N1358" s="1793">
        <v>0</v>
      </c>
      <c r="O1358" s="1794">
        <v>1</v>
      </c>
    </row>
    <row r="1359" spans="3:15">
      <c r="C1359" s="1799" t="s">
        <v>5847</v>
      </c>
      <c r="D1359" s="1796">
        <v>1</v>
      </c>
      <c r="E1359" s="1796">
        <v>1</v>
      </c>
      <c r="F1359" s="1797">
        <v>2</v>
      </c>
      <c r="G1359" s="1999" t="s">
        <v>5847</v>
      </c>
      <c r="H1359" s="1794">
        <v>1</v>
      </c>
      <c r="I1359" s="1794">
        <v>1</v>
      </c>
      <c r="J1359" s="2000">
        <v>2</v>
      </c>
      <c r="K1359" s="1798"/>
      <c r="L1359" s="1792">
        <v>13121008904</v>
      </c>
      <c r="M1359" s="1793">
        <v>1</v>
      </c>
      <c r="N1359" s="1793">
        <v>1</v>
      </c>
      <c r="O1359" s="1794">
        <v>2</v>
      </c>
    </row>
    <row r="1360" spans="3:15">
      <c r="C1360" s="1799" t="s">
        <v>5848</v>
      </c>
      <c r="D1360" s="1796">
        <v>1</v>
      </c>
      <c r="E1360" s="1796">
        <v>1</v>
      </c>
      <c r="F1360" s="1797">
        <v>2</v>
      </c>
      <c r="G1360" s="1999" t="s">
        <v>5848</v>
      </c>
      <c r="H1360" s="1794">
        <v>1</v>
      </c>
      <c r="I1360" s="1794">
        <v>1</v>
      </c>
      <c r="J1360" s="2000">
        <v>2</v>
      </c>
      <c r="K1360" s="1798"/>
      <c r="L1360" s="1792">
        <v>13121009000</v>
      </c>
      <c r="M1360" s="1793">
        <v>1</v>
      </c>
      <c r="N1360" s="1793">
        <v>1</v>
      </c>
      <c r="O1360" s="1794">
        <v>2</v>
      </c>
    </row>
    <row r="1361" spans="3:15">
      <c r="C1361" s="1799" t="s">
        <v>5849</v>
      </c>
      <c r="D1361" s="1796">
        <v>1</v>
      </c>
      <c r="E1361" s="1796">
        <v>1</v>
      </c>
      <c r="F1361" s="1797">
        <v>2</v>
      </c>
      <c r="G1361" s="1999" t="s">
        <v>5849</v>
      </c>
      <c r="H1361" s="1794">
        <v>1</v>
      </c>
      <c r="I1361" s="1794">
        <v>1</v>
      </c>
      <c r="J1361" s="2000">
        <v>2</v>
      </c>
      <c r="K1361" s="1798"/>
      <c r="L1361" s="1792">
        <v>13121009101</v>
      </c>
      <c r="M1361" s="1793">
        <v>1</v>
      </c>
      <c r="N1361" s="1793">
        <v>1</v>
      </c>
      <c r="O1361" s="1794">
        <v>2</v>
      </c>
    </row>
    <row r="1362" spans="3:15">
      <c r="C1362" s="1799" t="s">
        <v>5850</v>
      </c>
      <c r="D1362" s="1796">
        <v>1</v>
      </c>
      <c r="E1362" s="1796">
        <v>1</v>
      </c>
      <c r="F1362" s="1797">
        <v>2</v>
      </c>
      <c r="G1362" s="1999" t="s">
        <v>5850</v>
      </c>
      <c r="H1362" s="1794">
        <v>1</v>
      </c>
      <c r="I1362" s="1794">
        <v>1</v>
      </c>
      <c r="J1362" s="2000">
        <v>2</v>
      </c>
      <c r="K1362" s="1798"/>
      <c r="L1362" s="1792">
        <v>13121009102</v>
      </c>
      <c r="M1362" s="1793">
        <v>1</v>
      </c>
      <c r="N1362" s="1793">
        <v>1</v>
      </c>
      <c r="O1362" s="1794">
        <v>2</v>
      </c>
    </row>
    <row r="1363" spans="3:15">
      <c r="C1363" s="1799" t="s">
        <v>5851</v>
      </c>
      <c r="D1363" s="1796">
        <v>1</v>
      </c>
      <c r="E1363" s="1796">
        <v>0</v>
      </c>
      <c r="F1363" s="1797">
        <v>1</v>
      </c>
      <c r="G1363" s="1999" t="s">
        <v>5851</v>
      </c>
      <c r="H1363" s="1794">
        <v>1</v>
      </c>
      <c r="I1363" s="1794">
        <v>1</v>
      </c>
      <c r="J1363" s="2000">
        <v>2</v>
      </c>
      <c r="K1363" s="1798"/>
      <c r="L1363" s="1792">
        <v>13121009200</v>
      </c>
      <c r="M1363" s="1793">
        <v>1</v>
      </c>
      <c r="N1363" s="1793">
        <v>1</v>
      </c>
      <c r="O1363" s="1794">
        <v>2</v>
      </c>
    </row>
    <row r="1364" spans="3:15">
      <c r="C1364" s="1799" t="s">
        <v>5852</v>
      </c>
      <c r="D1364" s="1796">
        <v>1</v>
      </c>
      <c r="E1364" s="1796">
        <v>1</v>
      </c>
      <c r="F1364" s="1797">
        <v>2</v>
      </c>
      <c r="G1364" s="1999" t="s">
        <v>5852</v>
      </c>
      <c r="H1364" s="1794">
        <v>1</v>
      </c>
      <c r="I1364" s="1794">
        <v>1</v>
      </c>
      <c r="J1364" s="2000">
        <v>2</v>
      </c>
      <c r="K1364" s="1798"/>
      <c r="L1364" s="1792">
        <v>13121009300</v>
      </c>
      <c r="M1364" s="1793">
        <v>1</v>
      </c>
      <c r="N1364" s="1793">
        <v>1</v>
      </c>
      <c r="O1364" s="1794">
        <v>2</v>
      </c>
    </row>
    <row r="1365" spans="3:15">
      <c r="C1365" s="1799" t="s">
        <v>5853</v>
      </c>
      <c r="D1365" s="1796">
        <v>1</v>
      </c>
      <c r="E1365" s="1796">
        <v>1</v>
      </c>
      <c r="F1365" s="1797">
        <v>2</v>
      </c>
      <c r="G1365" s="1999" t="s">
        <v>5853</v>
      </c>
      <c r="H1365" s="1794">
        <v>1</v>
      </c>
      <c r="I1365" s="1794" t="s">
        <v>4483</v>
      </c>
      <c r="J1365" s="2000">
        <v>1</v>
      </c>
      <c r="K1365" s="1798"/>
      <c r="L1365" s="1792">
        <v>13121009402</v>
      </c>
      <c r="M1365" s="1793">
        <v>1</v>
      </c>
      <c r="N1365" s="1793">
        <v>1</v>
      </c>
      <c r="O1365" s="1794">
        <v>2</v>
      </c>
    </row>
    <row r="1366" spans="3:15">
      <c r="C1366" s="1799" t="s">
        <v>5854</v>
      </c>
      <c r="D1366" s="1796">
        <v>1</v>
      </c>
      <c r="E1366" s="1796">
        <v>1</v>
      </c>
      <c r="F1366" s="1797">
        <v>2</v>
      </c>
      <c r="G1366" s="1999" t="s">
        <v>5854</v>
      </c>
      <c r="H1366" s="1794">
        <v>1</v>
      </c>
      <c r="I1366" s="1794">
        <v>1</v>
      </c>
      <c r="J1366" s="2000">
        <v>2</v>
      </c>
      <c r="K1366" s="1798"/>
      <c r="L1366" s="1792">
        <v>13121009403</v>
      </c>
      <c r="M1366" s="1793">
        <v>1</v>
      </c>
      <c r="N1366" s="1793">
        <v>1</v>
      </c>
      <c r="O1366" s="1794">
        <v>2</v>
      </c>
    </row>
    <row r="1367" spans="3:15">
      <c r="C1367" s="1799" t="s">
        <v>5855</v>
      </c>
      <c r="D1367" s="1796">
        <v>1</v>
      </c>
      <c r="E1367" s="1796">
        <v>1</v>
      </c>
      <c r="F1367" s="1797">
        <v>2</v>
      </c>
      <c r="G1367" s="1999" t="s">
        <v>5855</v>
      </c>
      <c r="H1367" s="1794">
        <v>1</v>
      </c>
      <c r="I1367" s="1794">
        <v>1</v>
      </c>
      <c r="J1367" s="2000">
        <v>2</v>
      </c>
      <c r="K1367" s="1798"/>
      <c r="L1367" s="1792">
        <v>13121009404</v>
      </c>
      <c r="M1367" s="1793">
        <v>1</v>
      </c>
      <c r="N1367" s="1793">
        <v>1</v>
      </c>
      <c r="O1367" s="1794">
        <v>2</v>
      </c>
    </row>
    <row r="1368" spans="3:15">
      <c r="C1368" s="1799" t="s">
        <v>5856</v>
      </c>
      <c r="D1368" s="1796">
        <v>1</v>
      </c>
      <c r="E1368" s="1796">
        <v>1</v>
      </c>
      <c r="F1368" s="1797">
        <v>2</v>
      </c>
      <c r="G1368" s="1999" t="s">
        <v>5856</v>
      </c>
      <c r="H1368" s="1794">
        <v>1</v>
      </c>
      <c r="I1368" s="1794">
        <v>1</v>
      </c>
      <c r="J1368" s="2000">
        <v>2</v>
      </c>
      <c r="K1368" s="1798"/>
      <c r="L1368" s="1792">
        <v>13121009501</v>
      </c>
      <c r="M1368" s="1793">
        <v>1</v>
      </c>
      <c r="N1368" s="1793">
        <v>1</v>
      </c>
      <c r="O1368" s="1794">
        <v>2</v>
      </c>
    </row>
    <row r="1369" spans="3:15">
      <c r="C1369" s="1799" t="s">
        <v>5857</v>
      </c>
      <c r="D1369" s="1796">
        <v>1</v>
      </c>
      <c r="E1369" s="1796">
        <v>0</v>
      </c>
      <c r="F1369" s="1797">
        <v>1</v>
      </c>
      <c r="G1369" s="1999" t="s">
        <v>5857</v>
      </c>
      <c r="H1369" s="1794">
        <v>1</v>
      </c>
      <c r="I1369" s="1794" t="s">
        <v>4483</v>
      </c>
      <c r="J1369" s="2000">
        <v>1</v>
      </c>
      <c r="K1369" s="1798"/>
      <c r="L1369" s="1792">
        <v>13121009502</v>
      </c>
      <c r="M1369" s="1793">
        <v>1</v>
      </c>
      <c r="N1369" s="1793">
        <v>0</v>
      </c>
      <c r="O1369" s="1794">
        <v>1</v>
      </c>
    </row>
    <row r="1370" spans="3:15">
      <c r="C1370" s="1799" t="s">
        <v>5858</v>
      </c>
      <c r="D1370" s="1796">
        <v>1</v>
      </c>
      <c r="E1370" s="1796">
        <v>1</v>
      </c>
      <c r="F1370" s="1797">
        <v>2</v>
      </c>
      <c r="G1370" s="1999" t="s">
        <v>5858</v>
      </c>
      <c r="H1370" s="1794">
        <v>1</v>
      </c>
      <c r="I1370" s="1794">
        <v>1</v>
      </c>
      <c r="J1370" s="2000">
        <v>2</v>
      </c>
      <c r="K1370" s="1798"/>
      <c r="L1370" s="1792">
        <v>13121009601</v>
      </c>
      <c r="M1370" s="1793">
        <v>1</v>
      </c>
      <c r="N1370" s="1793">
        <v>1</v>
      </c>
      <c r="O1370" s="1794">
        <v>2</v>
      </c>
    </row>
    <row r="1371" spans="3:15">
      <c r="C1371" s="1799" t="s">
        <v>5859</v>
      </c>
      <c r="D1371" s="1796">
        <v>1</v>
      </c>
      <c r="E1371" s="1796">
        <v>1</v>
      </c>
      <c r="F1371" s="1797">
        <v>2</v>
      </c>
      <c r="G1371" s="1999" t="s">
        <v>5859</v>
      </c>
      <c r="H1371" s="1794">
        <v>1</v>
      </c>
      <c r="I1371" s="1794">
        <v>1</v>
      </c>
      <c r="J1371" s="2000">
        <v>2</v>
      </c>
      <c r="K1371" s="1798"/>
      <c r="L1371" s="1792">
        <v>13121009602</v>
      </c>
      <c r="M1371" s="1793">
        <v>1</v>
      </c>
      <c r="N1371" s="1793">
        <v>1</v>
      </c>
      <c r="O1371" s="1794">
        <v>2</v>
      </c>
    </row>
    <row r="1372" spans="3:15">
      <c r="C1372" s="1799" t="s">
        <v>5860</v>
      </c>
      <c r="D1372" s="1796">
        <v>1</v>
      </c>
      <c r="E1372" s="1796">
        <v>1</v>
      </c>
      <c r="F1372" s="1797">
        <v>2</v>
      </c>
      <c r="G1372" s="1999" t="s">
        <v>5860</v>
      </c>
      <c r="H1372" s="1794">
        <v>1</v>
      </c>
      <c r="I1372" s="1794">
        <v>1</v>
      </c>
      <c r="J1372" s="2000">
        <v>2</v>
      </c>
      <c r="K1372" s="1798"/>
      <c r="L1372" s="1792">
        <v>13121009603</v>
      </c>
      <c r="M1372" s="1793">
        <v>1</v>
      </c>
      <c r="N1372" s="1793">
        <v>1</v>
      </c>
      <c r="O1372" s="1794">
        <v>2</v>
      </c>
    </row>
    <row r="1373" spans="3:15">
      <c r="C1373" s="1799" t="s">
        <v>5861</v>
      </c>
      <c r="D1373" s="1796">
        <v>1</v>
      </c>
      <c r="E1373" s="1796">
        <v>1</v>
      </c>
      <c r="F1373" s="1797">
        <v>2</v>
      </c>
      <c r="G1373" s="1999" t="s">
        <v>5861</v>
      </c>
      <c r="H1373" s="1794">
        <v>1</v>
      </c>
      <c r="I1373" s="1794">
        <v>1</v>
      </c>
      <c r="J1373" s="2000">
        <v>2</v>
      </c>
      <c r="K1373" s="1798"/>
      <c r="L1373" s="1792">
        <v>13121009700</v>
      </c>
      <c r="M1373" s="1793">
        <v>1</v>
      </c>
      <c r="N1373" s="1793">
        <v>1</v>
      </c>
      <c r="O1373" s="1794">
        <v>2</v>
      </c>
    </row>
    <row r="1374" spans="3:15">
      <c r="C1374" s="1799" t="s">
        <v>5862</v>
      </c>
      <c r="D1374" s="1796">
        <v>1</v>
      </c>
      <c r="E1374" s="1796">
        <v>1</v>
      </c>
      <c r="F1374" s="1797">
        <v>2</v>
      </c>
      <c r="G1374" s="1999" t="s">
        <v>5862</v>
      </c>
      <c r="H1374" s="1794">
        <v>1</v>
      </c>
      <c r="I1374" s="1794">
        <v>1</v>
      </c>
      <c r="J1374" s="2000">
        <v>2</v>
      </c>
      <c r="K1374" s="1798"/>
      <c r="L1374" s="1792">
        <v>13121009801</v>
      </c>
      <c r="M1374" s="1793">
        <v>1</v>
      </c>
      <c r="N1374" s="1793">
        <v>1</v>
      </c>
      <c r="O1374" s="1794">
        <v>2</v>
      </c>
    </row>
    <row r="1375" spans="3:15">
      <c r="C1375" s="1799" t="s">
        <v>5863</v>
      </c>
      <c r="D1375" s="1796">
        <v>1</v>
      </c>
      <c r="E1375" s="1796">
        <v>1</v>
      </c>
      <c r="F1375" s="1797">
        <v>2</v>
      </c>
      <c r="G1375" s="1999" t="s">
        <v>5863</v>
      </c>
      <c r="H1375" s="1794">
        <v>1</v>
      </c>
      <c r="I1375" s="1794">
        <v>1</v>
      </c>
      <c r="J1375" s="2000">
        <v>2</v>
      </c>
      <c r="K1375" s="1798"/>
      <c r="L1375" s="1792">
        <v>13121009802</v>
      </c>
      <c r="M1375" s="1793">
        <v>1</v>
      </c>
      <c r="N1375" s="1793">
        <v>1</v>
      </c>
      <c r="O1375" s="1794">
        <v>2</v>
      </c>
    </row>
    <row r="1376" spans="3:15">
      <c r="C1376" s="1799" t="s">
        <v>5864</v>
      </c>
      <c r="D1376" s="1796">
        <v>1</v>
      </c>
      <c r="E1376" s="1796">
        <v>1</v>
      </c>
      <c r="F1376" s="1797">
        <v>2</v>
      </c>
      <c r="G1376" s="1999" t="s">
        <v>5864</v>
      </c>
      <c r="H1376" s="1794">
        <v>1</v>
      </c>
      <c r="I1376" s="1794" t="s">
        <v>4483</v>
      </c>
      <c r="J1376" s="2000">
        <v>1</v>
      </c>
      <c r="K1376" s="1798"/>
      <c r="L1376" s="1792">
        <v>13121009900</v>
      </c>
      <c r="M1376" s="1793">
        <v>1</v>
      </c>
      <c r="N1376" s="1793">
        <v>1</v>
      </c>
      <c r="O1376" s="1794">
        <v>2</v>
      </c>
    </row>
    <row r="1377" spans="3:15">
      <c r="C1377" s="1799" t="s">
        <v>5865</v>
      </c>
      <c r="D1377" s="1796">
        <v>1</v>
      </c>
      <c r="E1377" s="1796">
        <v>1</v>
      </c>
      <c r="F1377" s="1797">
        <v>2</v>
      </c>
      <c r="G1377" s="1999" t="s">
        <v>5865</v>
      </c>
      <c r="H1377" s="1794">
        <v>1</v>
      </c>
      <c r="I1377" s="1794">
        <v>1</v>
      </c>
      <c r="J1377" s="2000">
        <v>2</v>
      </c>
      <c r="K1377" s="1798"/>
      <c r="L1377" s="1792">
        <v>13121010001</v>
      </c>
      <c r="M1377" s="1793">
        <v>1</v>
      </c>
      <c r="N1377" s="1793">
        <v>1</v>
      </c>
      <c r="O1377" s="1794">
        <v>2</v>
      </c>
    </row>
    <row r="1378" spans="3:15">
      <c r="C1378" s="1799" t="s">
        <v>5866</v>
      </c>
      <c r="D1378" s="1796">
        <v>1</v>
      </c>
      <c r="E1378" s="1796">
        <v>1</v>
      </c>
      <c r="F1378" s="1797">
        <v>2</v>
      </c>
      <c r="G1378" s="1999" t="s">
        <v>5866</v>
      </c>
      <c r="H1378" s="1794">
        <v>1</v>
      </c>
      <c r="I1378" s="1794">
        <v>1</v>
      </c>
      <c r="J1378" s="2000">
        <v>2</v>
      </c>
      <c r="K1378" s="1798"/>
      <c r="L1378" s="1792">
        <v>13121010002</v>
      </c>
      <c r="M1378" s="1793">
        <v>1</v>
      </c>
      <c r="N1378" s="1793">
        <v>1</v>
      </c>
      <c r="O1378" s="1794">
        <v>2</v>
      </c>
    </row>
    <row r="1379" spans="3:15">
      <c r="C1379" s="1799" t="s">
        <v>5867</v>
      </c>
      <c r="D1379" s="1796">
        <v>1</v>
      </c>
      <c r="E1379" s="1796">
        <v>1</v>
      </c>
      <c r="F1379" s="1797">
        <v>2</v>
      </c>
      <c r="G1379" s="1999" t="s">
        <v>5867</v>
      </c>
      <c r="H1379" s="1794">
        <v>1</v>
      </c>
      <c r="I1379" s="1794">
        <v>1</v>
      </c>
      <c r="J1379" s="2000">
        <v>2</v>
      </c>
      <c r="K1379" s="1798"/>
      <c r="L1379" s="1792">
        <v>13121010106</v>
      </c>
      <c r="M1379" s="1793">
        <v>1</v>
      </c>
      <c r="N1379" s="1793">
        <v>1</v>
      </c>
      <c r="O1379" s="1794">
        <v>2</v>
      </c>
    </row>
    <row r="1380" spans="3:15">
      <c r="C1380" s="1799" t="s">
        <v>5868</v>
      </c>
      <c r="D1380" s="1796">
        <v>1</v>
      </c>
      <c r="E1380" s="1796">
        <v>1</v>
      </c>
      <c r="F1380" s="1797">
        <v>2</v>
      </c>
      <c r="G1380" s="1999" t="s">
        <v>5868</v>
      </c>
      <c r="H1380" s="1794">
        <v>1</v>
      </c>
      <c r="I1380" s="1794">
        <v>1</v>
      </c>
      <c r="J1380" s="2000">
        <v>2</v>
      </c>
      <c r="K1380" s="1798"/>
      <c r="L1380" s="1792">
        <v>13121010107</v>
      </c>
      <c r="M1380" s="1793">
        <v>1</v>
      </c>
      <c r="N1380" s="1793">
        <v>1</v>
      </c>
      <c r="O1380" s="1794">
        <v>2</v>
      </c>
    </row>
    <row r="1381" spans="3:15">
      <c r="C1381" s="1799" t="s">
        <v>5869</v>
      </c>
      <c r="D1381" s="1796">
        <v>1</v>
      </c>
      <c r="E1381" s="1796">
        <v>1</v>
      </c>
      <c r="F1381" s="1797">
        <v>2</v>
      </c>
      <c r="G1381" s="1999" t="s">
        <v>5869</v>
      </c>
      <c r="H1381" s="1794">
        <v>1</v>
      </c>
      <c r="I1381" s="1794">
        <v>1</v>
      </c>
      <c r="J1381" s="2000">
        <v>2</v>
      </c>
      <c r="K1381" s="1798"/>
      <c r="L1381" s="1792">
        <v>13121010108</v>
      </c>
      <c r="M1381" s="1793">
        <v>1</v>
      </c>
      <c r="N1381" s="1793">
        <v>1</v>
      </c>
      <c r="O1381" s="1794">
        <v>2</v>
      </c>
    </row>
    <row r="1382" spans="3:15">
      <c r="C1382" s="1799" t="s">
        <v>5870</v>
      </c>
      <c r="D1382" s="1796">
        <v>1</v>
      </c>
      <c r="E1382" s="1796">
        <v>1</v>
      </c>
      <c r="F1382" s="1797">
        <v>2</v>
      </c>
      <c r="G1382" s="1999" t="s">
        <v>5870</v>
      </c>
      <c r="H1382" s="1794">
        <v>1</v>
      </c>
      <c r="I1382" s="1794">
        <v>1</v>
      </c>
      <c r="J1382" s="2000">
        <v>2</v>
      </c>
      <c r="K1382" s="1798"/>
      <c r="L1382" s="1792">
        <v>13121010110</v>
      </c>
      <c r="M1382" s="1793">
        <v>1</v>
      </c>
      <c r="N1382" s="1793">
        <v>1</v>
      </c>
      <c r="O1382" s="1794">
        <v>2</v>
      </c>
    </row>
    <row r="1383" spans="3:15">
      <c r="C1383" s="1799" t="s">
        <v>5871</v>
      </c>
      <c r="D1383" s="1796">
        <v>1</v>
      </c>
      <c r="E1383" s="1796">
        <v>0</v>
      </c>
      <c r="F1383" s="1797">
        <v>1</v>
      </c>
      <c r="G1383" s="1999" t="s">
        <v>5871</v>
      </c>
      <c r="H1383" s="1794">
        <v>1</v>
      </c>
      <c r="I1383" s="1794">
        <v>0</v>
      </c>
      <c r="J1383" s="2000">
        <v>1</v>
      </c>
      <c r="K1383" s="1798"/>
      <c r="L1383" s="1792">
        <v>13121010113</v>
      </c>
      <c r="M1383" s="1793">
        <v>1</v>
      </c>
      <c r="N1383" s="1793">
        <v>0</v>
      </c>
      <c r="O1383" s="1794">
        <v>1</v>
      </c>
    </row>
    <row r="1384" spans="3:15">
      <c r="C1384" s="1799" t="s">
        <v>5872</v>
      </c>
      <c r="D1384" s="1796">
        <v>1</v>
      </c>
      <c r="E1384" s="1796">
        <v>1</v>
      </c>
      <c r="F1384" s="1797">
        <v>2</v>
      </c>
      <c r="G1384" s="1999" t="s">
        <v>5872</v>
      </c>
      <c r="H1384" s="1794">
        <v>1</v>
      </c>
      <c r="I1384" s="1794">
        <v>1</v>
      </c>
      <c r="J1384" s="2000">
        <v>2</v>
      </c>
      <c r="K1384" s="1798"/>
      <c r="L1384" s="1792">
        <v>13121010114</v>
      </c>
      <c r="M1384" s="1793">
        <v>1</v>
      </c>
      <c r="N1384" s="1793">
        <v>1</v>
      </c>
      <c r="O1384" s="1794">
        <v>2</v>
      </c>
    </row>
    <row r="1385" spans="3:15">
      <c r="C1385" s="1799" t="s">
        <v>5873</v>
      </c>
      <c r="D1385" s="1796">
        <v>1</v>
      </c>
      <c r="E1385" s="1796">
        <v>1</v>
      </c>
      <c r="F1385" s="1797">
        <v>2</v>
      </c>
      <c r="G1385" s="1999" t="s">
        <v>5873</v>
      </c>
      <c r="H1385" s="1794">
        <v>1</v>
      </c>
      <c r="I1385" s="1794">
        <v>1</v>
      </c>
      <c r="J1385" s="2000">
        <v>2</v>
      </c>
      <c r="K1385" s="1798"/>
      <c r="L1385" s="1792">
        <v>13121010115</v>
      </c>
      <c r="M1385" s="1793">
        <v>1</v>
      </c>
      <c r="N1385" s="1793">
        <v>1</v>
      </c>
      <c r="O1385" s="1794">
        <v>2</v>
      </c>
    </row>
    <row r="1386" spans="3:15">
      <c r="C1386" s="1799" t="s">
        <v>5874</v>
      </c>
      <c r="D1386" s="1796">
        <v>1</v>
      </c>
      <c r="E1386" s="1796">
        <v>0</v>
      </c>
      <c r="F1386" s="1797">
        <v>1</v>
      </c>
      <c r="G1386" s="1999" t="s">
        <v>5874</v>
      </c>
      <c r="H1386" s="1794">
        <v>1</v>
      </c>
      <c r="I1386" s="1794" t="s">
        <v>4483</v>
      </c>
      <c r="J1386" s="2000">
        <v>1</v>
      </c>
      <c r="K1386" s="1798"/>
      <c r="L1386" s="1792">
        <v>13121010117</v>
      </c>
      <c r="M1386" s="1793">
        <v>1</v>
      </c>
      <c r="N1386" s="1793">
        <v>0</v>
      </c>
      <c r="O1386" s="1794">
        <v>1</v>
      </c>
    </row>
    <row r="1387" spans="3:15">
      <c r="C1387" s="1799" t="s">
        <v>5875</v>
      </c>
      <c r="D1387" s="1796">
        <v>0</v>
      </c>
      <c r="E1387" s="1796">
        <v>0</v>
      </c>
      <c r="F1387" s="1797">
        <v>0</v>
      </c>
      <c r="G1387" s="1999" t="s">
        <v>5875</v>
      </c>
      <c r="H1387" s="1794">
        <v>1</v>
      </c>
      <c r="I1387" s="1794" t="s">
        <v>4483</v>
      </c>
      <c r="J1387" s="2000">
        <v>1</v>
      </c>
      <c r="K1387" s="1798"/>
      <c r="L1387" s="1792">
        <v>13121010118</v>
      </c>
      <c r="M1387" s="1793">
        <v>1</v>
      </c>
      <c r="N1387" s="1793">
        <v>0</v>
      </c>
      <c r="O1387" s="1794">
        <v>1</v>
      </c>
    </row>
    <row r="1388" spans="3:15">
      <c r="C1388" s="1799" t="s">
        <v>5876</v>
      </c>
      <c r="D1388" s="1796">
        <v>0</v>
      </c>
      <c r="E1388" s="1796">
        <v>0</v>
      </c>
      <c r="F1388" s="1797">
        <v>0</v>
      </c>
      <c r="G1388" s="1999" t="s">
        <v>5876</v>
      </c>
      <c r="H1388" s="1794">
        <v>0</v>
      </c>
      <c r="I1388" s="1794">
        <v>0</v>
      </c>
      <c r="J1388" s="2000">
        <v>0</v>
      </c>
      <c r="K1388" s="1798"/>
      <c r="L1388" s="1792">
        <v>13121010119</v>
      </c>
      <c r="M1388" s="1793">
        <v>0</v>
      </c>
      <c r="N1388" s="1793">
        <v>0</v>
      </c>
      <c r="O1388" s="1794">
        <v>0</v>
      </c>
    </row>
    <row r="1389" spans="3:15">
      <c r="C1389" s="1799" t="s">
        <v>5877</v>
      </c>
      <c r="D1389" s="1796">
        <v>1</v>
      </c>
      <c r="E1389" s="1796">
        <v>1</v>
      </c>
      <c r="F1389" s="1797">
        <v>2</v>
      </c>
      <c r="G1389" s="1999" t="s">
        <v>5877</v>
      </c>
      <c r="H1389" s="1794">
        <v>1</v>
      </c>
      <c r="I1389" s="1794" t="s">
        <v>4483</v>
      </c>
      <c r="J1389" s="2000">
        <v>1</v>
      </c>
      <c r="K1389" s="1798"/>
      <c r="L1389" s="1792">
        <v>13121010120</v>
      </c>
      <c r="M1389" s="1793">
        <v>1</v>
      </c>
      <c r="N1389" s="1793">
        <v>1</v>
      </c>
      <c r="O1389" s="1794">
        <v>2</v>
      </c>
    </row>
    <row r="1390" spans="3:15">
      <c r="C1390" s="1799" t="s">
        <v>5878</v>
      </c>
      <c r="D1390" s="1796">
        <v>1</v>
      </c>
      <c r="E1390" s="1796">
        <v>1</v>
      </c>
      <c r="F1390" s="1797">
        <v>2</v>
      </c>
      <c r="G1390" s="1999" t="s">
        <v>5878</v>
      </c>
      <c r="H1390" s="1794">
        <v>1</v>
      </c>
      <c r="I1390" s="1794">
        <v>1</v>
      </c>
      <c r="J1390" s="2000">
        <v>2</v>
      </c>
      <c r="K1390" s="1798"/>
      <c r="L1390" s="1792">
        <v>13121010121</v>
      </c>
      <c r="M1390" s="1793">
        <v>1</v>
      </c>
      <c r="N1390" s="1793">
        <v>1</v>
      </c>
      <c r="O1390" s="1794">
        <v>2</v>
      </c>
    </row>
    <row r="1391" spans="3:15">
      <c r="C1391" s="1799" t="s">
        <v>5879</v>
      </c>
      <c r="D1391" s="1796">
        <v>1</v>
      </c>
      <c r="E1391" s="1796">
        <v>1</v>
      </c>
      <c r="F1391" s="1797">
        <v>2</v>
      </c>
      <c r="G1391" s="1999" t="s">
        <v>5879</v>
      </c>
      <c r="H1391" s="1794">
        <v>1</v>
      </c>
      <c r="I1391" s="1794">
        <v>1</v>
      </c>
      <c r="J1391" s="2000">
        <v>2</v>
      </c>
      <c r="K1391" s="1798"/>
      <c r="L1391" s="1792">
        <v>13121010122</v>
      </c>
      <c r="M1391" s="1793">
        <v>1</v>
      </c>
      <c r="N1391" s="1793">
        <v>1</v>
      </c>
      <c r="O1391" s="1794">
        <v>2</v>
      </c>
    </row>
    <row r="1392" spans="3:15">
      <c r="C1392" s="1799" t="s">
        <v>5880</v>
      </c>
      <c r="D1392" s="1796">
        <v>1</v>
      </c>
      <c r="E1392" s="1796">
        <v>0</v>
      </c>
      <c r="F1392" s="1797">
        <v>1</v>
      </c>
      <c r="G1392" s="1999" t="s">
        <v>5880</v>
      </c>
      <c r="H1392" s="1794">
        <v>1</v>
      </c>
      <c r="I1392" s="1794">
        <v>1</v>
      </c>
      <c r="J1392" s="2000">
        <v>2</v>
      </c>
      <c r="K1392" s="1798"/>
      <c r="L1392" s="1792">
        <v>13121010123</v>
      </c>
      <c r="M1392" s="1793">
        <v>1</v>
      </c>
      <c r="N1392" s="1793">
        <v>1</v>
      </c>
      <c r="O1392" s="1794">
        <v>2</v>
      </c>
    </row>
    <row r="1393" spans="3:15">
      <c r="C1393" s="1799" t="s">
        <v>5881</v>
      </c>
      <c r="D1393" s="1796">
        <v>1</v>
      </c>
      <c r="E1393" s="1796">
        <v>1</v>
      </c>
      <c r="F1393" s="1797">
        <v>2</v>
      </c>
      <c r="G1393" s="1999" t="s">
        <v>5881</v>
      </c>
      <c r="H1393" s="1794">
        <v>1</v>
      </c>
      <c r="I1393" s="1794">
        <v>1</v>
      </c>
      <c r="J1393" s="2000">
        <v>2</v>
      </c>
      <c r="K1393" s="1798"/>
      <c r="L1393" s="1792">
        <v>13121010204</v>
      </c>
      <c r="M1393" s="1793">
        <v>1</v>
      </c>
      <c r="N1393" s="1793">
        <v>1</v>
      </c>
      <c r="O1393" s="1794">
        <v>2</v>
      </c>
    </row>
    <row r="1394" spans="3:15">
      <c r="C1394" s="1799" t="s">
        <v>5882</v>
      </c>
      <c r="D1394" s="1796">
        <v>1</v>
      </c>
      <c r="E1394" s="1796">
        <v>1</v>
      </c>
      <c r="F1394" s="1797">
        <v>2</v>
      </c>
      <c r="G1394" s="1999" t="s">
        <v>5882</v>
      </c>
      <c r="H1394" s="1794">
        <v>1</v>
      </c>
      <c r="I1394" s="1794">
        <v>1</v>
      </c>
      <c r="J1394" s="2000">
        <v>2</v>
      </c>
      <c r="K1394" s="1798"/>
      <c r="L1394" s="1792">
        <v>13121010205</v>
      </c>
      <c r="M1394" s="1793">
        <v>1</v>
      </c>
      <c r="N1394" s="1793">
        <v>1</v>
      </c>
      <c r="O1394" s="1794">
        <v>2</v>
      </c>
    </row>
    <row r="1395" spans="3:15">
      <c r="C1395" s="1799" t="s">
        <v>5883</v>
      </c>
      <c r="D1395" s="1796">
        <v>1</v>
      </c>
      <c r="E1395" s="1796">
        <v>1</v>
      </c>
      <c r="F1395" s="1797">
        <v>2</v>
      </c>
      <c r="G1395" s="1999" t="s">
        <v>5883</v>
      </c>
      <c r="H1395" s="1794">
        <v>1</v>
      </c>
      <c r="I1395" s="1794">
        <v>1</v>
      </c>
      <c r="J1395" s="2000">
        <v>2</v>
      </c>
      <c r="K1395" s="1798"/>
      <c r="L1395" s="1792">
        <v>13121010206</v>
      </c>
      <c r="M1395" s="1793">
        <v>1</v>
      </c>
      <c r="N1395" s="1793">
        <v>1</v>
      </c>
      <c r="O1395" s="1794">
        <v>2</v>
      </c>
    </row>
    <row r="1396" spans="3:15">
      <c r="C1396" s="1799" t="s">
        <v>5884</v>
      </c>
      <c r="D1396" s="1796">
        <v>1</v>
      </c>
      <c r="E1396" s="1796">
        <v>0</v>
      </c>
      <c r="F1396" s="1797">
        <v>1</v>
      </c>
      <c r="G1396" s="1999" t="s">
        <v>5884</v>
      </c>
      <c r="H1396" s="1794">
        <v>1</v>
      </c>
      <c r="I1396" s="1794">
        <v>1</v>
      </c>
      <c r="J1396" s="2000">
        <v>2</v>
      </c>
      <c r="K1396" s="1798"/>
      <c r="L1396" s="1792">
        <v>13121010208</v>
      </c>
      <c r="M1396" s="1793">
        <v>1</v>
      </c>
      <c r="N1396" s="1793">
        <v>1</v>
      </c>
      <c r="O1396" s="1794">
        <v>2</v>
      </c>
    </row>
    <row r="1397" spans="3:15">
      <c r="C1397" s="1799" t="s">
        <v>5885</v>
      </c>
      <c r="D1397" s="1796">
        <v>1</v>
      </c>
      <c r="E1397" s="1796">
        <v>1</v>
      </c>
      <c r="F1397" s="1797">
        <v>2</v>
      </c>
      <c r="G1397" s="1999" t="s">
        <v>5885</v>
      </c>
      <c r="H1397" s="1794">
        <v>1</v>
      </c>
      <c r="I1397" s="1794" t="s">
        <v>4483</v>
      </c>
      <c r="J1397" s="2000">
        <v>1</v>
      </c>
      <c r="K1397" s="1798"/>
      <c r="L1397" s="1792">
        <v>13121010209</v>
      </c>
      <c r="M1397" s="1793">
        <v>1</v>
      </c>
      <c r="N1397" s="1793">
        <v>1</v>
      </c>
      <c r="O1397" s="1794">
        <v>2</v>
      </c>
    </row>
    <row r="1398" spans="3:15">
      <c r="C1398" s="1799" t="s">
        <v>5886</v>
      </c>
      <c r="D1398" s="1796">
        <v>1</v>
      </c>
      <c r="E1398" s="1796">
        <v>1</v>
      </c>
      <c r="F1398" s="1797">
        <v>2</v>
      </c>
      <c r="G1398" s="1999" t="s">
        <v>5886</v>
      </c>
      <c r="H1398" s="1794">
        <v>1</v>
      </c>
      <c r="I1398" s="1794">
        <v>1</v>
      </c>
      <c r="J1398" s="2000">
        <v>2</v>
      </c>
      <c r="K1398" s="1798"/>
      <c r="L1398" s="1792">
        <v>13121010210</v>
      </c>
      <c r="M1398" s="1793">
        <v>1</v>
      </c>
      <c r="N1398" s="1793">
        <v>1</v>
      </c>
      <c r="O1398" s="1794">
        <v>2</v>
      </c>
    </row>
    <row r="1399" spans="3:15">
      <c r="C1399" s="1799" t="s">
        <v>5887</v>
      </c>
      <c r="D1399" s="1796">
        <v>1</v>
      </c>
      <c r="E1399" s="1796">
        <v>1</v>
      </c>
      <c r="F1399" s="1797">
        <v>2</v>
      </c>
      <c r="G1399" s="1999" t="s">
        <v>5887</v>
      </c>
      <c r="H1399" s="1794">
        <v>1</v>
      </c>
      <c r="I1399" s="1794">
        <v>1</v>
      </c>
      <c r="J1399" s="2000">
        <v>2</v>
      </c>
      <c r="K1399" s="1798"/>
      <c r="L1399" s="1792">
        <v>13121010211</v>
      </c>
      <c r="M1399" s="1793">
        <v>1</v>
      </c>
      <c r="N1399" s="1793">
        <v>1</v>
      </c>
      <c r="O1399" s="1794">
        <v>2</v>
      </c>
    </row>
    <row r="1400" spans="3:15">
      <c r="C1400" s="1799" t="s">
        <v>5888</v>
      </c>
      <c r="D1400" s="1796">
        <v>1</v>
      </c>
      <c r="E1400" s="1796">
        <v>0</v>
      </c>
      <c r="F1400" s="1797">
        <v>1</v>
      </c>
      <c r="G1400" s="1999" t="s">
        <v>5888</v>
      </c>
      <c r="H1400" s="1794">
        <v>1</v>
      </c>
      <c r="I1400" s="1794">
        <v>0</v>
      </c>
      <c r="J1400" s="2000">
        <v>1</v>
      </c>
      <c r="K1400" s="1798"/>
      <c r="L1400" s="1792">
        <v>13121010212</v>
      </c>
      <c r="M1400" s="1793">
        <v>1</v>
      </c>
      <c r="N1400" s="1793">
        <v>0</v>
      </c>
      <c r="O1400" s="1794">
        <v>1</v>
      </c>
    </row>
    <row r="1401" spans="3:15">
      <c r="C1401" s="1799" t="s">
        <v>5889</v>
      </c>
      <c r="D1401" s="1796">
        <v>1</v>
      </c>
      <c r="E1401" s="1796">
        <v>0</v>
      </c>
      <c r="F1401" s="1797">
        <v>1</v>
      </c>
      <c r="G1401" s="1999" t="s">
        <v>5889</v>
      </c>
      <c r="H1401" s="1794">
        <v>1</v>
      </c>
      <c r="I1401" s="1794">
        <v>1</v>
      </c>
      <c r="J1401" s="2000">
        <v>2</v>
      </c>
      <c r="K1401" s="1798"/>
      <c r="L1401" s="1792">
        <v>13121010301</v>
      </c>
      <c r="M1401" s="1793">
        <v>1</v>
      </c>
      <c r="N1401" s="1793">
        <v>1</v>
      </c>
      <c r="O1401" s="1794">
        <v>2</v>
      </c>
    </row>
    <row r="1402" spans="3:15">
      <c r="C1402" s="1799" t="s">
        <v>5890</v>
      </c>
      <c r="D1402" s="1796">
        <v>1</v>
      </c>
      <c r="E1402" s="1796">
        <v>0</v>
      </c>
      <c r="F1402" s="1797">
        <v>1</v>
      </c>
      <c r="G1402" s="1999" t="s">
        <v>5890</v>
      </c>
      <c r="H1402" s="1794">
        <v>1</v>
      </c>
      <c r="I1402" s="1794">
        <v>1</v>
      </c>
      <c r="J1402" s="2000">
        <v>2</v>
      </c>
      <c r="K1402" s="1798"/>
      <c r="L1402" s="1792">
        <v>13121010303</v>
      </c>
      <c r="M1402" s="1793">
        <v>1</v>
      </c>
      <c r="N1402" s="1793">
        <v>1</v>
      </c>
      <c r="O1402" s="1794">
        <v>2</v>
      </c>
    </row>
    <row r="1403" spans="3:15">
      <c r="C1403" s="1799" t="s">
        <v>5891</v>
      </c>
      <c r="D1403" s="1796">
        <v>1</v>
      </c>
      <c r="E1403" s="1796">
        <v>1</v>
      </c>
      <c r="F1403" s="1797">
        <v>2</v>
      </c>
      <c r="G1403" s="1999" t="s">
        <v>5891</v>
      </c>
      <c r="H1403" s="1794">
        <v>1</v>
      </c>
      <c r="I1403" s="1794">
        <v>1</v>
      </c>
      <c r="J1403" s="2000">
        <v>2</v>
      </c>
      <c r="K1403" s="1798"/>
      <c r="L1403" s="1792">
        <v>13121010304</v>
      </c>
      <c r="M1403" s="1793">
        <v>1</v>
      </c>
      <c r="N1403" s="1793">
        <v>1</v>
      </c>
      <c r="O1403" s="1794">
        <v>2</v>
      </c>
    </row>
    <row r="1404" spans="3:15">
      <c r="C1404" s="1799" t="s">
        <v>5892</v>
      </c>
      <c r="D1404" s="1796">
        <v>0</v>
      </c>
      <c r="E1404" s="1796">
        <v>0</v>
      </c>
      <c r="F1404" s="1797">
        <v>0</v>
      </c>
      <c r="G1404" s="1999" t="s">
        <v>5892</v>
      </c>
      <c r="H1404" s="1794">
        <v>0</v>
      </c>
      <c r="I1404" s="1794">
        <v>0</v>
      </c>
      <c r="J1404" s="2000">
        <v>0</v>
      </c>
      <c r="K1404" s="1798"/>
      <c r="L1404" s="1792">
        <v>13121010400</v>
      </c>
      <c r="M1404" s="1793">
        <v>0</v>
      </c>
      <c r="N1404" s="1793">
        <v>0</v>
      </c>
      <c r="O1404" s="1794">
        <v>0</v>
      </c>
    </row>
    <row r="1405" spans="3:15">
      <c r="C1405" s="1799" t="s">
        <v>5893</v>
      </c>
      <c r="D1405" s="1796">
        <v>0</v>
      </c>
      <c r="E1405" s="1796">
        <v>0</v>
      </c>
      <c r="F1405" s="1797">
        <v>0</v>
      </c>
      <c r="G1405" s="1999" t="s">
        <v>5893</v>
      </c>
      <c r="H1405" s="1794">
        <v>0</v>
      </c>
      <c r="I1405" s="1794">
        <v>1</v>
      </c>
      <c r="J1405" s="2000">
        <v>1</v>
      </c>
      <c r="K1405" s="1798"/>
      <c r="L1405" s="1792">
        <v>13121010507</v>
      </c>
      <c r="M1405" s="1793">
        <v>0</v>
      </c>
      <c r="N1405" s="1793">
        <v>1</v>
      </c>
      <c r="O1405" s="1794">
        <v>1</v>
      </c>
    </row>
    <row r="1406" spans="3:15">
      <c r="C1406" s="1799" t="s">
        <v>5894</v>
      </c>
      <c r="D1406" s="1796">
        <v>0</v>
      </c>
      <c r="E1406" s="1796">
        <v>0</v>
      </c>
      <c r="F1406" s="1797">
        <v>0</v>
      </c>
      <c r="G1406" s="1999" t="s">
        <v>5894</v>
      </c>
      <c r="H1406" s="1794">
        <v>0</v>
      </c>
      <c r="I1406" s="1794">
        <v>0</v>
      </c>
      <c r="J1406" s="2000">
        <v>0</v>
      </c>
      <c r="K1406" s="1798"/>
      <c r="L1406" s="1792">
        <v>13121010508</v>
      </c>
      <c r="M1406" s="1793">
        <v>0</v>
      </c>
      <c r="N1406" s="1793">
        <v>0</v>
      </c>
      <c r="O1406" s="1794">
        <v>0</v>
      </c>
    </row>
    <row r="1407" spans="3:15">
      <c r="C1407" s="1799" t="s">
        <v>5895</v>
      </c>
      <c r="D1407" s="1796">
        <v>0</v>
      </c>
      <c r="E1407" s="1796">
        <v>0</v>
      </c>
      <c r="F1407" s="1797">
        <v>0</v>
      </c>
      <c r="G1407" s="1999" t="s">
        <v>5895</v>
      </c>
      <c r="H1407" s="1794">
        <v>0</v>
      </c>
      <c r="I1407" s="1794">
        <v>1</v>
      </c>
      <c r="J1407" s="2000">
        <v>1</v>
      </c>
      <c r="K1407" s="1798"/>
      <c r="L1407" s="1792">
        <v>13121010510</v>
      </c>
      <c r="M1407" s="1793">
        <v>0</v>
      </c>
      <c r="N1407" s="1793">
        <v>1</v>
      </c>
      <c r="O1407" s="1794">
        <v>1</v>
      </c>
    </row>
    <row r="1408" spans="3:15">
      <c r="C1408" s="1799" t="s">
        <v>5896</v>
      </c>
      <c r="D1408" s="1796">
        <v>0</v>
      </c>
      <c r="E1408" s="1796">
        <v>0</v>
      </c>
      <c r="F1408" s="1797">
        <v>0</v>
      </c>
      <c r="G1408" s="1999" t="s">
        <v>5896</v>
      </c>
      <c r="H1408" s="1794">
        <v>0</v>
      </c>
      <c r="I1408" s="1794">
        <v>1</v>
      </c>
      <c r="J1408" s="2000">
        <v>1</v>
      </c>
      <c r="K1408" s="1798"/>
      <c r="L1408" s="1792">
        <v>13121010511</v>
      </c>
      <c r="M1408" s="1793">
        <v>0</v>
      </c>
      <c r="N1408" s="1793">
        <v>1</v>
      </c>
      <c r="O1408" s="1794">
        <v>1</v>
      </c>
    </row>
    <row r="1409" spans="3:15">
      <c r="C1409" s="1799" t="s">
        <v>5897</v>
      </c>
      <c r="D1409" s="1796">
        <v>0</v>
      </c>
      <c r="E1409" s="1796">
        <v>0</v>
      </c>
      <c r="F1409" s="1797">
        <v>0</v>
      </c>
      <c r="G1409" s="1999" t="s">
        <v>5897</v>
      </c>
      <c r="H1409" s="1794">
        <v>0</v>
      </c>
      <c r="I1409" s="1794" t="s">
        <v>4483</v>
      </c>
      <c r="J1409" s="2000">
        <v>0</v>
      </c>
      <c r="K1409" s="1798"/>
      <c r="L1409" s="1792">
        <v>13121010512</v>
      </c>
      <c r="M1409" s="1793">
        <v>0</v>
      </c>
      <c r="N1409" s="1793">
        <v>0</v>
      </c>
      <c r="O1409" s="1794">
        <v>0</v>
      </c>
    </row>
    <row r="1410" spans="3:15">
      <c r="C1410" s="1799" t="s">
        <v>5898</v>
      </c>
      <c r="D1410" s="1796">
        <v>0</v>
      </c>
      <c r="E1410" s="1796">
        <v>0</v>
      </c>
      <c r="F1410" s="1797">
        <v>0</v>
      </c>
      <c r="G1410" s="1999" t="s">
        <v>5898</v>
      </c>
      <c r="H1410" s="1794">
        <v>0</v>
      </c>
      <c r="I1410" s="1794">
        <v>0</v>
      </c>
      <c r="J1410" s="2000">
        <v>0</v>
      </c>
      <c r="K1410" s="1798"/>
      <c r="L1410" s="1792">
        <v>13121010513</v>
      </c>
      <c r="M1410" s="1793">
        <v>0</v>
      </c>
      <c r="N1410" s="1793">
        <v>0</v>
      </c>
      <c r="O1410" s="1794">
        <v>0</v>
      </c>
    </row>
    <row r="1411" spans="3:15">
      <c r="C1411" s="1799" t="s">
        <v>5899</v>
      </c>
      <c r="D1411" s="1796">
        <v>1</v>
      </c>
      <c r="E1411" s="1796">
        <v>1</v>
      </c>
      <c r="F1411" s="1797">
        <v>2</v>
      </c>
      <c r="G1411" s="1999" t="s">
        <v>5899</v>
      </c>
      <c r="H1411" s="1794">
        <v>1</v>
      </c>
      <c r="I1411" s="1794">
        <v>1</v>
      </c>
      <c r="J1411" s="2000">
        <v>2</v>
      </c>
      <c r="K1411" s="1798"/>
      <c r="L1411" s="1792">
        <v>13121010514</v>
      </c>
      <c r="M1411" s="1793">
        <v>1</v>
      </c>
      <c r="N1411" s="1793">
        <v>1</v>
      </c>
      <c r="O1411" s="1794">
        <v>2</v>
      </c>
    </row>
    <row r="1412" spans="3:15">
      <c r="C1412" s="1799" t="s">
        <v>5900</v>
      </c>
      <c r="D1412" s="1796">
        <v>0</v>
      </c>
      <c r="E1412" s="1796">
        <v>0</v>
      </c>
      <c r="F1412" s="1797">
        <v>0</v>
      </c>
      <c r="G1412" s="1999" t="s">
        <v>5900</v>
      </c>
      <c r="H1412" s="1794">
        <v>1</v>
      </c>
      <c r="I1412" s="1794">
        <v>0</v>
      </c>
      <c r="J1412" s="2000">
        <v>1</v>
      </c>
      <c r="K1412" s="1798"/>
      <c r="L1412" s="1792">
        <v>13121010515</v>
      </c>
      <c r="M1412" s="1793">
        <v>1</v>
      </c>
      <c r="N1412" s="1793">
        <v>0</v>
      </c>
      <c r="O1412" s="1794">
        <v>1</v>
      </c>
    </row>
    <row r="1413" spans="3:15">
      <c r="C1413" s="1799" t="s">
        <v>5901</v>
      </c>
      <c r="D1413" s="1796">
        <v>0</v>
      </c>
      <c r="E1413" s="1796">
        <v>0</v>
      </c>
      <c r="F1413" s="1797">
        <v>0</v>
      </c>
      <c r="G1413" s="1999" t="s">
        <v>5901</v>
      </c>
      <c r="H1413" s="1794">
        <v>0</v>
      </c>
      <c r="I1413" s="1794">
        <v>0</v>
      </c>
      <c r="J1413" s="2000">
        <v>0</v>
      </c>
      <c r="K1413" s="1798"/>
      <c r="L1413" s="1792">
        <v>13121010516</v>
      </c>
      <c r="M1413" s="1793">
        <v>0</v>
      </c>
      <c r="N1413" s="1793">
        <v>0</v>
      </c>
      <c r="O1413" s="1794">
        <v>0</v>
      </c>
    </row>
    <row r="1414" spans="3:15">
      <c r="C1414" s="1799" t="s">
        <v>5902</v>
      </c>
      <c r="D1414" s="1796">
        <v>0</v>
      </c>
      <c r="E1414" s="1796">
        <v>0</v>
      </c>
      <c r="F1414" s="1797">
        <v>0</v>
      </c>
      <c r="G1414" s="1999" t="s">
        <v>5902</v>
      </c>
      <c r="H1414" s="1794">
        <v>0</v>
      </c>
      <c r="I1414" s="1794">
        <v>0</v>
      </c>
      <c r="J1414" s="2000">
        <v>0</v>
      </c>
      <c r="K1414" s="1798"/>
      <c r="L1414" s="1792">
        <v>13121010601</v>
      </c>
      <c r="M1414" s="1793">
        <v>0</v>
      </c>
      <c r="N1414" s="1793">
        <v>0</v>
      </c>
      <c r="O1414" s="1794">
        <v>0</v>
      </c>
    </row>
    <row r="1415" spans="3:15">
      <c r="C1415" s="1799" t="s">
        <v>5903</v>
      </c>
      <c r="D1415" s="1796">
        <v>0</v>
      </c>
      <c r="E1415" s="1796">
        <v>0</v>
      </c>
      <c r="F1415" s="1797">
        <v>0</v>
      </c>
      <c r="G1415" s="1999" t="s">
        <v>5903</v>
      </c>
      <c r="H1415" s="1794">
        <v>0</v>
      </c>
      <c r="I1415" s="1794">
        <v>0</v>
      </c>
      <c r="J1415" s="2000">
        <v>0</v>
      </c>
      <c r="K1415" s="1798"/>
      <c r="L1415" s="1792">
        <v>13121010603</v>
      </c>
      <c r="M1415" s="1793">
        <v>0</v>
      </c>
      <c r="N1415" s="1793">
        <v>0</v>
      </c>
      <c r="O1415" s="1794">
        <v>0</v>
      </c>
    </row>
    <row r="1416" spans="3:15">
      <c r="C1416" s="1799" t="s">
        <v>5904</v>
      </c>
      <c r="D1416" s="1796">
        <v>0</v>
      </c>
      <c r="E1416" s="1796">
        <v>0</v>
      </c>
      <c r="F1416" s="1797">
        <v>0</v>
      </c>
      <c r="G1416" s="1999" t="s">
        <v>5904</v>
      </c>
      <c r="H1416" s="1794">
        <v>0</v>
      </c>
      <c r="I1416" s="1794">
        <v>0</v>
      </c>
      <c r="J1416" s="2000">
        <v>0</v>
      </c>
      <c r="K1416" s="1798"/>
      <c r="L1416" s="1792">
        <v>13121010604</v>
      </c>
      <c r="M1416" s="1793">
        <v>0</v>
      </c>
      <c r="N1416" s="1793">
        <v>0</v>
      </c>
      <c r="O1416" s="1794">
        <v>0</v>
      </c>
    </row>
    <row r="1417" spans="3:15">
      <c r="C1417" s="1799" t="s">
        <v>5905</v>
      </c>
      <c r="D1417" s="1796">
        <v>0</v>
      </c>
      <c r="E1417" s="1796">
        <v>0</v>
      </c>
      <c r="F1417" s="1797">
        <v>0</v>
      </c>
      <c r="G1417" s="1999" t="s">
        <v>5905</v>
      </c>
      <c r="H1417" s="1794">
        <v>1</v>
      </c>
      <c r="I1417" s="1794">
        <v>0</v>
      </c>
      <c r="J1417" s="2000">
        <v>1</v>
      </c>
      <c r="K1417" s="1798"/>
      <c r="L1417" s="1792">
        <v>13121010800</v>
      </c>
      <c r="M1417" s="1793">
        <v>1</v>
      </c>
      <c r="N1417" s="1793">
        <v>0</v>
      </c>
      <c r="O1417" s="1794">
        <v>1</v>
      </c>
    </row>
    <row r="1418" spans="3:15">
      <c r="C1418" s="1799" t="s">
        <v>5906</v>
      </c>
      <c r="D1418" s="1796">
        <v>0</v>
      </c>
      <c r="E1418" s="1796">
        <v>0</v>
      </c>
      <c r="F1418" s="1797">
        <v>0</v>
      </c>
      <c r="G1418" s="1999" t="s">
        <v>5906</v>
      </c>
      <c r="H1418" s="1794">
        <v>0</v>
      </c>
      <c r="I1418" s="1794">
        <v>0</v>
      </c>
      <c r="J1418" s="2000">
        <v>0</v>
      </c>
      <c r="K1418" s="1798"/>
      <c r="L1418" s="1792">
        <v>13121011000</v>
      </c>
      <c r="M1418" s="1793">
        <v>0</v>
      </c>
      <c r="N1418" s="1793">
        <v>0</v>
      </c>
      <c r="O1418" s="1794">
        <v>0</v>
      </c>
    </row>
    <row r="1419" spans="3:15">
      <c r="C1419" s="1799" t="s">
        <v>5907</v>
      </c>
      <c r="D1419" s="1796">
        <v>1</v>
      </c>
      <c r="E1419" s="1796">
        <v>0</v>
      </c>
      <c r="F1419" s="1797">
        <v>1</v>
      </c>
      <c r="G1419" s="1999" t="s">
        <v>5907</v>
      </c>
      <c r="H1419" s="1794">
        <v>1</v>
      </c>
      <c r="I1419" s="1794">
        <v>0</v>
      </c>
      <c r="J1419" s="2000">
        <v>1</v>
      </c>
      <c r="K1419" s="1798"/>
      <c r="L1419" s="1792">
        <v>13121011100</v>
      </c>
      <c r="M1419" s="1793">
        <v>1</v>
      </c>
      <c r="N1419" s="1793">
        <v>0</v>
      </c>
      <c r="O1419" s="1794">
        <v>1</v>
      </c>
    </row>
    <row r="1420" spans="3:15">
      <c r="C1420" s="1799" t="s">
        <v>5908</v>
      </c>
      <c r="D1420" s="1796">
        <v>0</v>
      </c>
      <c r="E1420" s="1796">
        <v>0</v>
      </c>
      <c r="F1420" s="1797">
        <v>0</v>
      </c>
      <c r="G1420" s="1999" t="s">
        <v>5908</v>
      </c>
      <c r="H1420" s="1794">
        <v>0</v>
      </c>
      <c r="I1420" s="1794">
        <v>0</v>
      </c>
      <c r="J1420" s="2000">
        <v>0</v>
      </c>
      <c r="K1420" s="1798"/>
      <c r="L1420" s="1792">
        <v>13121011201</v>
      </c>
      <c r="M1420" s="1793">
        <v>0</v>
      </c>
      <c r="N1420" s="1793">
        <v>0</v>
      </c>
      <c r="O1420" s="1794">
        <v>0</v>
      </c>
    </row>
    <row r="1421" spans="3:15">
      <c r="C1421" s="1799" t="s">
        <v>5909</v>
      </c>
      <c r="D1421" s="1796">
        <v>0</v>
      </c>
      <c r="E1421" s="1796">
        <v>0</v>
      </c>
      <c r="F1421" s="1797">
        <v>0</v>
      </c>
      <c r="G1421" s="1999" t="s">
        <v>5909</v>
      </c>
      <c r="H1421" s="1794">
        <v>0</v>
      </c>
      <c r="I1421" s="1794">
        <v>0</v>
      </c>
      <c r="J1421" s="2000">
        <v>0</v>
      </c>
      <c r="K1421" s="1798"/>
      <c r="L1421" s="1792">
        <v>13121011202</v>
      </c>
      <c r="M1421" s="1793">
        <v>0</v>
      </c>
      <c r="N1421" s="1793">
        <v>0</v>
      </c>
      <c r="O1421" s="1794">
        <v>0</v>
      </c>
    </row>
    <row r="1422" spans="3:15">
      <c r="C1422" s="1799" t="s">
        <v>5910</v>
      </c>
      <c r="D1422" s="1796">
        <v>0</v>
      </c>
      <c r="E1422" s="1796">
        <v>0</v>
      </c>
      <c r="F1422" s="1797">
        <v>0</v>
      </c>
      <c r="G1422" s="1999" t="s">
        <v>5910</v>
      </c>
      <c r="H1422" s="1794">
        <v>0</v>
      </c>
      <c r="I1422" s="1794">
        <v>0</v>
      </c>
      <c r="J1422" s="2000">
        <v>0</v>
      </c>
      <c r="K1422" s="1798"/>
      <c r="L1422" s="1792">
        <v>13121011301</v>
      </c>
      <c r="M1422" s="1793">
        <v>0</v>
      </c>
      <c r="N1422" s="1793">
        <v>0</v>
      </c>
      <c r="O1422" s="1794">
        <v>0</v>
      </c>
    </row>
    <row r="1423" spans="3:15">
      <c r="C1423" s="1799" t="s">
        <v>5911</v>
      </c>
      <c r="D1423" s="1796">
        <v>0</v>
      </c>
      <c r="E1423" s="1796">
        <v>0</v>
      </c>
      <c r="F1423" s="1797">
        <v>0</v>
      </c>
      <c r="G1423" s="1999" t="s">
        <v>5911</v>
      </c>
      <c r="H1423" s="1794">
        <v>1</v>
      </c>
      <c r="I1423" s="1794">
        <v>0</v>
      </c>
      <c r="J1423" s="2000">
        <v>1</v>
      </c>
      <c r="K1423" s="1798"/>
      <c r="L1423" s="1792">
        <v>13121011303</v>
      </c>
      <c r="M1423" s="1793">
        <v>1</v>
      </c>
      <c r="N1423" s="1793">
        <v>0</v>
      </c>
      <c r="O1423" s="1794">
        <v>1</v>
      </c>
    </row>
    <row r="1424" spans="3:15">
      <c r="C1424" s="1799" t="s">
        <v>5912</v>
      </c>
      <c r="D1424" s="1796">
        <v>0</v>
      </c>
      <c r="E1424" s="1796">
        <v>0</v>
      </c>
      <c r="F1424" s="1797">
        <v>0</v>
      </c>
      <c r="G1424" s="1999" t="s">
        <v>5912</v>
      </c>
      <c r="H1424" s="1794">
        <v>0</v>
      </c>
      <c r="I1424" s="1794">
        <v>0</v>
      </c>
      <c r="J1424" s="2000">
        <v>0</v>
      </c>
      <c r="K1424" s="1798"/>
      <c r="L1424" s="1792">
        <v>13121011305</v>
      </c>
      <c r="M1424" s="1793">
        <v>0</v>
      </c>
      <c r="N1424" s="1793">
        <v>0</v>
      </c>
      <c r="O1424" s="1794">
        <v>0</v>
      </c>
    </row>
    <row r="1425" spans="3:15">
      <c r="C1425" s="1799" t="s">
        <v>5913</v>
      </c>
      <c r="D1425" s="1796">
        <v>0</v>
      </c>
      <c r="E1425" s="1796">
        <v>0</v>
      </c>
      <c r="F1425" s="1797">
        <v>0</v>
      </c>
      <c r="G1425" s="1999" t="s">
        <v>5913</v>
      </c>
      <c r="H1425" s="1794">
        <v>0</v>
      </c>
      <c r="I1425" s="1794">
        <v>0</v>
      </c>
      <c r="J1425" s="2000">
        <v>0</v>
      </c>
      <c r="K1425" s="1798"/>
      <c r="L1425" s="1792">
        <v>13121011306</v>
      </c>
      <c r="M1425" s="1793">
        <v>0</v>
      </c>
      <c r="N1425" s="1793">
        <v>0</v>
      </c>
      <c r="O1425" s="1794">
        <v>0</v>
      </c>
    </row>
    <row r="1426" spans="3:15">
      <c r="C1426" s="1799" t="s">
        <v>5914</v>
      </c>
      <c r="D1426" s="1796">
        <v>1</v>
      </c>
      <c r="E1426" s="1796">
        <v>0</v>
      </c>
      <c r="F1426" s="1797">
        <v>1</v>
      </c>
      <c r="G1426" s="1999" t="s">
        <v>5914</v>
      </c>
      <c r="H1426" s="1794">
        <v>1</v>
      </c>
      <c r="I1426" s="1794">
        <v>1</v>
      </c>
      <c r="J1426" s="2000">
        <v>2</v>
      </c>
      <c r="K1426" s="1798"/>
      <c r="L1426" s="1792">
        <v>13121011405</v>
      </c>
      <c r="M1426" s="1793">
        <v>1</v>
      </c>
      <c r="N1426" s="1793">
        <v>1</v>
      </c>
      <c r="O1426" s="1794">
        <v>2</v>
      </c>
    </row>
    <row r="1427" spans="3:15">
      <c r="C1427" s="1799" t="s">
        <v>5915</v>
      </c>
      <c r="D1427" s="1796">
        <v>1</v>
      </c>
      <c r="E1427" s="1796">
        <v>1</v>
      </c>
      <c r="F1427" s="1797">
        <v>2</v>
      </c>
      <c r="G1427" s="1999" t="s">
        <v>5915</v>
      </c>
      <c r="H1427" s="1794">
        <v>1</v>
      </c>
      <c r="I1427" s="1794">
        <v>1</v>
      </c>
      <c r="J1427" s="2000">
        <v>2</v>
      </c>
      <c r="K1427" s="1798"/>
      <c r="L1427" s="1792">
        <v>13121011410</v>
      </c>
      <c r="M1427" s="1793">
        <v>1</v>
      </c>
      <c r="N1427" s="1793">
        <v>1</v>
      </c>
      <c r="O1427" s="1794">
        <v>2</v>
      </c>
    </row>
    <row r="1428" spans="3:15">
      <c r="C1428" s="1799" t="s">
        <v>5916</v>
      </c>
      <c r="D1428" s="1796">
        <v>1</v>
      </c>
      <c r="E1428" s="1796">
        <v>1</v>
      </c>
      <c r="F1428" s="1797">
        <v>2</v>
      </c>
      <c r="G1428" s="1999" t="s">
        <v>5916</v>
      </c>
      <c r="H1428" s="1794">
        <v>1</v>
      </c>
      <c r="I1428" s="1794">
        <v>1</v>
      </c>
      <c r="J1428" s="2000">
        <v>2</v>
      </c>
      <c r="K1428" s="1798"/>
      <c r="L1428" s="1792">
        <v>13121011411</v>
      </c>
      <c r="M1428" s="1793">
        <v>1</v>
      </c>
      <c r="N1428" s="1793">
        <v>1</v>
      </c>
      <c r="O1428" s="1794">
        <v>2</v>
      </c>
    </row>
    <row r="1429" spans="3:15">
      <c r="C1429" s="1799" t="s">
        <v>5917</v>
      </c>
      <c r="D1429" s="1796">
        <v>1</v>
      </c>
      <c r="E1429" s="1796">
        <v>1</v>
      </c>
      <c r="F1429" s="1797">
        <v>2</v>
      </c>
      <c r="G1429" s="1999" t="s">
        <v>5917</v>
      </c>
      <c r="H1429" s="1794">
        <v>1</v>
      </c>
      <c r="I1429" s="1794">
        <v>1</v>
      </c>
      <c r="J1429" s="2000">
        <v>2</v>
      </c>
      <c r="K1429" s="1798"/>
      <c r="L1429" s="1792">
        <v>13121011412</v>
      </c>
      <c r="M1429" s="1793">
        <v>1</v>
      </c>
      <c r="N1429" s="1793">
        <v>1</v>
      </c>
      <c r="O1429" s="1794">
        <v>2</v>
      </c>
    </row>
    <row r="1430" spans="3:15">
      <c r="C1430" s="1799" t="s">
        <v>5918</v>
      </c>
      <c r="D1430" s="1796">
        <v>1</v>
      </c>
      <c r="E1430" s="1796">
        <v>1</v>
      </c>
      <c r="F1430" s="1797">
        <v>2</v>
      </c>
      <c r="G1430" s="1999" t="s">
        <v>5918</v>
      </c>
      <c r="H1430" s="1794">
        <v>1</v>
      </c>
      <c r="I1430" s="1794">
        <v>0</v>
      </c>
      <c r="J1430" s="2000">
        <v>1</v>
      </c>
      <c r="K1430" s="1798"/>
      <c r="L1430" s="1792">
        <v>13121011414</v>
      </c>
      <c r="M1430" s="1793">
        <v>1</v>
      </c>
      <c r="N1430" s="1793">
        <v>1</v>
      </c>
      <c r="O1430" s="1794">
        <v>2</v>
      </c>
    </row>
    <row r="1431" spans="3:15">
      <c r="C1431" s="1799" t="s">
        <v>5919</v>
      </c>
      <c r="D1431" s="1796">
        <v>1</v>
      </c>
      <c r="E1431" s="1796">
        <v>1</v>
      </c>
      <c r="F1431" s="1797">
        <v>2</v>
      </c>
      <c r="G1431" s="1999" t="s">
        <v>5919</v>
      </c>
      <c r="H1431" s="1794">
        <v>1</v>
      </c>
      <c r="I1431" s="1794">
        <v>1</v>
      </c>
      <c r="J1431" s="2000">
        <v>2</v>
      </c>
      <c r="K1431" s="1798"/>
      <c r="L1431" s="1792">
        <v>13121011416</v>
      </c>
      <c r="M1431" s="1793">
        <v>1</v>
      </c>
      <c r="N1431" s="1793">
        <v>1</v>
      </c>
      <c r="O1431" s="1794">
        <v>2</v>
      </c>
    </row>
    <row r="1432" spans="3:15">
      <c r="C1432" s="1799" t="s">
        <v>5920</v>
      </c>
      <c r="D1432" s="1796">
        <v>1</v>
      </c>
      <c r="E1432" s="1796">
        <v>1</v>
      </c>
      <c r="F1432" s="1797">
        <v>2</v>
      </c>
      <c r="G1432" s="1999" t="s">
        <v>5920</v>
      </c>
      <c r="H1432" s="1794">
        <v>1</v>
      </c>
      <c r="I1432" s="1794">
        <v>1</v>
      </c>
      <c r="J1432" s="2000">
        <v>2</v>
      </c>
      <c r="K1432" s="1798"/>
      <c r="L1432" s="1792">
        <v>13121011417</v>
      </c>
      <c r="M1432" s="1793">
        <v>1</v>
      </c>
      <c r="N1432" s="1793">
        <v>1</v>
      </c>
      <c r="O1432" s="1794">
        <v>2</v>
      </c>
    </row>
    <row r="1433" spans="3:15">
      <c r="C1433" s="1799" t="s">
        <v>5921</v>
      </c>
      <c r="D1433" s="1796">
        <v>1</v>
      </c>
      <c r="E1433" s="1796">
        <v>1</v>
      </c>
      <c r="F1433" s="1797">
        <v>2</v>
      </c>
      <c r="G1433" s="1999" t="s">
        <v>5921</v>
      </c>
      <c r="H1433" s="1794">
        <v>1</v>
      </c>
      <c r="I1433" s="1794">
        <v>1</v>
      </c>
      <c r="J1433" s="2000">
        <v>2</v>
      </c>
      <c r="K1433" s="1798"/>
      <c r="L1433" s="1792">
        <v>13121011418</v>
      </c>
      <c r="M1433" s="1793">
        <v>1</v>
      </c>
      <c r="N1433" s="1793">
        <v>1</v>
      </c>
      <c r="O1433" s="1794">
        <v>2</v>
      </c>
    </row>
    <row r="1434" spans="3:15">
      <c r="C1434" s="1799" t="s">
        <v>5922</v>
      </c>
      <c r="D1434" s="1796">
        <v>1</v>
      </c>
      <c r="E1434" s="1796">
        <v>1</v>
      </c>
      <c r="F1434" s="1797">
        <v>2</v>
      </c>
      <c r="G1434" s="1999" t="s">
        <v>5922</v>
      </c>
      <c r="H1434" s="1794">
        <v>1</v>
      </c>
      <c r="I1434" s="1794">
        <v>1</v>
      </c>
      <c r="J1434" s="2000">
        <v>2</v>
      </c>
      <c r="K1434" s="1798"/>
      <c r="L1434" s="1792">
        <v>13121011419</v>
      </c>
      <c r="M1434" s="1793">
        <v>1</v>
      </c>
      <c r="N1434" s="1793">
        <v>1</v>
      </c>
      <c r="O1434" s="1794">
        <v>2</v>
      </c>
    </row>
    <row r="1435" spans="3:15">
      <c r="C1435" s="1799" t="s">
        <v>5923</v>
      </c>
      <c r="D1435" s="1796">
        <v>0</v>
      </c>
      <c r="E1435" s="1796">
        <v>0</v>
      </c>
      <c r="F1435" s="1797">
        <v>0</v>
      </c>
      <c r="G1435" s="1999" t="s">
        <v>5923</v>
      </c>
      <c r="H1435" s="1794">
        <v>0</v>
      </c>
      <c r="I1435" s="1794">
        <v>0</v>
      </c>
      <c r="J1435" s="2000">
        <v>0</v>
      </c>
      <c r="K1435" s="1798"/>
      <c r="L1435" s="1792">
        <v>13121011420</v>
      </c>
      <c r="M1435" s="1793">
        <v>0</v>
      </c>
      <c r="N1435" s="1793">
        <v>0</v>
      </c>
      <c r="O1435" s="1794">
        <v>0</v>
      </c>
    </row>
    <row r="1436" spans="3:15">
      <c r="C1436" s="1799" t="s">
        <v>5924</v>
      </c>
      <c r="D1436" s="1796">
        <v>1</v>
      </c>
      <c r="E1436" s="1796">
        <v>0</v>
      </c>
      <c r="F1436" s="1797">
        <v>1</v>
      </c>
      <c r="G1436" s="1999" t="s">
        <v>5924</v>
      </c>
      <c r="H1436" s="1794">
        <v>1</v>
      </c>
      <c r="I1436" s="1794">
        <v>0</v>
      </c>
      <c r="J1436" s="2000">
        <v>1</v>
      </c>
      <c r="K1436" s="1798"/>
      <c r="L1436" s="1792">
        <v>13121011421</v>
      </c>
      <c r="M1436" s="1793">
        <v>1</v>
      </c>
      <c r="N1436" s="1793">
        <v>0</v>
      </c>
      <c r="O1436" s="1794">
        <v>1</v>
      </c>
    </row>
    <row r="1437" spans="3:15">
      <c r="C1437" s="1799" t="s">
        <v>5925</v>
      </c>
      <c r="D1437" s="1796">
        <v>1</v>
      </c>
      <c r="E1437" s="1796">
        <v>1</v>
      </c>
      <c r="F1437" s="1797">
        <v>2</v>
      </c>
      <c r="G1437" s="1999" t="s">
        <v>5925</v>
      </c>
      <c r="H1437" s="1794">
        <v>1</v>
      </c>
      <c r="I1437" s="1794">
        <v>1</v>
      </c>
      <c r="J1437" s="2000">
        <v>2</v>
      </c>
      <c r="K1437" s="1798"/>
      <c r="L1437" s="1792">
        <v>13121011422</v>
      </c>
      <c r="M1437" s="1793">
        <v>1</v>
      </c>
      <c r="N1437" s="1793">
        <v>1</v>
      </c>
      <c r="O1437" s="1794">
        <v>2</v>
      </c>
    </row>
    <row r="1438" spans="3:15">
      <c r="C1438" s="1799" t="s">
        <v>5926</v>
      </c>
      <c r="D1438" s="1796">
        <v>1</v>
      </c>
      <c r="E1438" s="1796">
        <v>1</v>
      </c>
      <c r="F1438" s="1797">
        <v>2</v>
      </c>
      <c r="G1438" s="1999" t="s">
        <v>5926</v>
      </c>
      <c r="H1438" s="1794">
        <v>1</v>
      </c>
      <c r="I1438" s="1794">
        <v>1</v>
      </c>
      <c r="J1438" s="2000">
        <v>2</v>
      </c>
      <c r="K1438" s="1798"/>
      <c r="L1438" s="1792">
        <v>13121011423</v>
      </c>
      <c r="M1438" s="1793">
        <v>1</v>
      </c>
      <c r="N1438" s="1793">
        <v>1</v>
      </c>
      <c r="O1438" s="1794">
        <v>2</v>
      </c>
    </row>
    <row r="1439" spans="3:15">
      <c r="C1439" s="1799" t="s">
        <v>5927</v>
      </c>
      <c r="D1439" s="1796">
        <v>1</v>
      </c>
      <c r="E1439" s="1796">
        <v>1</v>
      </c>
      <c r="F1439" s="1797">
        <v>2</v>
      </c>
      <c r="G1439" s="1999" t="s">
        <v>5927</v>
      </c>
      <c r="H1439" s="1794">
        <v>1</v>
      </c>
      <c r="I1439" s="1794">
        <v>1</v>
      </c>
      <c r="J1439" s="2000">
        <v>2</v>
      </c>
      <c r="K1439" s="1798"/>
      <c r="L1439" s="1792">
        <v>13121011424</v>
      </c>
      <c r="M1439" s="1793">
        <v>1</v>
      </c>
      <c r="N1439" s="1793">
        <v>1</v>
      </c>
      <c r="O1439" s="1794">
        <v>2</v>
      </c>
    </row>
    <row r="1440" spans="3:15">
      <c r="C1440" s="1799" t="s">
        <v>5928</v>
      </c>
      <c r="D1440" s="1796">
        <v>1</v>
      </c>
      <c r="E1440" s="1796">
        <v>1</v>
      </c>
      <c r="F1440" s="1797">
        <v>2</v>
      </c>
      <c r="G1440" s="1999" t="s">
        <v>5928</v>
      </c>
      <c r="H1440" s="1794">
        <v>1</v>
      </c>
      <c r="I1440" s="1794">
        <v>1</v>
      </c>
      <c r="J1440" s="2000">
        <v>2</v>
      </c>
      <c r="K1440" s="1798"/>
      <c r="L1440" s="1792">
        <v>13121011425</v>
      </c>
      <c r="M1440" s="1793">
        <v>1</v>
      </c>
      <c r="N1440" s="1793">
        <v>1</v>
      </c>
      <c r="O1440" s="1794">
        <v>2</v>
      </c>
    </row>
    <row r="1441" spans="3:15">
      <c r="C1441" s="1799" t="s">
        <v>5929</v>
      </c>
      <c r="D1441" s="1796">
        <v>1</v>
      </c>
      <c r="E1441" s="1796">
        <v>1</v>
      </c>
      <c r="F1441" s="1797">
        <v>2</v>
      </c>
      <c r="G1441" s="1999" t="s">
        <v>5929</v>
      </c>
      <c r="H1441" s="1794">
        <v>1</v>
      </c>
      <c r="I1441" s="1794">
        <v>1</v>
      </c>
      <c r="J1441" s="2000">
        <v>2</v>
      </c>
      <c r="K1441" s="1798"/>
      <c r="L1441" s="1792">
        <v>13121011426</v>
      </c>
      <c r="M1441" s="1793">
        <v>1</v>
      </c>
      <c r="N1441" s="1793">
        <v>1</v>
      </c>
      <c r="O1441" s="1794">
        <v>2</v>
      </c>
    </row>
    <row r="1442" spans="3:15">
      <c r="C1442" s="1799" t="s">
        <v>5930</v>
      </c>
      <c r="D1442" s="1796">
        <v>1</v>
      </c>
      <c r="E1442" s="1796">
        <v>1</v>
      </c>
      <c r="F1442" s="1797">
        <v>2</v>
      </c>
      <c r="G1442" s="1999" t="s">
        <v>5930</v>
      </c>
      <c r="H1442" s="1794">
        <v>1</v>
      </c>
      <c r="I1442" s="1794">
        <v>1</v>
      </c>
      <c r="J1442" s="2000">
        <v>2</v>
      </c>
      <c r="K1442" s="1798"/>
      <c r="L1442" s="1792">
        <v>13121011427</v>
      </c>
      <c r="M1442" s="1793">
        <v>1</v>
      </c>
      <c r="N1442" s="1793">
        <v>1</v>
      </c>
      <c r="O1442" s="1794">
        <v>2</v>
      </c>
    </row>
    <row r="1443" spans="3:15">
      <c r="C1443" s="1799" t="s">
        <v>5931</v>
      </c>
      <c r="D1443" s="1796">
        <v>1</v>
      </c>
      <c r="E1443" s="1796">
        <v>1</v>
      </c>
      <c r="F1443" s="1797">
        <v>2</v>
      </c>
      <c r="G1443" s="1999" t="s">
        <v>5931</v>
      </c>
      <c r="H1443" s="1794">
        <v>1</v>
      </c>
      <c r="I1443" s="1794">
        <v>1</v>
      </c>
      <c r="J1443" s="2000">
        <v>2</v>
      </c>
      <c r="K1443" s="1798"/>
      <c r="L1443" s="1792">
        <v>13121011503</v>
      </c>
      <c r="M1443" s="1793">
        <v>1</v>
      </c>
      <c r="N1443" s="1793">
        <v>1</v>
      </c>
      <c r="O1443" s="1794">
        <v>2</v>
      </c>
    </row>
    <row r="1444" spans="3:15">
      <c r="C1444" s="1799" t="s">
        <v>5932</v>
      </c>
      <c r="D1444" s="1796">
        <v>1</v>
      </c>
      <c r="E1444" s="1796">
        <v>1</v>
      </c>
      <c r="F1444" s="1797">
        <v>2</v>
      </c>
      <c r="G1444" s="1999" t="s">
        <v>5932</v>
      </c>
      <c r="H1444" s="1794">
        <v>1</v>
      </c>
      <c r="I1444" s="1794" t="s">
        <v>4483</v>
      </c>
      <c r="J1444" s="2000">
        <v>1</v>
      </c>
      <c r="K1444" s="1798"/>
      <c r="L1444" s="1792">
        <v>13121011504</v>
      </c>
      <c r="M1444" s="1793">
        <v>1</v>
      </c>
      <c r="N1444" s="1793">
        <v>1</v>
      </c>
      <c r="O1444" s="1794">
        <v>2</v>
      </c>
    </row>
    <row r="1445" spans="3:15">
      <c r="C1445" s="1799" t="s">
        <v>5933</v>
      </c>
      <c r="D1445" s="1796">
        <v>1</v>
      </c>
      <c r="E1445" s="1796">
        <v>1</v>
      </c>
      <c r="F1445" s="1797">
        <v>2</v>
      </c>
      <c r="G1445" s="1999" t="s">
        <v>5933</v>
      </c>
      <c r="H1445" s="1794">
        <v>1</v>
      </c>
      <c r="I1445" s="1794">
        <v>1</v>
      </c>
      <c r="J1445" s="2000">
        <v>2</v>
      </c>
      <c r="K1445" s="1798"/>
      <c r="L1445" s="1792">
        <v>13121011505</v>
      </c>
      <c r="M1445" s="1793">
        <v>1</v>
      </c>
      <c r="N1445" s="1793">
        <v>1</v>
      </c>
      <c r="O1445" s="1794">
        <v>2</v>
      </c>
    </row>
    <row r="1446" spans="3:15">
      <c r="C1446" s="1799" t="s">
        <v>5934</v>
      </c>
      <c r="D1446" s="1796">
        <v>1</v>
      </c>
      <c r="E1446" s="1796">
        <v>1</v>
      </c>
      <c r="F1446" s="1797">
        <v>2</v>
      </c>
      <c r="G1446" s="1999" t="s">
        <v>5934</v>
      </c>
      <c r="H1446" s="1794">
        <v>1</v>
      </c>
      <c r="I1446" s="1794">
        <v>1</v>
      </c>
      <c r="J1446" s="2000">
        <v>2</v>
      </c>
      <c r="K1446" s="1798"/>
      <c r="L1446" s="1792">
        <v>13121011506</v>
      </c>
      <c r="M1446" s="1793">
        <v>1</v>
      </c>
      <c r="N1446" s="1793">
        <v>1</v>
      </c>
      <c r="O1446" s="1794">
        <v>2</v>
      </c>
    </row>
    <row r="1447" spans="3:15">
      <c r="C1447" s="1799" t="s">
        <v>5935</v>
      </c>
      <c r="D1447" s="1796">
        <v>1</v>
      </c>
      <c r="E1447" s="1796">
        <v>1</v>
      </c>
      <c r="F1447" s="1797">
        <v>2</v>
      </c>
      <c r="G1447" s="1999" t="s">
        <v>5935</v>
      </c>
      <c r="H1447" s="1794">
        <v>1</v>
      </c>
      <c r="I1447" s="1794">
        <v>1</v>
      </c>
      <c r="J1447" s="2000">
        <v>2</v>
      </c>
      <c r="K1447" s="1798"/>
      <c r="L1447" s="1792">
        <v>13121011610</v>
      </c>
      <c r="M1447" s="1793">
        <v>1</v>
      </c>
      <c r="N1447" s="1793">
        <v>1</v>
      </c>
      <c r="O1447" s="1794">
        <v>2</v>
      </c>
    </row>
    <row r="1448" spans="3:15">
      <c r="C1448" s="1799" t="s">
        <v>5936</v>
      </c>
      <c r="D1448" s="1796">
        <v>1</v>
      </c>
      <c r="E1448" s="1796">
        <v>0</v>
      </c>
      <c r="F1448" s="1797">
        <v>1</v>
      </c>
      <c r="G1448" s="1999" t="s">
        <v>5936</v>
      </c>
      <c r="H1448" s="1794">
        <v>1</v>
      </c>
      <c r="I1448" s="1794">
        <v>1</v>
      </c>
      <c r="J1448" s="2000">
        <v>2</v>
      </c>
      <c r="K1448" s="1798"/>
      <c r="L1448" s="1792">
        <v>13121011611</v>
      </c>
      <c r="M1448" s="1793">
        <v>1</v>
      </c>
      <c r="N1448" s="1793">
        <v>1</v>
      </c>
      <c r="O1448" s="1794">
        <v>2</v>
      </c>
    </row>
    <row r="1449" spans="3:15">
      <c r="C1449" s="1799" t="s">
        <v>5937</v>
      </c>
      <c r="D1449" s="1796">
        <v>1</v>
      </c>
      <c r="E1449" s="1796">
        <v>1</v>
      </c>
      <c r="F1449" s="1797">
        <v>2</v>
      </c>
      <c r="G1449" s="1999" t="s">
        <v>5937</v>
      </c>
      <c r="H1449" s="1794">
        <v>1</v>
      </c>
      <c r="I1449" s="1794" t="s">
        <v>4483</v>
      </c>
      <c r="J1449" s="2000">
        <v>1</v>
      </c>
      <c r="K1449" s="1798"/>
      <c r="L1449" s="1792">
        <v>13121011612</v>
      </c>
      <c r="M1449" s="1793">
        <v>1</v>
      </c>
      <c r="N1449" s="1793">
        <v>1</v>
      </c>
      <c r="O1449" s="1794">
        <v>2</v>
      </c>
    </row>
    <row r="1450" spans="3:15">
      <c r="C1450" s="1799" t="s">
        <v>5938</v>
      </c>
      <c r="D1450" s="1796">
        <v>1</v>
      </c>
      <c r="E1450" s="1796">
        <v>1</v>
      </c>
      <c r="F1450" s="1797">
        <v>2</v>
      </c>
      <c r="G1450" s="1999" t="s">
        <v>5938</v>
      </c>
      <c r="H1450" s="1794">
        <v>1</v>
      </c>
      <c r="I1450" s="1794">
        <v>1</v>
      </c>
      <c r="J1450" s="2000">
        <v>2</v>
      </c>
      <c r="K1450" s="1798"/>
      <c r="L1450" s="1792">
        <v>13121011613</v>
      </c>
      <c r="M1450" s="1793">
        <v>1</v>
      </c>
      <c r="N1450" s="1793">
        <v>1</v>
      </c>
      <c r="O1450" s="1794">
        <v>2</v>
      </c>
    </row>
    <row r="1451" spans="3:15">
      <c r="C1451" s="1799" t="s">
        <v>5939</v>
      </c>
      <c r="D1451" s="1796">
        <v>1</v>
      </c>
      <c r="E1451" s="1796">
        <v>1</v>
      </c>
      <c r="F1451" s="1797">
        <v>2</v>
      </c>
      <c r="G1451" s="1999" t="s">
        <v>5939</v>
      </c>
      <c r="H1451" s="1794">
        <v>1</v>
      </c>
      <c r="I1451" s="1794">
        <v>1</v>
      </c>
      <c r="J1451" s="2000">
        <v>2</v>
      </c>
      <c r="K1451" s="1798"/>
      <c r="L1451" s="1792">
        <v>13121011614</v>
      </c>
      <c r="M1451" s="1793">
        <v>1</v>
      </c>
      <c r="N1451" s="1793">
        <v>1</v>
      </c>
      <c r="O1451" s="1794">
        <v>2</v>
      </c>
    </row>
    <row r="1452" spans="3:15">
      <c r="C1452" s="1799" t="s">
        <v>5940</v>
      </c>
      <c r="D1452" s="1796">
        <v>1</v>
      </c>
      <c r="E1452" s="1796">
        <v>1</v>
      </c>
      <c r="F1452" s="1797">
        <v>2</v>
      </c>
      <c r="G1452" s="1999" t="s">
        <v>5940</v>
      </c>
      <c r="H1452" s="1794">
        <v>1</v>
      </c>
      <c r="I1452" s="1794">
        <v>1</v>
      </c>
      <c r="J1452" s="2000">
        <v>2</v>
      </c>
      <c r="K1452" s="1798"/>
      <c r="L1452" s="1792">
        <v>13121011615</v>
      </c>
      <c r="M1452" s="1793">
        <v>1</v>
      </c>
      <c r="N1452" s="1793">
        <v>1</v>
      </c>
      <c r="O1452" s="1794">
        <v>2</v>
      </c>
    </row>
    <row r="1453" spans="3:15">
      <c r="C1453" s="1799" t="s">
        <v>5941</v>
      </c>
      <c r="D1453" s="1796">
        <v>1</v>
      </c>
      <c r="E1453" s="1796">
        <v>1</v>
      </c>
      <c r="F1453" s="1797">
        <v>2</v>
      </c>
      <c r="G1453" s="1999" t="s">
        <v>5941</v>
      </c>
      <c r="H1453" s="1794">
        <v>1</v>
      </c>
      <c r="I1453" s="1794">
        <v>1</v>
      </c>
      <c r="J1453" s="2000">
        <v>2</v>
      </c>
      <c r="K1453" s="1798"/>
      <c r="L1453" s="1792">
        <v>13121011616</v>
      </c>
      <c r="M1453" s="1793">
        <v>1</v>
      </c>
      <c r="N1453" s="1793">
        <v>1</v>
      </c>
      <c r="O1453" s="1794">
        <v>2</v>
      </c>
    </row>
    <row r="1454" spans="3:15">
      <c r="C1454" s="1799" t="s">
        <v>5942</v>
      </c>
      <c r="D1454" s="1796">
        <v>1</v>
      </c>
      <c r="E1454" s="1796">
        <v>1</v>
      </c>
      <c r="F1454" s="1797">
        <v>2</v>
      </c>
      <c r="G1454" s="1999" t="s">
        <v>5942</v>
      </c>
      <c r="H1454" s="1794">
        <v>1</v>
      </c>
      <c r="I1454" s="1794">
        <v>1</v>
      </c>
      <c r="J1454" s="2000">
        <v>2</v>
      </c>
      <c r="K1454" s="1798"/>
      <c r="L1454" s="1792">
        <v>13121011617</v>
      </c>
      <c r="M1454" s="1793">
        <v>1</v>
      </c>
      <c r="N1454" s="1793">
        <v>1</v>
      </c>
      <c r="O1454" s="1794">
        <v>2</v>
      </c>
    </row>
    <row r="1455" spans="3:15">
      <c r="C1455" s="1799" t="s">
        <v>5943</v>
      </c>
      <c r="D1455" s="1796">
        <v>1</v>
      </c>
      <c r="E1455" s="1796">
        <v>1</v>
      </c>
      <c r="F1455" s="1797">
        <v>2</v>
      </c>
      <c r="G1455" s="1999" t="s">
        <v>5943</v>
      </c>
      <c r="H1455" s="1794">
        <v>1</v>
      </c>
      <c r="I1455" s="1794">
        <v>1</v>
      </c>
      <c r="J1455" s="2000">
        <v>2</v>
      </c>
      <c r="K1455" s="1798"/>
      <c r="L1455" s="1792">
        <v>13121011618</v>
      </c>
      <c r="M1455" s="1793">
        <v>1</v>
      </c>
      <c r="N1455" s="1793">
        <v>1</v>
      </c>
      <c r="O1455" s="1794">
        <v>2</v>
      </c>
    </row>
    <row r="1456" spans="3:15">
      <c r="C1456" s="1799" t="s">
        <v>5944</v>
      </c>
      <c r="D1456" s="1796">
        <v>1</v>
      </c>
      <c r="E1456" s="1796">
        <v>1</v>
      </c>
      <c r="F1456" s="1797">
        <v>2</v>
      </c>
      <c r="G1456" s="1999" t="s">
        <v>5944</v>
      </c>
      <c r="H1456" s="1794">
        <v>1</v>
      </c>
      <c r="I1456" s="1794">
        <v>1</v>
      </c>
      <c r="J1456" s="2000">
        <v>2</v>
      </c>
      <c r="K1456" s="1798"/>
      <c r="L1456" s="1792">
        <v>13121011619</v>
      </c>
      <c r="M1456" s="1793">
        <v>1</v>
      </c>
      <c r="N1456" s="1793">
        <v>1</v>
      </c>
      <c r="O1456" s="1794">
        <v>2</v>
      </c>
    </row>
    <row r="1457" spans="3:15">
      <c r="C1457" s="1799" t="s">
        <v>5945</v>
      </c>
      <c r="D1457" s="1796">
        <v>1</v>
      </c>
      <c r="E1457" s="1796">
        <v>1</v>
      </c>
      <c r="F1457" s="1797">
        <v>2</v>
      </c>
      <c r="G1457" s="1999" t="s">
        <v>5945</v>
      </c>
      <c r="H1457" s="1794">
        <v>1</v>
      </c>
      <c r="I1457" s="1794">
        <v>1</v>
      </c>
      <c r="J1457" s="2000">
        <v>2</v>
      </c>
      <c r="K1457" s="1798"/>
      <c r="L1457" s="1792">
        <v>13121011620</v>
      </c>
      <c r="M1457" s="1793">
        <v>1</v>
      </c>
      <c r="N1457" s="1793">
        <v>1</v>
      </c>
      <c r="O1457" s="1794">
        <v>2</v>
      </c>
    </row>
    <row r="1458" spans="3:15">
      <c r="C1458" s="1799" t="s">
        <v>5946</v>
      </c>
      <c r="D1458" s="1796">
        <v>1</v>
      </c>
      <c r="E1458" s="1796">
        <v>1</v>
      </c>
      <c r="F1458" s="1797">
        <v>2</v>
      </c>
      <c r="G1458" s="1999" t="s">
        <v>5946</v>
      </c>
      <c r="H1458" s="1794">
        <v>1</v>
      </c>
      <c r="I1458" s="1794">
        <v>1</v>
      </c>
      <c r="J1458" s="2000">
        <v>2</v>
      </c>
      <c r="K1458" s="1798"/>
      <c r="L1458" s="1792">
        <v>13121011621</v>
      </c>
      <c r="M1458" s="1793">
        <v>1</v>
      </c>
      <c r="N1458" s="1793">
        <v>1</v>
      </c>
      <c r="O1458" s="1794">
        <v>2</v>
      </c>
    </row>
    <row r="1459" spans="3:15">
      <c r="C1459" s="1799" t="s">
        <v>5947</v>
      </c>
      <c r="D1459" s="1796">
        <v>1</v>
      </c>
      <c r="E1459" s="1796">
        <v>1</v>
      </c>
      <c r="F1459" s="1797">
        <v>2</v>
      </c>
      <c r="G1459" s="1999" t="s">
        <v>5947</v>
      </c>
      <c r="H1459" s="1794">
        <v>1</v>
      </c>
      <c r="I1459" s="1794">
        <v>1</v>
      </c>
      <c r="J1459" s="2000">
        <v>2</v>
      </c>
      <c r="K1459" s="1798"/>
      <c r="L1459" s="1792">
        <v>13121011622</v>
      </c>
      <c r="M1459" s="1793">
        <v>1</v>
      </c>
      <c r="N1459" s="1793">
        <v>1</v>
      </c>
      <c r="O1459" s="1794">
        <v>2</v>
      </c>
    </row>
    <row r="1460" spans="3:15">
      <c r="C1460" s="1799" t="s">
        <v>5948</v>
      </c>
      <c r="D1460" s="1796">
        <v>1</v>
      </c>
      <c r="E1460" s="1796">
        <v>1</v>
      </c>
      <c r="F1460" s="1797">
        <v>2</v>
      </c>
      <c r="G1460" s="1999" t="s">
        <v>5948</v>
      </c>
      <c r="H1460" s="1794">
        <v>1</v>
      </c>
      <c r="I1460" s="1794">
        <v>1</v>
      </c>
      <c r="J1460" s="2000">
        <v>2</v>
      </c>
      <c r="K1460" s="1798"/>
      <c r="L1460" s="1792">
        <v>13121011623</v>
      </c>
      <c r="M1460" s="1793">
        <v>1</v>
      </c>
      <c r="N1460" s="1793">
        <v>1</v>
      </c>
      <c r="O1460" s="1794">
        <v>2</v>
      </c>
    </row>
    <row r="1461" spans="3:15">
      <c r="C1461" s="1799" t="s">
        <v>5949</v>
      </c>
      <c r="D1461" s="1796">
        <v>1</v>
      </c>
      <c r="E1461" s="1796">
        <v>1</v>
      </c>
      <c r="F1461" s="1797">
        <v>2</v>
      </c>
      <c r="G1461" s="1999" t="s">
        <v>5949</v>
      </c>
      <c r="H1461" s="1794">
        <v>1</v>
      </c>
      <c r="I1461" s="1794" t="s">
        <v>4483</v>
      </c>
      <c r="J1461" s="2000">
        <v>1</v>
      </c>
      <c r="K1461" s="1798"/>
      <c r="L1461" s="1792">
        <v>13121011624</v>
      </c>
      <c r="M1461" s="1793">
        <v>1</v>
      </c>
      <c r="N1461" s="1793">
        <v>1</v>
      </c>
      <c r="O1461" s="1794">
        <v>2</v>
      </c>
    </row>
    <row r="1462" spans="3:15">
      <c r="C1462" s="1799" t="s">
        <v>5950</v>
      </c>
      <c r="D1462" s="1796">
        <v>1</v>
      </c>
      <c r="E1462" s="1796">
        <v>1</v>
      </c>
      <c r="F1462" s="1797">
        <v>2</v>
      </c>
      <c r="G1462" s="1999" t="s">
        <v>5950</v>
      </c>
      <c r="H1462" s="1794">
        <v>1</v>
      </c>
      <c r="I1462" s="1794">
        <v>1</v>
      </c>
      <c r="J1462" s="2000">
        <v>2</v>
      </c>
      <c r="K1462" s="1798"/>
      <c r="L1462" s="1792">
        <v>13121011625</v>
      </c>
      <c r="M1462" s="1793">
        <v>1</v>
      </c>
      <c r="N1462" s="1793">
        <v>1</v>
      </c>
      <c r="O1462" s="1794">
        <v>2</v>
      </c>
    </row>
    <row r="1463" spans="3:15">
      <c r="C1463" s="1799" t="s">
        <v>5951</v>
      </c>
      <c r="D1463" s="1796">
        <v>1</v>
      </c>
      <c r="E1463" s="1796">
        <v>1</v>
      </c>
      <c r="F1463" s="1797">
        <v>2</v>
      </c>
      <c r="G1463" s="1999" t="s">
        <v>5951</v>
      </c>
      <c r="H1463" s="1794">
        <v>1</v>
      </c>
      <c r="I1463" s="1794">
        <v>1</v>
      </c>
      <c r="J1463" s="2000">
        <v>2</v>
      </c>
      <c r="K1463" s="1798"/>
      <c r="L1463" s="1792">
        <v>13121011626</v>
      </c>
      <c r="M1463" s="1793">
        <v>1</v>
      </c>
      <c r="N1463" s="1793">
        <v>1</v>
      </c>
      <c r="O1463" s="1794">
        <v>2</v>
      </c>
    </row>
    <row r="1464" spans="3:15">
      <c r="C1464" s="1799" t="s">
        <v>5952</v>
      </c>
      <c r="D1464" s="1796">
        <v>0</v>
      </c>
      <c r="E1464" s="1796">
        <v>0</v>
      </c>
      <c r="F1464" s="1797">
        <v>0</v>
      </c>
      <c r="G1464" s="1999" t="s">
        <v>5952</v>
      </c>
      <c r="H1464" s="1794">
        <v>0</v>
      </c>
      <c r="I1464" s="1794">
        <v>0</v>
      </c>
      <c r="J1464" s="2000">
        <v>0</v>
      </c>
      <c r="K1464" s="1798"/>
      <c r="L1464" s="1792">
        <v>13121011800</v>
      </c>
      <c r="M1464" s="1793">
        <v>0</v>
      </c>
      <c r="N1464" s="1793">
        <v>0</v>
      </c>
      <c r="O1464" s="1794">
        <v>0</v>
      </c>
    </row>
    <row r="1465" spans="3:15">
      <c r="C1465" s="1799" t="s">
        <v>5953</v>
      </c>
      <c r="D1465" s="1796">
        <v>0</v>
      </c>
      <c r="E1465" s="1796">
        <v>0</v>
      </c>
      <c r="F1465" s="1797">
        <v>0</v>
      </c>
      <c r="G1465" s="1999" t="s">
        <v>5953</v>
      </c>
      <c r="H1465" s="1794">
        <v>0</v>
      </c>
      <c r="I1465" s="1794" t="s">
        <v>4483</v>
      </c>
      <c r="J1465" s="2000">
        <v>0</v>
      </c>
      <c r="K1465" s="1798"/>
      <c r="L1465" s="1792">
        <v>13121011900</v>
      </c>
      <c r="M1465" s="1793">
        <v>0</v>
      </c>
      <c r="N1465" s="1793">
        <v>0</v>
      </c>
      <c r="O1465" s="1794">
        <v>0</v>
      </c>
    </row>
    <row r="1466" spans="3:15">
      <c r="C1466" s="1799" t="s">
        <v>5954</v>
      </c>
      <c r="D1466" s="1796">
        <v>0</v>
      </c>
      <c r="E1466" s="1796">
        <v>0</v>
      </c>
      <c r="F1466" s="1797">
        <v>0</v>
      </c>
      <c r="G1466" s="1999" t="s">
        <v>5954</v>
      </c>
      <c r="H1466" s="1794">
        <v>0</v>
      </c>
      <c r="I1466" s="1794">
        <v>0</v>
      </c>
      <c r="J1466" s="2000">
        <v>0</v>
      </c>
      <c r="K1466" s="1798"/>
      <c r="L1466" s="1792">
        <v>13121012000</v>
      </c>
      <c r="M1466" s="1793">
        <v>0</v>
      </c>
      <c r="N1466" s="1793">
        <v>0</v>
      </c>
      <c r="O1466" s="1794">
        <v>0</v>
      </c>
    </row>
    <row r="1467" spans="3:15">
      <c r="C1467" s="1799" t="s">
        <v>5955</v>
      </c>
      <c r="D1467" s="1796">
        <v>1</v>
      </c>
      <c r="E1467" s="1796">
        <v>0</v>
      </c>
      <c r="F1467" s="1797">
        <v>1</v>
      </c>
      <c r="G1467" s="1999" t="s">
        <v>5955</v>
      </c>
      <c r="H1467" s="1794">
        <v>1</v>
      </c>
      <c r="I1467" s="1794">
        <v>0</v>
      </c>
      <c r="J1467" s="2000">
        <v>1</v>
      </c>
      <c r="K1467" s="1798"/>
      <c r="L1467" s="1792">
        <v>13121012300</v>
      </c>
      <c r="M1467" s="1793">
        <v>1</v>
      </c>
      <c r="N1467" s="1793">
        <v>0</v>
      </c>
      <c r="O1467" s="1794">
        <v>1</v>
      </c>
    </row>
    <row r="1468" spans="3:15">
      <c r="C1468" s="1799" t="s">
        <v>5956</v>
      </c>
      <c r="D1468" s="1796" t="s">
        <v>4483</v>
      </c>
      <c r="E1468" s="1796" t="s">
        <v>4483</v>
      </c>
      <c r="F1468" s="1797">
        <v>0</v>
      </c>
      <c r="G1468" s="1999" t="s">
        <v>5956</v>
      </c>
      <c r="H1468" s="1794" t="s">
        <v>4483</v>
      </c>
      <c r="I1468" s="1794" t="s">
        <v>4483</v>
      </c>
      <c r="J1468" s="2000">
        <v>0</v>
      </c>
      <c r="K1468" s="1798"/>
      <c r="L1468" s="1792">
        <v>13121980000</v>
      </c>
      <c r="M1468" s="1793">
        <v>0</v>
      </c>
      <c r="N1468" s="1793">
        <v>0</v>
      </c>
      <c r="O1468" s="1794">
        <v>0</v>
      </c>
    </row>
    <row r="1469" spans="3:15">
      <c r="C1469" s="1799" t="s">
        <v>5957</v>
      </c>
      <c r="D1469" s="1796">
        <v>0</v>
      </c>
      <c r="E1469" s="1796">
        <v>0</v>
      </c>
      <c r="F1469" s="1797">
        <v>0</v>
      </c>
      <c r="G1469" s="1999" t="s">
        <v>5957</v>
      </c>
      <c r="H1469" s="1794">
        <v>0</v>
      </c>
      <c r="I1469" s="1794">
        <v>1</v>
      </c>
      <c r="J1469" s="2000">
        <v>1</v>
      </c>
      <c r="K1469" s="1798"/>
      <c r="L1469" s="1792">
        <v>13123080100</v>
      </c>
      <c r="M1469" s="1793">
        <v>0</v>
      </c>
      <c r="N1469" s="1793">
        <v>1</v>
      </c>
      <c r="O1469" s="1794">
        <v>1</v>
      </c>
    </row>
    <row r="1470" spans="3:15">
      <c r="C1470" s="1799" t="s">
        <v>5958</v>
      </c>
      <c r="D1470" s="1796">
        <v>0</v>
      </c>
      <c r="E1470" s="1796">
        <v>0</v>
      </c>
      <c r="F1470" s="1797">
        <v>0</v>
      </c>
      <c r="G1470" s="1999" t="s">
        <v>5958</v>
      </c>
      <c r="H1470" s="1794">
        <v>0</v>
      </c>
      <c r="I1470" s="1794">
        <v>0</v>
      </c>
      <c r="J1470" s="2000">
        <v>0</v>
      </c>
      <c r="K1470" s="1798"/>
      <c r="L1470" s="1792">
        <v>13123080200</v>
      </c>
      <c r="M1470" s="1793">
        <v>0</v>
      </c>
      <c r="N1470" s="1793">
        <v>0</v>
      </c>
      <c r="O1470" s="1794">
        <v>0</v>
      </c>
    </row>
    <row r="1471" spans="3:15">
      <c r="C1471" s="1799" t="s">
        <v>5959</v>
      </c>
      <c r="D1471" s="1796">
        <v>0</v>
      </c>
      <c r="E1471" s="1796">
        <v>0</v>
      </c>
      <c r="F1471" s="1797">
        <v>0</v>
      </c>
      <c r="G1471" s="1999" t="s">
        <v>5959</v>
      </c>
      <c r="H1471" s="1794">
        <v>0</v>
      </c>
      <c r="I1471" s="1794">
        <v>0</v>
      </c>
      <c r="J1471" s="2000">
        <v>0</v>
      </c>
      <c r="K1471" s="1798"/>
      <c r="L1471" s="1792">
        <v>13123080300</v>
      </c>
      <c r="M1471" s="1793">
        <v>0</v>
      </c>
      <c r="N1471" s="1793">
        <v>0</v>
      </c>
      <c r="O1471" s="1794">
        <v>0</v>
      </c>
    </row>
    <row r="1472" spans="3:15">
      <c r="C1472" s="1799" t="s">
        <v>5960</v>
      </c>
      <c r="D1472" s="1796">
        <v>0</v>
      </c>
      <c r="E1472" s="1796">
        <v>0</v>
      </c>
      <c r="F1472" s="1797">
        <v>0</v>
      </c>
      <c r="G1472" s="1999" t="s">
        <v>5960</v>
      </c>
      <c r="H1472" s="1794">
        <v>0</v>
      </c>
      <c r="I1472" s="1794">
        <v>0</v>
      </c>
      <c r="J1472" s="2000">
        <v>0</v>
      </c>
      <c r="K1472" s="1798"/>
      <c r="L1472" s="1792">
        <v>13123080400</v>
      </c>
      <c r="M1472" s="1793">
        <v>0</v>
      </c>
      <c r="N1472" s="1793">
        <v>0</v>
      </c>
      <c r="O1472" s="1794">
        <v>0</v>
      </c>
    </row>
    <row r="1473" spans="3:15">
      <c r="C1473" s="1799" t="s">
        <v>5961</v>
      </c>
      <c r="D1473" s="1796">
        <v>0</v>
      </c>
      <c r="E1473" s="1796">
        <v>0</v>
      </c>
      <c r="F1473" s="1797">
        <v>0</v>
      </c>
      <c r="G1473" s="1999" t="s">
        <v>5961</v>
      </c>
      <c r="H1473" s="1794">
        <v>0</v>
      </c>
      <c r="I1473" s="1794">
        <v>1</v>
      </c>
      <c r="J1473" s="2000">
        <v>1</v>
      </c>
      <c r="K1473" s="1798"/>
      <c r="L1473" s="1792">
        <v>13123080500</v>
      </c>
      <c r="M1473" s="1793">
        <v>0</v>
      </c>
      <c r="N1473" s="1793">
        <v>1</v>
      </c>
      <c r="O1473" s="1794">
        <v>1</v>
      </c>
    </row>
    <row r="1474" spans="3:15">
      <c r="C1474" s="1799" t="s">
        <v>5962</v>
      </c>
      <c r="D1474" s="1796">
        <v>0</v>
      </c>
      <c r="E1474" s="1796">
        <v>0</v>
      </c>
      <c r="F1474" s="1797">
        <v>0</v>
      </c>
      <c r="G1474" s="1999" t="s">
        <v>5962</v>
      </c>
      <c r="H1474" s="1794">
        <v>0</v>
      </c>
      <c r="I1474" s="1794">
        <v>1</v>
      </c>
      <c r="J1474" s="2000">
        <v>1</v>
      </c>
      <c r="K1474" s="1798"/>
      <c r="L1474" s="1792">
        <v>13125010100</v>
      </c>
      <c r="M1474" s="1793">
        <v>0</v>
      </c>
      <c r="N1474" s="1793">
        <v>1</v>
      </c>
      <c r="O1474" s="1794">
        <v>1</v>
      </c>
    </row>
    <row r="1475" spans="3:15">
      <c r="C1475" s="1799" t="s">
        <v>5963</v>
      </c>
      <c r="D1475" s="1796">
        <v>1</v>
      </c>
      <c r="E1475" s="1796">
        <v>1</v>
      </c>
      <c r="F1475" s="1797">
        <v>2</v>
      </c>
      <c r="G1475" s="1999" t="s">
        <v>5963</v>
      </c>
      <c r="H1475" s="1794">
        <v>1</v>
      </c>
      <c r="I1475" s="1794">
        <v>1</v>
      </c>
      <c r="J1475" s="2000">
        <v>2</v>
      </c>
      <c r="K1475" s="1798"/>
      <c r="L1475" s="1792">
        <v>13127000101</v>
      </c>
      <c r="M1475" s="1793">
        <v>1</v>
      </c>
      <c r="N1475" s="1793">
        <v>1</v>
      </c>
      <c r="O1475" s="1794">
        <v>2</v>
      </c>
    </row>
    <row r="1476" spans="3:15">
      <c r="C1476" s="1799" t="s">
        <v>5964</v>
      </c>
      <c r="D1476" s="1796">
        <v>1</v>
      </c>
      <c r="E1476" s="1796">
        <v>1</v>
      </c>
      <c r="F1476" s="1797">
        <v>2</v>
      </c>
      <c r="G1476" s="1999" t="s">
        <v>5964</v>
      </c>
      <c r="H1476" s="1794">
        <v>1</v>
      </c>
      <c r="I1476" s="1794">
        <v>1</v>
      </c>
      <c r="J1476" s="2000">
        <v>2</v>
      </c>
      <c r="K1476" s="1798"/>
      <c r="L1476" s="1792">
        <v>13127000102</v>
      </c>
      <c r="M1476" s="1793">
        <v>1</v>
      </c>
      <c r="N1476" s="1793">
        <v>1</v>
      </c>
      <c r="O1476" s="1794">
        <v>2</v>
      </c>
    </row>
    <row r="1477" spans="3:15">
      <c r="C1477" s="1799" t="s">
        <v>5965</v>
      </c>
      <c r="D1477" s="1796">
        <v>1</v>
      </c>
      <c r="E1477" s="1796">
        <v>1</v>
      </c>
      <c r="F1477" s="1797">
        <v>2</v>
      </c>
      <c r="G1477" s="1999" t="s">
        <v>5965</v>
      </c>
      <c r="H1477" s="1794">
        <v>1</v>
      </c>
      <c r="I1477" s="1794">
        <v>1</v>
      </c>
      <c r="J1477" s="2000">
        <v>2</v>
      </c>
      <c r="K1477" s="1798"/>
      <c r="L1477" s="1792">
        <v>13127000200</v>
      </c>
      <c r="M1477" s="1793">
        <v>1</v>
      </c>
      <c r="N1477" s="1793">
        <v>1</v>
      </c>
      <c r="O1477" s="1794">
        <v>2</v>
      </c>
    </row>
    <row r="1478" spans="3:15">
      <c r="C1478" s="1799" t="s">
        <v>5966</v>
      </c>
      <c r="D1478" s="1796">
        <v>1</v>
      </c>
      <c r="E1478" s="1796">
        <v>1</v>
      </c>
      <c r="F1478" s="1797">
        <v>2</v>
      </c>
      <c r="G1478" s="1999" t="s">
        <v>5966</v>
      </c>
      <c r="H1478" s="1794">
        <v>1</v>
      </c>
      <c r="I1478" s="1794">
        <v>1</v>
      </c>
      <c r="J1478" s="2000">
        <v>2</v>
      </c>
      <c r="K1478" s="1798"/>
      <c r="L1478" s="1792">
        <v>13127000300</v>
      </c>
      <c r="M1478" s="1793">
        <v>1</v>
      </c>
      <c r="N1478" s="1793">
        <v>1</v>
      </c>
      <c r="O1478" s="1794">
        <v>2</v>
      </c>
    </row>
    <row r="1479" spans="3:15">
      <c r="C1479" s="1799" t="s">
        <v>5967</v>
      </c>
      <c r="D1479" s="1796">
        <v>1</v>
      </c>
      <c r="E1479" s="1796">
        <v>0</v>
      </c>
      <c r="F1479" s="1797">
        <v>1</v>
      </c>
      <c r="G1479" s="1999" t="s">
        <v>5967</v>
      </c>
      <c r="H1479" s="1794">
        <v>0</v>
      </c>
      <c r="I1479" s="1794">
        <v>0</v>
      </c>
      <c r="J1479" s="2000">
        <v>0</v>
      </c>
      <c r="K1479" s="1798"/>
      <c r="L1479" s="1792">
        <v>13127000401</v>
      </c>
      <c r="M1479" s="1793">
        <v>1</v>
      </c>
      <c r="N1479" s="1793">
        <v>0</v>
      </c>
      <c r="O1479" s="1794">
        <v>1</v>
      </c>
    </row>
    <row r="1480" spans="3:15">
      <c r="C1480" s="1799" t="s">
        <v>5968</v>
      </c>
      <c r="D1480" s="1796">
        <v>0</v>
      </c>
      <c r="E1480" s="1796">
        <v>1</v>
      </c>
      <c r="F1480" s="1797">
        <v>1</v>
      </c>
      <c r="G1480" s="1999" t="s">
        <v>5968</v>
      </c>
      <c r="H1480" s="1794">
        <v>0</v>
      </c>
      <c r="I1480" s="1794">
        <v>1</v>
      </c>
      <c r="J1480" s="2000">
        <v>1</v>
      </c>
      <c r="K1480" s="1798"/>
      <c r="L1480" s="1792">
        <v>13127000403</v>
      </c>
      <c r="M1480" s="1793">
        <v>0</v>
      </c>
      <c r="N1480" s="1793">
        <v>1</v>
      </c>
      <c r="O1480" s="1794">
        <v>1</v>
      </c>
    </row>
    <row r="1481" spans="3:15">
      <c r="C1481" s="1799" t="s">
        <v>5969</v>
      </c>
      <c r="D1481" s="1796">
        <v>0</v>
      </c>
      <c r="E1481" s="1796">
        <v>1</v>
      </c>
      <c r="F1481" s="1797">
        <v>1</v>
      </c>
      <c r="G1481" s="1999" t="s">
        <v>5969</v>
      </c>
      <c r="H1481" s="1794">
        <v>0</v>
      </c>
      <c r="I1481" s="1794">
        <v>1</v>
      </c>
      <c r="J1481" s="2000">
        <v>1</v>
      </c>
      <c r="K1481" s="1798"/>
      <c r="L1481" s="1792">
        <v>13127000404</v>
      </c>
      <c r="M1481" s="1793">
        <v>0</v>
      </c>
      <c r="N1481" s="1793">
        <v>1</v>
      </c>
      <c r="O1481" s="1794">
        <v>1</v>
      </c>
    </row>
    <row r="1482" spans="3:15">
      <c r="C1482" s="1799" t="s">
        <v>5970</v>
      </c>
      <c r="D1482" s="1796">
        <v>0</v>
      </c>
      <c r="E1482" s="1796">
        <v>0</v>
      </c>
      <c r="F1482" s="1797">
        <v>0</v>
      </c>
      <c r="G1482" s="1999" t="s">
        <v>5970</v>
      </c>
      <c r="H1482" s="1794">
        <v>0</v>
      </c>
      <c r="I1482" s="1794">
        <v>0</v>
      </c>
      <c r="J1482" s="2000">
        <v>0</v>
      </c>
      <c r="K1482" s="1798"/>
      <c r="L1482" s="1792">
        <v>13127000501</v>
      </c>
      <c r="M1482" s="1793">
        <v>0</v>
      </c>
      <c r="N1482" s="1793">
        <v>0</v>
      </c>
      <c r="O1482" s="1794">
        <v>0</v>
      </c>
    </row>
    <row r="1483" spans="3:15">
      <c r="C1483" s="1799" t="s">
        <v>5971</v>
      </c>
      <c r="D1483" s="1796">
        <v>0</v>
      </c>
      <c r="E1483" s="1796">
        <v>0</v>
      </c>
      <c r="F1483" s="1797">
        <v>0</v>
      </c>
      <c r="G1483" s="1999" t="s">
        <v>5971</v>
      </c>
      <c r="H1483" s="1794">
        <v>0</v>
      </c>
      <c r="I1483" s="1794">
        <v>0</v>
      </c>
      <c r="J1483" s="2000">
        <v>0</v>
      </c>
      <c r="K1483" s="1798"/>
      <c r="L1483" s="1792">
        <v>13127000503</v>
      </c>
      <c r="M1483" s="1793">
        <v>0</v>
      </c>
      <c r="N1483" s="1793">
        <v>0</v>
      </c>
      <c r="O1483" s="1794">
        <v>0</v>
      </c>
    </row>
    <row r="1484" spans="3:15">
      <c r="C1484" s="1799" t="s">
        <v>5972</v>
      </c>
      <c r="D1484" s="1796">
        <v>0</v>
      </c>
      <c r="E1484" s="1796">
        <v>0</v>
      </c>
      <c r="F1484" s="1797">
        <v>0</v>
      </c>
      <c r="G1484" s="1999" t="s">
        <v>5972</v>
      </c>
      <c r="H1484" s="1794">
        <v>0</v>
      </c>
      <c r="I1484" s="1794">
        <v>0</v>
      </c>
      <c r="J1484" s="2000">
        <v>0</v>
      </c>
      <c r="K1484" s="1798"/>
      <c r="L1484" s="1792">
        <v>13127000504</v>
      </c>
      <c r="M1484" s="1793">
        <v>0</v>
      </c>
      <c r="N1484" s="1793">
        <v>0</v>
      </c>
      <c r="O1484" s="1794">
        <v>0</v>
      </c>
    </row>
    <row r="1485" spans="3:15">
      <c r="C1485" s="1799" t="s">
        <v>5973</v>
      </c>
      <c r="D1485" s="1796">
        <v>0</v>
      </c>
      <c r="E1485" s="1796">
        <v>0</v>
      </c>
      <c r="F1485" s="1797">
        <v>0</v>
      </c>
      <c r="G1485" s="1999" t="s">
        <v>5973</v>
      </c>
      <c r="H1485" s="1794">
        <v>0</v>
      </c>
      <c r="I1485" s="1794">
        <v>0</v>
      </c>
      <c r="J1485" s="2000">
        <v>0</v>
      </c>
      <c r="K1485" s="1798"/>
      <c r="L1485" s="1792">
        <v>13127000600</v>
      </c>
      <c r="M1485" s="1793">
        <v>0</v>
      </c>
      <c r="N1485" s="1793">
        <v>0</v>
      </c>
      <c r="O1485" s="1794">
        <v>0</v>
      </c>
    </row>
    <row r="1486" spans="3:15">
      <c r="C1486" s="1799" t="s">
        <v>5974</v>
      </c>
      <c r="D1486" s="1796">
        <v>0</v>
      </c>
      <c r="E1486" s="1796">
        <v>0</v>
      </c>
      <c r="F1486" s="1797">
        <v>0</v>
      </c>
      <c r="G1486" s="1999" t="s">
        <v>5974</v>
      </c>
      <c r="H1486" s="1794">
        <v>0</v>
      </c>
      <c r="I1486" s="1794">
        <v>0</v>
      </c>
      <c r="J1486" s="2000">
        <v>0</v>
      </c>
      <c r="K1486" s="1798"/>
      <c r="L1486" s="1792">
        <v>13127000700</v>
      </c>
      <c r="M1486" s="1793">
        <v>0</v>
      </c>
      <c r="N1486" s="1793">
        <v>0</v>
      </c>
      <c r="O1486" s="1794">
        <v>0</v>
      </c>
    </row>
    <row r="1487" spans="3:15">
      <c r="C1487" s="1799" t="s">
        <v>5975</v>
      </c>
      <c r="D1487" s="1796">
        <v>0</v>
      </c>
      <c r="E1487" s="1796">
        <v>0</v>
      </c>
      <c r="F1487" s="1797">
        <v>0</v>
      </c>
      <c r="G1487" s="1999" t="s">
        <v>5975</v>
      </c>
      <c r="H1487" s="1794">
        <v>0</v>
      </c>
      <c r="I1487" s="1794">
        <v>0</v>
      </c>
      <c r="J1487" s="2000">
        <v>0</v>
      </c>
      <c r="K1487" s="1798"/>
      <c r="L1487" s="1792">
        <v>13127000800</v>
      </c>
      <c r="M1487" s="1793">
        <v>0</v>
      </c>
      <c r="N1487" s="1793">
        <v>0</v>
      </c>
      <c r="O1487" s="1794">
        <v>0</v>
      </c>
    </row>
    <row r="1488" spans="3:15">
      <c r="C1488" s="1799" t="s">
        <v>5976</v>
      </c>
      <c r="D1488" s="1796">
        <v>0</v>
      </c>
      <c r="E1488" s="1796">
        <v>0</v>
      </c>
      <c r="F1488" s="1797">
        <v>0</v>
      </c>
      <c r="G1488" s="1999" t="s">
        <v>5976</v>
      </c>
      <c r="H1488" s="1794">
        <v>0</v>
      </c>
      <c r="I1488" s="1794">
        <v>0</v>
      </c>
      <c r="J1488" s="2000">
        <v>0</v>
      </c>
      <c r="K1488" s="1798"/>
      <c r="L1488" s="1792">
        <v>13127000900</v>
      </c>
      <c r="M1488" s="1793">
        <v>0</v>
      </c>
      <c r="N1488" s="1793">
        <v>0</v>
      </c>
      <c r="O1488" s="1794">
        <v>0</v>
      </c>
    </row>
    <row r="1489" spans="3:15">
      <c r="C1489" s="1799" t="s">
        <v>5977</v>
      </c>
      <c r="D1489" s="1796">
        <v>1</v>
      </c>
      <c r="E1489" s="1796">
        <v>1</v>
      </c>
      <c r="F1489" s="1797">
        <v>2</v>
      </c>
      <c r="G1489" s="1999" t="s">
        <v>5977</v>
      </c>
      <c r="H1489" s="1794">
        <v>1</v>
      </c>
      <c r="I1489" s="1794">
        <v>0</v>
      </c>
      <c r="J1489" s="2000">
        <v>1</v>
      </c>
      <c r="K1489" s="1798"/>
      <c r="L1489" s="1792">
        <v>13127001000</v>
      </c>
      <c r="M1489" s="1793">
        <v>1</v>
      </c>
      <c r="N1489" s="1793">
        <v>1</v>
      </c>
      <c r="O1489" s="1794">
        <v>2</v>
      </c>
    </row>
    <row r="1490" spans="3:15">
      <c r="C1490" s="1799" t="s">
        <v>5978</v>
      </c>
      <c r="D1490" s="1796" t="s">
        <v>4483</v>
      </c>
      <c r="E1490" s="1796" t="s">
        <v>4483</v>
      </c>
      <c r="F1490" s="1797">
        <v>0</v>
      </c>
      <c r="G1490" s="1999" t="s">
        <v>5978</v>
      </c>
      <c r="H1490" s="1794" t="s">
        <v>4483</v>
      </c>
      <c r="I1490" s="1794" t="s">
        <v>4483</v>
      </c>
      <c r="J1490" s="2000">
        <v>0</v>
      </c>
      <c r="K1490" s="1798"/>
      <c r="L1490" s="1792">
        <v>13127990000</v>
      </c>
      <c r="M1490" s="1793">
        <v>0</v>
      </c>
      <c r="N1490" s="1793">
        <v>0</v>
      </c>
      <c r="O1490" s="1794">
        <v>0</v>
      </c>
    </row>
    <row r="1491" spans="3:15">
      <c r="C1491" s="1799" t="s">
        <v>5979</v>
      </c>
      <c r="D1491" s="1796">
        <v>0</v>
      </c>
      <c r="E1491" s="1796">
        <v>0</v>
      </c>
      <c r="F1491" s="1797">
        <v>0</v>
      </c>
      <c r="G1491" s="1999" t="s">
        <v>5979</v>
      </c>
      <c r="H1491" s="1794">
        <v>0</v>
      </c>
      <c r="I1491" s="1794">
        <v>0</v>
      </c>
      <c r="J1491" s="2000">
        <v>0</v>
      </c>
      <c r="K1491" s="1798"/>
      <c r="L1491" s="1792">
        <v>13129970100</v>
      </c>
      <c r="M1491" s="1793">
        <v>0</v>
      </c>
      <c r="N1491" s="1793">
        <v>0</v>
      </c>
      <c r="O1491" s="1794">
        <v>0</v>
      </c>
    </row>
    <row r="1492" spans="3:15">
      <c r="C1492" s="1799" t="s">
        <v>5980</v>
      </c>
      <c r="D1492" s="1796">
        <v>0</v>
      </c>
      <c r="E1492" s="1796">
        <v>0</v>
      </c>
      <c r="F1492" s="1797">
        <v>0</v>
      </c>
      <c r="G1492" s="1999" t="s">
        <v>5980</v>
      </c>
      <c r="H1492" s="1794">
        <v>0</v>
      </c>
      <c r="I1492" s="1794">
        <v>0</v>
      </c>
      <c r="J1492" s="2000">
        <v>0</v>
      </c>
      <c r="K1492" s="1798"/>
      <c r="L1492" s="1792">
        <v>13129970200</v>
      </c>
      <c r="M1492" s="1793">
        <v>0</v>
      </c>
      <c r="N1492" s="1793">
        <v>0</v>
      </c>
      <c r="O1492" s="1794">
        <v>0</v>
      </c>
    </row>
    <row r="1493" spans="3:15">
      <c r="C1493" s="1799" t="s">
        <v>5981</v>
      </c>
      <c r="D1493" s="1796">
        <v>0</v>
      </c>
      <c r="E1493" s="1796">
        <v>0</v>
      </c>
      <c r="F1493" s="1797">
        <v>0</v>
      </c>
      <c r="G1493" s="1999" t="s">
        <v>5981</v>
      </c>
      <c r="H1493" s="1794">
        <v>0</v>
      </c>
      <c r="I1493" s="1794">
        <v>0</v>
      </c>
      <c r="J1493" s="2000">
        <v>0</v>
      </c>
      <c r="K1493" s="1798"/>
      <c r="L1493" s="1792">
        <v>13129970300</v>
      </c>
      <c r="M1493" s="1793">
        <v>0</v>
      </c>
      <c r="N1493" s="1793">
        <v>0</v>
      </c>
      <c r="O1493" s="1794">
        <v>0</v>
      </c>
    </row>
    <row r="1494" spans="3:15">
      <c r="C1494" s="1799" t="s">
        <v>5982</v>
      </c>
      <c r="D1494" s="1796">
        <v>0</v>
      </c>
      <c r="E1494" s="1796">
        <v>0</v>
      </c>
      <c r="F1494" s="1797">
        <v>0</v>
      </c>
      <c r="G1494" s="1999" t="s">
        <v>5982</v>
      </c>
      <c r="H1494" s="1794">
        <v>0</v>
      </c>
      <c r="I1494" s="1794">
        <v>0</v>
      </c>
      <c r="J1494" s="2000">
        <v>0</v>
      </c>
      <c r="K1494" s="1798"/>
      <c r="L1494" s="1792">
        <v>13129970400</v>
      </c>
      <c r="M1494" s="1793">
        <v>0</v>
      </c>
      <c r="N1494" s="1793">
        <v>0</v>
      </c>
      <c r="O1494" s="1794">
        <v>0</v>
      </c>
    </row>
    <row r="1495" spans="3:15">
      <c r="C1495" s="1799" t="s">
        <v>5983</v>
      </c>
      <c r="D1495" s="1796">
        <v>0</v>
      </c>
      <c r="E1495" s="1796">
        <v>0</v>
      </c>
      <c r="F1495" s="1797">
        <v>0</v>
      </c>
      <c r="G1495" s="1999" t="s">
        <v>5983</v>
      </c>
      <c r="H1495" s="1794">
        <v>0</v>
      </c>
      <c r="I1495" s="1794">
        <v>0</v>
      </c>
      <c r="J1495" s="2000">
        <v>0</v>
      </c>
      <c r="K1495" s="1798"/>
      <c r="L1495" s="1792">
        <v>13129970500</v>
      </c>
      <c r="M1495" s="1793">
        <v>0</v>
      </c>
      <c r="N1495" s="1793">
        <v>0</v>
      </c>
      <c r="O1495" s="1794">
        <v>0</v>
      </c>
    </row>
    <row r="1496" spans="3:15">
      <c r="C1496" s="1799" t="s">
        <v>5984</v>
      </c>
      <c r="D1496" s="1796">
        <v>0</v>
      </c>
      <c r="E1496" s="1796">
        <v>0</v>
      </c>
      <c r="F1496" s="1797">
        <v>0</v>
      </c>
      <c r="G1496" s="1999" t="s">
        <v>5984</v>
      </c>
      <c r="H1496" s="1794">
        <v>0</v>
      </c>
      <c r="I1496" s="1794">
        <v>0</v>
      </c>
      <c r="J1496" s="2000">
        <v>0</v>
      </c>
      <c r="K1496" s="1798"/>
      <c r="L1496" s="1792">
        <v>13129970600</v>
      </c>
      <c r="M1496" s="1793">
        <v>0</v>
      </c>
      <c r="N1496" s="1793">
        <v>0</v>
      </c>
      <c r="O1496" s="1794">
        <v>0</v>
      </c>
    </row>
    <row r="1497" spans="3:15">
      <c r="C1497" s="1799" t="s">
        <v>5985</v>
      </c>
      <c r="D1497" s="1796">
        <v>0</v>
      </c>
      <c r="E1497" s="1796">
        <v>0</v>
      </c>
      <c r="F1497" s="1797">
        <v>0</v>
      </c>
      <c r="G1497" s="1999" t="s">
        <v>5985</v>
      </c>
      <c r="H1497" s="1794">
        <v>0</v>
      </c>
      <c r="I1497" s="1794">
        <v>0</v>
      </c>
      <c r="J1497" s="2000">
        <v>0</v>
      </c>
      <c r="K1497" s="1798"/>
      <c r="L1497" s="1792">
        <v>13129970700</v>
      </c>
      <c r="M1497" s="1793">
        <v>0</v>
      </c>
      <c r="N1497" s="1793">
        <v>0</v>
      </c>
      <c r="O1497" s="1794">
        <v>0</v>
      </c>
    </row>
    <row r="1498" spans="3:15">
      <c r="C1498" s="1799" t="s">
        <v>5986</v>
      </c>
      <c r="D1498" s="1796">
        <v>1</v>
      </c>
      <c r="E1498" s="1796">
        <v>1</v>
      </c>
      <c r="F1498" s="1797">
        <v>2</v>
      </c>
      <c r="G1498" s="1999" t="s">
        <v>5986</v>
      </c>
      <c r="H1498" s="1794">
        <v>1</v>
      </c>
      <c r="I1498" s="1794">
        <v>1</v>
      </c>
      <c r="J1498" s="2000">
        <v>2</v>
      </c>
      <c r="K1498" s="1798"/>
      <c r="L1498" s="1792">
        <v>13129970800</v>
      </c>
      <c r="M1498" s="1793">
        <v>1</v>
      </c>
      <c r="N1498" s="1793">
        <v>1</v>
      </c>
      <c r="O1498" s="1794">
        <v>2</v>
      </c>
    </row>
    <row r="1499" spans="3:15">
      <c r="C1499" s="1799" t="s">
        <v>5987</v>
      </c>
      <c r="D1499" s="1796">
        <v>1</v>
      </c>
      <c r="E1499" s="1796">
        <v>0</v>
      </c>
      <c r="F1499" s="1797">
        <v>1</v>
      </c>
      <c r="G1499" s="1999" t="s">
        <v>5987</v>
      </c>
      <c r="H1499" s="1794">
        <v>1</v>
      </c>
      <c r="I1499" s="1794">
        <v>1</v>
      </c>
      <c r="J1499" s="2000">
        <v>2</v>
      </c>
      <c r="K1499" s="1798"/>
      <c r="L1499" s="1792">
        <v>13129970900</v>
      </c>
      <c r="M1499" s="1793">
        <v>1</v>
      </c>
      <c r="N1499" s="1793">
        <v>1</v>
      </c>
      <c r="O1499" s="1794">
        <v>2</v>
      </c>
    </row>
    <row r="1500" spans="3:15">
      <c r="C1500" s="1799" t="s">
        <v>5988</v>
      </c>
      <c r="D1500" s="1796">
        <v>0</v>
      </c>
      <c r="E1500" s="1796">
        <v>0</v>
      </c>
      <c r="F1500" s="1797">
        <v>0</v>
      </c>
      <c r="G1500" s="1999" t="s">
        <v>5988</v>
      </c>
      <c r="H1500" s="1794">
        <v>0</v>
      </c>
      <c r="I1500" s="1794">
        <v>1</v>
      </c>
      <c r="J1500" s="2000">
        <v>1</v>
      </c>
      <c r="K1500" s="1798"/>
      <c r="L1500" s="1792">
        <v>13131950100</v>
      </c>
      <c r="M1500" s="1793">
        <v>0</v>
      </c>
      <c r="N1500" s="1793">
        <v>1</v>
      </c>
      <c r="O1500" s="1794">
        <v>1</v>
      </c>
    </row>
    <row r="1501" spans="3:15">
      <c r="C1501" s="1799" t="s">
        <v>5989</v>
      </c>
      <c r="D1501" s="1796">
        <v>0</v>
      </c>
      <c r="E1501" s="1796">
        <v>0</v>
      </c>
      <c r="F1501" s="1797">
        <v>0</v>
      </c>
      <c r="G1501" s="1999" t="s">
        <v>5989</v>
      </c>
      <c r="H1501" s="1794">
        <v>0</v>
      </c>
      <c r="I1501" s="1794">
        <v>0</v>
      </c>
      <c r="J1501" s="2000">
        <v>0</v>
      </c>
      <c r="K1501" s="1798"/>
      <c r="L1501" s="1792">
        <v>13131950200</v>
      </c>
      <c r="M1501" s="1793">
        <v>0</v>
      </c>
      <c r="N1501" s="1793">
        <v>0</v>
      </c>
      <c r="O1501" s="1794">
        <v>0</v>
      </c>
    </row>
    <row r="1502" spans="3:15">
      <c r="C1502" s="1799" t="s">
        <v>5990</v>
      </c>
      <c r="D1502" s="1796">
        <v>0</v>
      </c>
      <c r="E1502" s="1796">
        <v>0</v>
      </c>
      <c r="F1502" s="1797">
        <v>0</v>
      </c>
      <c r="G1502" s="1999" t="s">
        <v>5990</v>
      </c>
      <c r="H1502" s="1794">
        <v>0</v>
      </c>
      <c r="I1502" s="1794">
        <v>0</v>
      </c>
      <c r="J1502" s="2000">
        <v>0</v>
      </c>
      <c r="K1502" s="1798"/>
      <c r="L1502" s="1792">
        <v>13131950300</v>
      </c>
      <c r="M1502" s="1793">
        <v>0</v>
      </c>
      <c r="N1502" s="1793">
        <v>0</v>
      </c>
      <c r="O1502" s="1794">
        <v>0</v>
      </c>
    </row>
    <row r="1503" spans="3:15">
      <c r="C1503" s="1799" t="s">
        <v>5991</v>
      </c>
      <c r="D1503" s="1796">
        <v>0</v>
      </c>
      <c r="E1503" s="1796">
        <v>0</v>
      </c>
      <c r="F1503" s="1797">
        <v>0</v>
      </c>
      <c r="G1503" s="1999" t="s">
        <v>5991</v>
      </c>
      <c r="H1503" s="1794">
        <v>0</v>
      </c>
      <c r="I1503" s="1794">
        <v>0</v>
      </c>
      <c r="J1503" s="2000">
        <v>0</v>
      </c>
      <c r="K1503" s="1798"/>
      <c r="L1503" s="1792">
        <v>13131950400</v>
      </c>
      <c r="M1503" s="1793">
        <v>0</v>
      </c>
      <c r="N1503" s="1793">
        <v>0</v>
      </c>
      <c r="O1503" s="1794">
        <v>0</v>
      </c>
    </row>
    <row r="1504" spans="3:15">
      <c r="C1504" s="1799" t="s">
        <v>5992</v>
      </c>
      <c r="D1504" s="1796">
        <v>0</v>
      </c>
      <c r="E1504" s="1796">
        <v>0</v>
      </c>
      <c r="F1504" s="1797">
        <v>0</v>
      </c>
      <c r="G1504" s="1999" t="s">
        <v>5992</v>
      </c>
      <c r="H1504" s="1794">
        <v>0</v>
      </c>
      <c r="I1504" s="1794">
        <v>0</v>
      </c>
      <c r="J1504" s="2000">
        <v>0</v>
      </c>
      <c r="K1504" s="1798"/>
      <c r="L1504" s="1792">
        <v>13131950500</v>
      </c>
      <c r="M1504" s="1793">
        <v>0</v>
      </c>
      <c r="N1504" s="1793">
        <v>0</v>
      </c>
      <c r="O1504" s="1794">
        <v>0</v>
      </c>
    </row>
    <row r="1505" spans="3:15">
      <c r="C1505" s="1799" t="s">
        <v>5993</v>
      </c>
      <c r="D1505" s="1796">
        <v>1</v>
      </c>
      <c r="E1505" s="1796">
        <v>0</v>
      </c>
      <c r="F1505" s="1797">
        <v>1</v>
      </c>
      <c r="G1505" s="1999" t="s">
        <v>5993</v>
      </c>
      <c r="H1505" s="1794">
        <v>1</v>
      </c>
      <c r="I1505" s="1794">
        <v>1</v>
      </c>
      <c r="J1505" s="2000">
        <v>2</v>
      </c>
      <c r="K1505" s="1798"/>
      <c r="L1505" s="1792">
        <v>13131950600</v>
      </c>
      <c r="M1505" s="1793">
        <v>1</v>
      </c>
      <c r="N1505" s="1793">
        <v>1</v>
      </c>
      <c r="O1505" s="1794">
        <v>2</v>
      </c>
    </row>
    <row r="1506" spans="3:15">
      <c r="C1506" s="1799" t="s">
        <v>5994</v>
      </c>
      <c r="D1506" s="1796">
        <v>0</v>
      </c>
      <c r="E1506" s="1796">
        <v>0</v>
      </c>
      <c r="F1506" s="1797">
        <v>0</v>
      </c>
      <c r="G1506" s="1999" t="s">
        <v>5994</v>
      </c>
      <c r="H1506" s="1794">
        <v>0</v>
      </c>
      <c r="I1506" s="1794" t="s">
        <v>4483</v>
      </c>
      <c r="J1506" s="2000">
        <v>0</v>
      </c>
      <c r="K1506" s="1798"/>
      <c r="L1506" s="1792">
        <v>13133950100</v>
      </c>
      <c r="M1506" s="1793">
        <v>0</v>
      </c>
      <c r="N1506" s="1793">
        <v>0</v>
      </c>
      <c r="O1506" s="1794">
        <v>0</v>
      </c>
    </row>
    <row r="1507" spans="3:15">
      <c r="C1507" s="1799" t="s">
        <v>5995</v>
      </c>
      <c r="D1507" s="1796">
        <v>0</v>
      </c>
      <c r="E1507" s="1796">
        <v>0</v>
      </c>
      <c r="F1507" s="1797">
        <v>0</v>
      </c>
      <c r="G1507" s="1999" t="s">
        <v>5995</v>
      </c>
      <c r="H1507" s="1794">
        <v>0</v>
      </c>
      <c r="I1507" s="1794">
        <v>0</v>
      </c>
      <c r="J1507" s="2000">
        <v>0</v>
      </c>
      <c r="K1507" s="1798"/>
      <c r="L1507" s="1792">
        <v>13133950200</v>
      </c>
      <c r="M1507" s="1793">
        <v>0</v>
      </c>
      <c r="N1507" s="1793">
        <v>0</v>
      </c>
      <c r="O1507" s="1794">
        <v>0</v>
      </c>
    </row>
    <row r="1508" spans="3:15">
      <c r="C1508" s="1799" t="s">
        <v>5996</v>
      </c>
      <c r="D1508" s="1796">
        <v>1</v>
      </c>
      <c r="E1508" s="1796">
        <v>1</v>
      </c>
      <c r="F1508" s="1797">
        <v>2</v>
      </c>
      <c r="G1508" s="1999" t="s">
        <v>5996</v>
      </c>
      <c r="H1508" s="1794">
        <v>1</v>
      </c>
      <c r="I1508" s="1794" t="s">
        <v>4483</v>
      </c>
      <c r="J1508" s="2000">
        <v>1</v>
      </c>
      <c r="K1508" s="1798"/>
      <c r="L1508" s="1792">
        <v>13133950301</v>
      </c>
      <c r="M1508" s="1793">
        <v>1</v>
      </c>
      <c r="N1508" s="1793">
        <v>1</v>
      </c>
      <c r="O1508" s="1794">
        <v>2</v>
      </c>
    </row>
    <row r="1509" spans="3:15">
      <c r="C1509" s="1799" t="s">
        <v>5997</v>
      </c>
      <c r="D1509" s="1796">
        <v>1</v>
      </c>
      <c r="E1509" s="1796">
        <v>1</v>
      </c>
      <c r="F1509" s="1797">
        <v>2</v>
      </c>
      <c r="G1509" s="1999" t="s">
        <v>5997</v>
      </c>
      <c r="H1509" s="1794">
        <v>1</v>
      </c>
      <c r="I1509" s="1794">
        <v>1</v>
      </c>
      <c r="J1509" s="2000">
        <v>2</v>
      </c>
      <c r="K1509" s="1798"/>
      <c r="L1509" s="1792">
        <v>13133950302</v>
      </c>
      <c r="M1509" s="1793">
        <v>1</v>
      </c>
      <c r="N1509" s="1793">
        <v>1</v>
      </c>
      <c r="O1509" s="1794">
        <v>2</v>
      </c>
    </row>
    <row r="1510" spans="3:15">
      <c r="C1510" s="1799" t="s">
        <v>5998</v>
      </c>
      <c r="D1510" s="1796">
        <v>0</v>
      </c>
      <c r="E1510" s="1796">
        <v>0</v>
      </c>
      <c r="F1510" s="1797">
        <v>0</v>
      </c>
      <c r="G1510" s="1999" t="s">
        <v>5998</v>
      </c>
      <c r="H1510" s="1794">
        <v>0</v>
      </c>
      <c r="I1510" s="1794">
        <v>0</v>
      </c>
      <c r="J1510" s="2000">
        <v>0</v>
      </c>
      <c r="K1510" s="1798"/>
      <c r="L1510" s="1792">
        <v>13133950303</v>
      </c>
      <c r="M1510" s="1793">
        <v>0</v>
      </c>
      <c r="N1510" s="1793">
        <v>0</v>
      </c>
      <c r="O1510" s="1794">
        <v>0</v>
      </c>
    </row>
    <row r="1511" spans="3:15">
      <c r="C1511" s="1799" t="s">
        <v>5999</v>
      </c>
      <c r="D1511" s="1796">
        <v>0</v>
      </c>
      <c r="E1511" s="1796">
        <v>0</v>
      </c>
      <c r="F1511" s="1797">
        <v>0</v>
      </c>
      <c r="G1511" s="1999" t="s">
        <v>5999</v>
      </c>
      <c r="H1511" s="1794">
        <v>0</v>
      </c>
      <c r="I1511" s="1794">
        <v>0</v>
      </c>
      <c r="J1511" s="2000">
        <v>0</v>
      </c>
      <c r="K1511" s="1798"/>
      <c r="L1511" s="1792">
        <v>13133950400</v>
      </c>
      <c r="M1511" s="1793">
        <v>0</v>
      </c>
      <c r="N1511" s="1793">
        <v>0</v>
      </c>
      <c r="O1511" s="1794">
        <v>0</v>
      </c>
    </row>
    <row r="1512" spans="3:15">
      <c r="C1512" s="1799" t="s">
        <v>6000</v>
      </c>
      <c r="D1512" s="1796">
        <v>1</v>
      </c>
      <c r="E1512" s="1796">
        <v>0</v>
      </c>
      <c r="F1512" s="1797">
        <v>1</v>
      </c>
      <c r="G1512" s="1999" t="s">
        <v>6000</v>
      </c>
      <c r="H1512" s="1794">
        <v>0</v>
      </c>
      <c r="I1512" s="1794">
        <v>0</v>
      </c>
      <c r="J1512" s="2000">
        <v>0</v>
      </c>
      <c r="K1512" s="1798"/>
      <c r="L1512" s="1792">
        <v>13133950500</v>
      </c>
      <c r="M1512" s="1793">
        <v>1</v>
      </c>
      <c r="N1512" s="1793">
        <v>0</v>
      </c>
      <c r="O1512" s="1794">
        <v>1</v>
      </c>
    </row>
    <row r="1513" spans="3:15">
      <c r="C1513" s="1799" t="s">
        <v>6001</v>
      </c>
      <c r="D1513" s="1796">
        <v>1</v>
      </c>
      <c r="E1513" s="1796">
        <v>1</v>
      </c>
      <c r="F1513" s="1797">
        <v>2</v>
      </c>
      <c r="G1513" s="1999" t="s">
        <v>6001</v>
      </c>
      <c r="H1513" s="1794">
        <v>1</v>
      </c>
      <c r="I1513" s="1794">
        <v>0</v>
      </c>
      <c r="J1513" s="2000">
        <v>1</v>
      </c>
      <c r="K1513" s="1798"/>
      <c r="L1513" s="1792">
        <v>13135050103</v>
      </c>
      <c r="M1513" s="1793">
        <v>1</v>
      </c>
      <c r="N1513" s="1793">
        <v>1</v>
      </c>
      <c r="O1513" s="1794">
        <v>2</v>
      </c>
    </row>
    <row r="1514" spans="3:15">
      <c r="C1514" s="1799" t="s">
        <v>6002</v>
      </c>
      <c r="D1514" s="1796">
        <v>0</v>
      </c>
      <c r="E1514" s="1796">
        <v>0</v>
      </c>
      <c r="F1514" s="1797">
        <v>0</v>
      </c>
      <c r="G1514" s="1999" t="s">
        <v>6002</v>
      </c>
      <c r="H1514" s="1794">
        <v>0</v>
      </c>
      <c r="I1514" s="1794">
        <v>0</v>
      </c>
      <c r="J1514" s="2000">
        <v>0</v>
      </c>
      <c r="K1514" s="1798"/>
      <c r="L1514" s="1792">
        <v>13135050105</v>
      </c>
      <c r="M1514" s="1793">
        <v>0</v>
      </c>
      <c r="N1514" s="1793">
        <v>0</v>
      </c>
      <c r="O1514" s="1794">
        <v>0</v>
      </c>
    </row>
    <row r="1515" spans="3:15">
      <c r="C1515" s="1799" t="s">
        <v>6003</v>
      </c>
      <c r="D1515" s="1796">
        <v>1</v>
      </c>
      <c r="E1515" s="1796">
        <v>0</v>
      </c>
      <c r="F1515" s="1797">
        <v>1</v>
      </c>
      <c r="G1515" s="1999" t="s">
        <v>6003</v>
      </c>
      <c r="H1515" s="1794">
        <v>1</v>
      </c>
      <c r="I1515" s="1794">
        <v>0</v>
      </c>
      <c r="J1515" s="2000">
        <v>1</v>
      </c>
      <c r="K1515" s="1798"/>
      <c r="L1515" s="1792">
        <v>13135050106</v>
      </c>
      <c r="M1515" s="1793">
        <v>1</v>
      </c>
      <c r="N1515" s="1793">
        <v>0</v>
      </c>
      <c r="O1515" s="1794">
        <v>1</v>
      </c>
    </row>
    <row r="1516" spans="3:15">
      <c r="C1516" s="1799" t="s">
        <v>6004</v>
      </c>
      <c r="D1516" s="1796">
        <v>1</v>
      </c>
      <c r="E1516" s="1796">
        <v>1</v>
      </c>
      <c r="F1516" s="1797">
        <v>2</v>
      </c>
      <c r="G1516" s="1999" t="s">
        <v>6004</v>
      </c>
      <c r="H1516" s="1794">
        <v>1</v>
      </c>
      <c r="I1516" s="1794">
        <v>1</v>
      </c>
      <c r="J1516" s="2000">
        <v>2</v>
      </c>
      <c r="K1516" s="1798"/>
      <c r="L1516" s="1792">
        <v>13135050107</v>
      </c>
      <c r="M1516" s="1793">
        <v>1</v>
      </c>
      <c r="N1516" s="1793">
        <v>1</v>
      </c>
      <c r="O1516" s="1794">
        <v>2</v>
      </c>
    </row>
    <row r="1517" spans="3:15">
      <c r="C1517" s="1799" t="s">
        <v>6005</v>
      </c>
      <c r="D1517" s="1796">
        <v>1</v>
      </c>
      <c r="E1517" s="1796">
        <v>1</v>
      </c>
      <c r="F1517" s="1797">
        <v>2</v>
      </c>
      <c r="G1517" s="1999" t="s">
        <v>6005</v>
      </c>
      <c r="H1517" s="1794">
        <v>1</v>
      </c>
      <c r="I1517" s="1794">
        <v>1</v>
      </c>
      <c r="J1517" s="2000">
        <v>2</v>
      </c>
      <c r="K1517" s="1798"/>
      <c r="L1517" s="1792">
        <v>13135050108</v>
      </c>
      <c r="M1517" s="1793">
        <v>1</v>
      </c>
      <c r="N1517" s="1793">
        <v>1</v>
      </c>
      <c r="O1517" s="1794">
        <v>2</v>
      </c>
    </row>
    <row r="1518" spans="3:15">
      <c r="C1518" s="1799" t="s">
        <v>6006</v>
      </c>
      <c r="D1518" s="1796">
        <v>1</v>
      </c>
      <c r="E1518" s="1796">
        <v>1</v>
      </c>
      <c r="F1518" s="1797">
        <v>2</v>
      </c>
      <c r="G1518" s="1999" t="s">
        <v>6006</v>
      </c>
      <c r="H1518" s="1794">
        <v>1</v>
      </c>
      <c r="I1518" s="1794">
        <v>0</v>
      </c>
      <c r="J1518" s="2000">
        <v>1</v>
      </c>
      <c r="K1518" s="1798"/>
      <c r="L1518" s="1792">
        <v>13135050109</v>
      </c>
      <c r="M1518" s="1793">
        <v>1</v>
      </c>
      <c r="N1518" s="1793">
        <v>1</v>
      </c>
      <c r="O1518" s="1794">
        <v>2</v>
      </c>
    </row>
    <row r="1519" spans="3:15">
      <c r="C1519" s="1799" t="s">
        <v>6007</v>
      </c>
      <c r="D1519" s="1796">
        <v>1</v>
      </c>
      <c r="E1519" s="1796">
        <v>0</v>
      </c>
      <c r="F1519" s="1797">
        <v>1</v>
      </c>
      <c r="G1519" s="1999" t="s">
        <v>6007</v>
      </c>
      <c r="H1519" s="1794">
        <v>1</v>
      </c>
      <c r="I1519" s="1794">
        <v>0</v>
      </c>
      <c r="J1519" s="2000">
        <v>1</v>
      </c>
      <c r="K1519" s="1798"/>
      <c r="L1519" s="1792">
        <v>13135050205</v>
      </c>
      <c r="M1519" s="1793">
        <v>1</v>
      </c>
      <c r="N1519" s="1793">
        <v>0</v>
      </c>
      <c r="O1519" s="1794">
        <v>1</v>
      </c>
    </row>
    <row r="1520" spans="3:15">
      <c r="C1520" s="1799" t="s">
        <v>6008</v>
      </c>
      <c r="D1520" s="1796">
        <v>1</v>
      </c>
      <c r="E1520" s="1796">
        <v>1</v>
      </c>
      <c r="F1520" s="1797">
        <v>2</v>
      </c>
      <c r="G1520" s="1999" t="s">
        <v>6008</v>
      </c>
      <c r="H1520" s="1794">
        <v>1</v>
      </c>
      <c r="I1520" s="1794">
        <v>1</v>
      </c>
      <c r="J1520" s="2000">
        <v>2</v>
      </c>
      <c r="K1520" s="1798"/>
      <c r="L1520" s="1792">
        <v>13135050208</v>
      </c>
      <c r="M1520" s="1793">
        <v>1</v>
      </c>
      <c r="N1520" s="1793">
        <v>1</v>
      </c>
      <c r="O1520" s="1794">
        <v>2</v>
      </c>
    </row>
    <row r="1521" spans="3:15">
      <c r="C1521" s="1799" t="s">
        <v>6009</v>
      </c>
      <c r="D1521" s="1796">
        <v>0</v>
      </c>
      <c r="E1521" s="1796">
        <v>0</v>
      </c>
      <c r="F1521" s="1797">
        <v>0</v>
      </c>
      <c r="G1521" s="1999" t="s">
        <v>6009</v>
      </c>
      <c r="H1521" s="1794">
        <v>1</v>
      </c>
      <c r="I1521" s="1794">
        <v>0</v>
      </c>
      <c r="J1521" s="2000">
        <v>1</v>
      </c>
      <c r="K1521" s="1798"/>
      <c r="L1521" s="1792">
        <v>13135050209</v>
      </c>
      <c r="M1521" s="1793">
        <v>1</v>
      </c>
      <c r="N1521" s="1793">
        <v>0</v>
      </c>
      <c r="O1521" s="1794">
        <v>1</v>
      </c>
    </row>
    <row r="1522" spans="3:15">
      <c r="C1522" s="1799" t="s">
        <v>6010</v>
      </c>
      <c r="D1522" s="1796">
        <v>1</v>
      </c>
      <c r="E1522" s="1796">
        <v>1</v>
      </c>
      <c r="F1522" s="1797">
        <v>2</v>
      </c>
      <c r="G1522" s="1999" t="s">
        <v>6010</v>
      </c>
      <c r="H1522" s="1794">
        <v>1</v>
      </c>
      <c r="I1522" s="1794">
        <v>1</v>
      </c>
      <c r="J1522" s="2000">
        <v>2</v>
      </c>
      <c r="K1522" s="1798"/>
      <c r="L1522" s="1792">
        <v>13135050210</v>
      </c>
      <c r="M1522" s="1793">
        <v>1</v>
      </c>
      <c r="N1522" s="1793">
        <v>1</v>
      </c>
      <c r="O1522" s="1794">
        <v>2</v>
      </c>
    </row>
    <row r="1523" spans="3:15">
      <c r="C1523" s="1799" t="s">
        <v>6011</v>
      </c>
      <c r="D1523" s="1796">
        <v>0</v>
      </c>
      <c r="E1523" s="1796">
        <v>0</v>
      </c>
      <c r="F1523" s="1797">
        <v>0</v>
      </c>
      <c r="G1523" s="1999" t="s">
        <v>6011</v>
      </c>
      <c r="H1523" s="1794">
        <v>0</v>
      </c>
      <c r="I1523" s="1794">
        <v>0</v>
      </c>
      <c r="J1523" s="2000">
        <v>0</v>
      </c>
      <c r="K1523" s="1798"/>
      <c r="L1523" s="1792">
        <v>13135050211</v>
      </c>
      <c r="M1523" s="1793">
        <v>0</v>
      </c>
      <c r="N1523" s="1793">
        <v>0</v>
      </c>
      <c r="O1523" s="1794">
        <v>0</v>
      </c>
    </row>
    <row r="1524" spans="3:15">
      <c r="C1524" s="1799" t="s">
        <v>6012</v>
      </c>
      <c r="D1524" s="1796">
        <v>1</v>
      </c>
      <c r="E1524" s="1796">
        <v>1</v>
      </c>
      <c r="F1524" s="1797">
        <v>2</v>
      </c>
      <c r="G1524" s="1999" t="s">
        <v>6012</v>
      </c>
      <c r="H1524" s="1794">
        <v>1</v>
      </c>
      <c r="I1524" s="1794">
        <v>1</v>
      </c>
      <c r="J1524" s="2000">
        <v>2</v>
      </c>
      <c r="K1524" s="1798"/>
      <c r="L1524" s="1792">
        <v>13135050212</v>
      </c>
      <c r="M1524" s="1793">
        <v>1</v>
      </c>
      <c r="N1524" s="1793">
        <v>1</v>
      </c>
      <c r="O1524" s="1794">
        <v>2</v>
      </c>
    </row>
    <row r="1525" spans="3:15">
      <c r="C1525" s="1799" t="s">
        <v>6013</v>
      </c>
      <c r="D1525" s="1796">
        <v>1</v>
      </c>
      <c r="E1525" s="1796">
        <v>1</v>
      </c>
      <c r="F1525" s="1797">
        <v>2</v>
      </c>
      <c r="G1525" s="1999" t="s">
        <v>6013</v>
      </c>
      <c r="H1525" s="1794">
        <v>1</v>
      </c>
      <c r="I1525" s="1794">
        <v>1</v>
      </c>
      <c r="J1525" s="2000">
        <v>2</v>
      </c>
      <c r="K1525" s="1798"/>
      <c r="L1525" s="1792">
        <v>13135050213</v>
      </c>
      <c r="M1525" s="1793">
        <v>1</v>
      </c>
      <c r="N1525" s="1793">
        <v>1</v>
      </c>
      <c r="O1525" s="1794">
        <v>2</v>
      </c>
    </row>
    <row r="1526" spans="3:15">
      <c r="C1526" s="1799" t="s">
        <v>6014</v>
      </c>
      <c r="D1526" s="1796">
        <v>1</v>
      </c>
      <c r="E1526" s="1796">
        <v>1</v>
      </c>
      <c r="F1526" s="1797">
        <v>2</v>
      </c>
      <c r="G1526" s="1999" t="s">
        <v>6014</v>
      </c>
      <c r="H1526" s="1794">
        <v>1</v>
      </c>
      <c r="I1526" s="1794">
        <v>1</v>
      </c>
      <c r="J1526" s="2000">
        <v>2</v>
      </c>
      <c r="K1526" s="1798"/>
      <c r="L1526" s="1792">
        <v>13135050214</v>
      </c>
      <c r="M1526" s="1793">
        <v>1</v>
      </c>
      <c r="N1526" s="1793">
        <v>1</v>
      </c>
      <c r="O1526" s="1794">
        <v>2</v>
      </c>
    </row>
    <row r="1527" spans="3:15">
      <c r="C1527" s="1799" t="s">
        <v>6015</v>
      </c>
      <c r="D1527" s="1796">
        <v>1</v>
      </c>
      <c r="E1527" s="1796">
        <v>1</v>
      </c>
      <c r="F1527" s="1797">
        <v>2</v>
      </c>
      <c r="G1527" s="1999" t="s">
        <v>6015</v>
      </c>
      <c r="H1527" s="1794">
        <v>1</v>
      </c>
      <c r="I1527" s="1794" t="s">
        <v>4483</v>
      </c>
      <c r="J1527" s="2000">
        <v>1</v>
      </c>
      <c r="K1527" s="1798"/>
      <c r="L1527" s="1792">
        <v>13135050215</v>
      </c>
      <c r="M1527" s="1793">
        <v>1</v>
      </c>
      <c r="N1527" s="1793">
        <v>1</v>
      </c>
      <c r="O1527" s="1794">
        <v>2</v>
      </c>
    </row>
    <row r="1528" spans="3:15">
      <c r="C1528" s="1799" t="s">
        <v>6016</v>
      </c>
      <c r="D1528" s="1796">
        <v>1</v>
      </c>
      <c r="E1528" s="1796">
        <v>1</v>
      </c>
      <c r="F1528" s="1797">
        <v>2</v>
      </c>
      <c r="G1528" s="1999" t="s">
        <v>6016</v>
      </c>
      <c r="H1528" s="1794">
        <v>1</v>
      </c>
      <c r="I1528" s="1794">
        <v>1</v>
      </c>
      <c r="J1528" s="2000">
        <v>2</v>
      </c>
      <c r="K1528" s="1798"/>
      <c r="L1528" s="1792">
        <v>13135050216</v>
      </c>
      <c r="M1528" s="1793">
        <v>1</v>
      </c>
      <c r="N1528" s="1793">
        <v>1</v>
      </c>
      <c r="O1528" s="1794">
        <v>2</v>
      </c>
    </row>
    <row r="1529" spans="3:15">
      <c r="C1529" s="1799" t="s">
        <v>6017</v>
      </c>
      <c r="D1529" s="1796">
        <v>1</v>
      </c>
      <c r="E1529" s="1796">
        <v>1</v>
      </c>
      <c r="F1529" s="1797">
        <v>2</v>
      </c>
      <c r="G1529" s="1999" t="s">
        <v>6017</v>
      </c>
      <c r="H1529" s="1794">
        <v>1</v>
      </c>
      <c r="I1529" s="1794">
        <v>1</v>
      </c>
      <c r="J1529" s="2000">
        <v>2</v>
      </c>
      <c r="K1529" s="1798"/>
      <c r="L1529" s="1792">
        <v>13135050217</v>
      </c>
      <c r="M1529" s="1793">
        <v>1</v>
      </c>
      <c r="N1529" s="1793">
        <v>1</v>
      </c>
      <c r="O1529" s="1794">
        <v>2</v>
      </c>
    </row>
    <row r="1530" spans="3:15">
      <c r="C1530" s="1799" t="s">
        <v>6018</v>
      </c>
      <c r="D1530" s="1796">
        <v>1</v>
      </c>
      <c r="E1530" s="1796">
        <v>1</v>
      </c>
      <c r="F1530" s="1797">
        <v>2</v>
      </c>
      <c r="G1530" s="1999" t="s">
        <v>6018</v>
      </c>
      <c r="H1530" s="1794">
        <v>1</v>
      </c>
      <c r="I1530" s="1794">
        <v>0</v>
      </c>
      <c r="J1530" s="2000">
        <v>1</v>
      </c>
      <c r="K1530" s="1798"/>
      <c r="L1530" s="1792">
        <v>13135050218</v>
      </c>
      <c r="M1530" s="1793">
        <v>1</v>
      </c>
      <c r="N1530" s="1793">
        <v>1</v>
      </c>
      <c r="O1530" s="1794">
        <v>2</v>
      </c>
    </row>
    <row r="1531" spans="3:15">
      <c r="C1531" s="1799" t="s">
        <v>6019</v>
      </c>
      <c r="D1531" s="1796">
        <v>1</v>
      </c>
      <c r="E1531" s="1796">
        <v>1</v>
      </c>
      <c r="F1531" s="1797">
        <v>2</v>
      </c>
      <c r="G1531" s="1999" t="s">
        <v>6019</v>
      </c>
      <c r="H1531" s="1794">
        <v>1</v>
      </c>
      <c r="I1531" s="1794">
        <v>1</v>
      </c>
      <c r="J1531" s="2000">
        <v>2</v>
      </c>
      <c r="K1531" s="1798"/>
      <c r="L1531" s="1792">
        <v>13135050219</v>
      </c>
      <c r="M1531" s="1793">
        <v>1</v>
      </c>
      <c r="N1531" s="1793">
        <v>1</v>
      </c>
      <c r="O1531" s="1794">
        <v>2</v>
      </c>
    </row>
    <row r="1532" spans="3:15">
      <c r="C1532" s="1799" t="s">
        <v>6020</v>
      </c>
      <c r="D1532" s="1796">
        <v>0</v>
      </c>
      <c r="E1532" s="1796">
        <v>0</v>
      </c>
      <c r="F1532" s="1797">
        <v>0</v>
      </c>
      <c r="G1532" s="1999" t="s">
        <v>6020</v>
      </c>
      <c r="H1532" s="1794">
        <v>1</v>
      </c>
      <c r="I1532" s="1794">
        <v>0</v>
      </c>
      <c r="J1532" s="2000">
        <v>1</v>
      </c>
      <c r="K1532" s="1798"/>
      <c r="L1532" s="1792">
        <v>13135050220</v>
      </c>
      <c r="M1532" s="1793">
        <v>1</v>
      </c>
      <c r="N1532" s="1793">
        <v>0</v>
      </c>
      <c r="O1532" s="1794">
        <v>1</v>
      </c>
    </row>
    <row r="1533" spans="3:15">
      <c r="C1533" s="1799" t="s">
        <v>6021</v>
      </c>
      <c r="D1533" s="1796">
        <v>1</v>
      </c>
      <c r="E1533" s="1796">
        <v>0</v>
      </c>
      <c r="F1533" s="1797">
        <v>1</v>
      </c>
      <c r="G1533" s="1999" t="s">
        <v>6021</v>
      </c>
      <c r="H1533" s="1794">
        <v>1</v>
      </c>
      <c r="I1533" s="1794">
        <v>0</v>
      </c>
      <c r="J1533" s="2000">
        <v>1</v>
      </c>
      <c r="K1533" s="1798"/>
      <c r="L1533" s="1792">
        <v>13135050304</v>
      </c>
      <c r="M1533" s="1793">
        <v>1</v>
      </c>
      <c r="N1533" s="1793">
        <v>0</v>
      </c>
      <c r="O1533" s="1794">
        <v>1</v>
      </c>
    </row>
    <row r="1534" spans="3:15">
      <c r="C1534" s="1799" t="s">
        <v>6022</v>
      </c>
      <c r="D1534" s="1796">
        <v>0</v>
      </c>
      <c r="E1534" s="1796">
        <v>0</v>
      </c>
      <c r="F1534" s="1797">
        <v>0</v>
      </c>
      <c r="G1534" s="1999" t="s">
        <v>6022</v>
      </c>
      <c r="H1534" s="1794">
        <v>1</v>
      </c>
      <c r="I1534" s="1794">
        <v>0</v>
      </c>
      <c r="J1534" s="2000">
        <v>1</v>
      </c>
      <c r="K1534" s="1798"/>
      <c r="L1534" s="1792">
        <v>13135050306</v>
      </c>
      <c r="M1534" s="1793">
        <v>1</v>
      </c>
      <c r="N1534" s="1793">
        <v>0</v>
      </c>
      <c r="O1534" s="1794">
        <v>1</v>
      </c>
    </row>
    <row r="1535" spans="3:15">
      <c r="C1535" s="1799" t="s">
        <v>6023</v>
      </c>
      <c r="D1535" s="1796">
        <v>1</v>
      </c>
      <c r="E1535" s="1796">
        <v>1</v>
      </c>
      <c r="F1535" s="1797">
        <v>2</v>
      </c>
      <c r="G1535" s="1999" t="s">
        <v>6023</v>
      </c>
      <c r="H1535" s="1794">
        <v>1</v>
      </c>
      <c r="I1535" s="1794">
        <v>1</v>
      </c>
      <c r="J1535" s="2000">
        <v>2</v>
      </c>
      <c r="K1535" s="1798"/>
      <c r="L1535" s="1792">
        <v>13135050308</v>
      </c>
      <c r="M1535" s="1793">
        <v>1</v>
      </c>
      <c r="N1535" s="1793">
        <v>1</v>
      </c>
      <c r="O1535" s="1794">
        <v>2</v>
      </c>
    </row>
    <row r="1536" spans="3:15">
      <c r="C1536" s="1799" t="s">
        <v>6024</v>
      </c>
      <c r="D1536" s="1796">
        <v>1</v>
      </c>
      <c r="E1536" s="1796">
        <v>1</v>
      </c>
      <c r="F1536" s="1797">
        <v>2</v>
      </c>
      <c r="G1536" s="1999" t="s">
        <v>6024</v>
      </c>
      <c r="H1536" s="1794">
        <v>1</v>
      </c>
      <c r="I1536" s="1794">
        <v>1</v>
      </c>
      <c r="J1536" s="2000">
        <v>2</v>
      </c>
      <c r="K1536" s="1798"/>
      <c r="L1536" s="1792">
        <v>13135050309</v>
      </c>
      <c r="M1536" s="1793">
        <v>1</v>
      </c>
      <c r="N1536" s="1793">
        <v>1</v>
      </c>
      <c r="O1536" s="1794">
        <v>2</v>
      </c>
    </row>
    <row r="1537" spans="3:15">
      <c r="C1537" s="1799" t="s">
        <v>6025</v>
      </c>
      <c r="D1537" s="1796">
        <v>1</v>
      </c>
      <c r="E1537" s="1796">
        <v>1</v>
      </c>
      <c r="F1537" s="1797">
        <v>2</v>
      </c>
      <c r="G1537" s="1999" t="s">
        <v>6025</v>
      </c>
      <c r="H1537" s="1794">
        <v>1</v>
      </c>
      <c r="I1537" s="1794">
        <v>1</v>
      </c>
      <c r="J1537" s="2000">
        <v>2</v>
      </c>
      <c r="K1537" s="1798"/>
      <c r="L1537" s="1792">
        <v>13135050310</v>
      </c>
      <c r="M1537" s="1793">
        <v>1</v>
      </c>
      <c r="N1537" s="1793">
        <v>1</v>
      </c>
      <c r="O1537" s="1794">
        <v>2</v>
      </c>
    </row>
    <row r="1538" spans="3:15">
      <c r="C1538" s="1799" t="s">
        <v>6026</v>
      </c>
      <c r="D1538" s="1796">
        <v>1</v>
      </c>
      <c r="E1538" s="1796">
        <v>1</v>
      </c>
      <c r="F1538" s="1797">
        <v>2</v>
      </c>
      <c r="G1538" s="1999" t="s">
        <v>6026</v>
      </c>
      <c r="H1538" s="1794">
        <v>1</v>
      </c>
      <c r="I1538" s="1794">
        <v>0</v>
      </c>
      <c r="J1538" s="2000">
        <v>1</v>
      </c>
      <c r="K1538" s="1798"/>
      <c r="L1538" s="1792">
        <v>13135050311</v>
      </c>
      <c r="M1538" s="1793">
        <v>1</v>
      </c>
      <c r="N1538" s="1793">
        <v>1</v>
      </c>
      <c r="O1538" s="1794">
        <v>2</v>
      </c>
    </row>
    <row r="1539" spans="3:15">
      <c r="C1539" s="1799" t="s">
        <v>6027</v>
      </c>
      <c r="D1539" s="1796">
        <v>0</v>
      </c>
      <c r="E1539" s="1796">
        <v>0</v>
      </c>
      <c r="F1539" s="1797">
        <v>0</v>
      </c>
      <c r="G1539" s="1999" t="s">
        <v>6027</v>
      </c>
      <c r="H1539" s="1794">
        <v>0</v>
      </c>
      <c r="I1539" s="1794">
        <v>0</v>
      </c>
      <c r="J1539" s="2000">
        <v>0</v>
      </c>
      <c r="K1539" s="1798"/>
      <c r="L1539" s="1792">
        <v>13135050313</v>
      </c>
      <c r="M1539" s="1793">
        <v>0</v>
      </c>
      <c r="N1539" s="1793">
        <v>0</v>
      </c>
      <c r="O1539" s="1794">
        <v>0</v>
      </c>
    </row>
    <row r="1540" spans="3:15">
      <c r="C1540" s="1799" t="s">
        <v>6028</v>
      </c>
      <c r="D1540" s="1796">
        <v>1</v>
      </c>
      <c r="E1540" s="1796">
        <v>0</v>
      </c>
      <c r="F1540" s="1797">
        <v>1</v>
      </c>
      <c r="G1540" s="1999" t="s">
        <v>6028</v>
      </c>
      <c r="H1540" s="1794">
        <v>1</v>
      </c>
      <c r="I1540" s="1794">
        <v>0</v>
      </c>
      <c r="J1540" s="2000">
        <v>1</v>
      </c>
      <c r="K1540" s="1798"/>
      <c r="L1540" s="1792">
        <v>13135050314</v>
      </c>
      <c r="M1540" s="1793">
        <v>1</v>
      </c>
      <c r="N1540" s="1793">
        <v>0</v>
      </c>
      <c r="O1540" s="1794">
        <v>1</v>
      </c>
    </row>
    <row r="1541" spans="3:15">
      <c r="C1541" s="1799" t="s">
        <v>6029</v>
      </c>
      <c r="D1541" s="1796">
        <v>1</v>
      </c>
      <c r="E1541" s="1796">
        <v>0</v>
      </c>
      <c r="F1541" s="1797">
        <v>1</v>
      </c>
      <c r="G1541" s="1999" t="s">
        <v>6029</v>
      </c>
      <c r="H1541" s="1794">
        <v>1</v>
      </c>
      <c r="I1541" s="1794">
        <v>0</v>
      </c>
      <c r="J1541" s="2000">
        <v>1</v>
      </c>
      <c r="K1541" s="1798"/>
      <c r="L1541" s="1792">
        <v>13135050315</v>
      </c>
      <c r="M1541" s="1793">
        <v>1</v>
      </c>
      <c r="N1541" s="1793">
        <v>0</v>
      </c>
      <c r="O1541" s="1794">
        <v>1</v>
      </c>
    </row>
    <row r="1542" spans="3:15">
      <c r="C1542" s="1799" t="s">
        <v>6030</v>
      </c>
      <c r="D1542" s="1796">
        <v>0</v>
      </c>
      <c r="E1542" s="1796">
        <v>0</v>
      </c>
      <c r="F1542" s="1797">
        <v>0</v>
      </c>
      <c r="G1542" s="1999" t="s">
        <v>6030</v>
      </c>
      <c r="H1542" s="1794">
        <v>1</v>
      </c>
      <c r="I1542" s="1794" t="s">
        <v>4483</v>
      </c>
      <c r="J1542" s="2000">
        <v>1</v>
      </c>
      <c r="K1542" s="1798"/>
      <c r="L1542" s="1792">
        <v>13135050317</v>
      </c>
      <c r="M1542" s="1793">
        <v>1</v>
      </c>
      <c r="N1542" s="1793">
        <v>0</v>
      </c>
      <c r="O1542" s="1794">
        <v>1</v>
      </c>
    </row>
    <row r="1543" spans="3:15">
      <c r="C1543" s="1799" t="s">
        <v>6031</v>
      </c>
      <c r="D1543" s="1796">
        <v>1</v>
      </c>
      <c r="E1543" s="1796">
        <v>0</v>
      </c>
      <c r="F1543" s="1797">
        <v>1</v>
      </c>
      <c r="G1543" s="1999" t="s">
        <v>6031</v>
      </c>
      <c r="H1543" s="1794">
        <v>1</v>
      </c>
      <c r="I1543" s="1794" t="s">
        <v>4483</v>
      </c>
      <c r="J1543" s="2000">
        <v>1</v>
      </c>
      <c r="K1543" s="1798"/>
      <c r="L1543" s="1792">
        <v>13135050318</v>
      </c>
      <c r="M1543" s="1793">
        <v>1</v>
      </c>
      <c r="N1543" s="1793">
        <v>0</v>
      </c>
      <c r="O1543" s="1794">
        <v>1</v>
      </c>
    </row>
    <row r="1544" spans="3:15">
      <c r="C1544" s="1799" t="s">
        <v>6032</v>
      </c>
      <c r="D1544" s="1796">
        <v>0</v>
      </c>
      <c r="E1544" s="1796">
        <v>0</v>
      </c>
      <c r="F1544" s="1797">
        <v>0</v>
      </c>
      <c r="G1544" s="1999" t="s">
        <v>6032</v>
      </c>
      <c r="H1544" s="1794">
        <v>0</v>
      </c>
      <c r="I1544" s="1794" t="s">
        <v>4483</v>
      </c>
      <c r="J1544" s="2000">
        <v>0</v>
      </c>
      <c r="K1544" s="1798"/>
      <c r="L1544" s="1792">
        <v>13135050319</v>
      </c>
      <c r="M1544" s="1793">
        <v>0</v>
      </c>
      <c r="N1544" s="1793">
        <v>0</v>
      </c>
      <c r="O1544" s="1794">
        <v>0</v>
      </c>
    </row>
    <row r="1545" spans="3:15">
      <c r="C1545" s="1799" t="s">
        <v>6033</v>
      </c>
      <c r="D1545" s="1796">
        <v>0</v>
      </c>
      <c r="E1545" s="1796">
        <v>0</v>
      </c>
      <c r="F1545" s="1797">
        <v>0</v>
      </c>
      <c r="G1545" s="1999" t="s">
        <v>6033</v>
      </c>
      <c r="H1545" s="1794">
        <v>0</v>
      </c>
      <c r="I1545" s="1794" t="s">
        <v>4483</v>
      </c>
      <c r="J1545" s="2000">
        <v>0</v>
      </c>
      <c r="K1545" s="1798"/>
      <c r="L1545" s="1792">
        <v>13135050320</v>
      </c>
      <c r="M1545" s="1793">
        <v>0</v>
      </c>
      <c r="N1545" s="1793">
        <v>0</v>
      </c>
      <c r="O1545" s="1794">
        <v>0</v>
      </c>
    </row>
    <row r="1546" spans="3:15">
      <c r="C1546" s="1799" t="s">
        <v>6034</v>
      </c>
      <c r="D1546" s="1796">
        <v>1</v>
      </c>
      <c r="E1546" s="1796">
        <v>1</v>
      </c>
      <c r="F1546" s="1797">
        <v>2</v>
      </c>
      <c r="G1546" s="1999" t="s">
        <v>6034</v>
      </c>
      <c r="H1546" s="1794">
        <v>1</v>
      </c>
      <c r="I1546" s="1794">
        <v>1</v>
      </c>
      <c r="J1546" s="2000">
        <v>2</v>
      </c>
      <c r="K1546" s="1798"/>
      <c r="L1546" s="1792">
        <v>13135050321</v>
      </c>
      <c r="M1546" s="1793">
        <v>1</v>
      </c>
      <c r="N1546" s="1793">
        <v>1</v>
      </c>
      <c r="O1546" s="1794">
        <v>2</v>
      </c>
    </row>
    <row r="1547" spans="3:15">
      <c r="C1547" s="1799" t="s">
        <v>6035</v>
      </c>
      <c r="D1547" s="1796">
        <v>1</v>
      </c>
      <c r="E1547" s="1796">
        <v>1</v>
      </c>
      <c r="F1547" s="1797">
        <v>2</v>
      </c>
      <c r="G1547" s="1999" t="s">
        <v>6035</v>
      </c>
      <c r="H1547" s="1794">
        <v>1</v>
      </c>
      <c r="I1547" s="1794">
        <v>1</v>
      </c>
      <c r="J1547" s="2000">
        <v>2</v>
      </c>
      <c r="K1547" s="1798"/>
      <c r="L1547" s="1792">
        <v>13135050322</v>
      </c>
      <c r="M1547" s="1793">
        <v>1</v>
      </c>
      <c r="N1547" s="1793">
        <v>1</v>
      </c>
      <c r="O1547" s="1794">
        <v>2</v>
      </c>
    </row>
    <row r="1548" spans="3:15">
      <c r="C1548" s="1799" t="s">
        <v>6036</v>
      </c>
      <c r="D1548" s="1796">
        <v>0</v>
      </c>
      <c r="E1548" s="1796">
        <v>0</v>
      </c>
      <c r="F1548" s="1797">
        <v>0</v>
      </c>
      <c r="G1548" s="1999" t="s">
        <v>6036</v>
      </c>
      <c r="H1548" s="1794">
        <v>1</v>
      </c>
      <c r="I1548" s="1794">
        <v>0</v>
      </c>
      <c r="J1548" s="2000">
        <v>1</v>
      </c>
      <c r="K1548" s="1798"/>
      <c r="L1548" s="1792">
        <v>13135050410</v>
      </c>
      <c r="M1548" s="1793">
        <v>1</v>
      </c>
      <c r="N1548" s="1793">
        <v>0</v>
      </c>
      <c r="O1548" s="1794">
        <v>1</v>
      </c>
    </row>
    <row r="1549" spans="3:15">
      <c r="C1549" s="1799" t="s">
        <v>6037</v>
      </c>
      <c r="D1549" s="1796">
        <v>1</v>
      </c>
      <c r="E1549" s="1796">
        <v>1</v>
      </c>
      <c r="F1549" s="1797">
        <v>2</v>
      </c>
      <c r="G1549" s="1999" t="s">
        <v>6037</v>
      </c>
      <c r="H1549" s="1794">
        <v>1</v>
      </c>
      <c r="I1549" s="1794">
        <v>1</v>
      </c>
      <c r="J1549" s="2000">
        <v>2</v>
      </c>
      <c r="K1549" s="1798"/>
      <c r="L1549" s="1792">
        <v>13135050415</v>
      </c>
      <c r="M1549" s="1793">
        <v>1</v>
      </c>
      <c r="N1549" s="1793">
        <v>1</v>
      </c>
      <c r="O1549" s="1794">
        <v>2</v>
      </c>
    </row>
    <row r="1550" spans="3:15">
      <c r="C1550" s="1799" t="s">
        <v>6038</v>
      </c>
      <c r="D1550" s="1796">
        <v>0</v>
      </c>
      <c r="E1550" s="1796">
        <v>0</v>
      </c>
      <c r="F1550" s="1797">
        <v>0</v>
      </c>
      <c r="G1550" s="1999" t="s">
        <v>6038</v>
      </c>
      <c r="H1550" s="1794">
        <v>0</v>
      </c>
      <c r="I1550" s="1794">
        <v>0</v>
      </c>
      <c r="J1550" s="2000">
        <v>0</v>
      </c>
      <c r="K1550" s="1798"/>
      <c r="L1550" s="1792">
        <v>13135050416</v>
      </c>
      <c r="M1550" s="1793">
        <v>0</v>
      </c>
      <c r="N1550" s="1793">
        <v>0</v>
      </c>
      <c r="O1550" s="1794">
        <v>0</v>
      </c>
    </row>
    <row r="1551" spans="3:15">
      <c r="C1551" s="1799" t="s">
        <v>6039</v>
      </c>
      <c r="D1551" s="1796">
        <v>0</v>
      </c>
      <c r="E1551" s="1796">
        <v>0</v>
      </c>
      <c r="F1551" s="1797">
        <v>0</v>
      </c>
      <c r="G1551" s="1999" t="s">
        <v>6039</v>
      </c>
      <c r="H1551" s="1794">
        <v>0</v>
      </c>
      <c r="I1551" s="1794" t="s">
        <v>4483</v>
      </c>
      <c r="J1551" s="2000">
        <v>0</v>
      </c>
      <c r="K1551" s="1798"/>
      <c r="L1551" s="1792">
        <v>13135050417</v>
      </c>
      <c r="M1551" s="1793">
        <v>0</v>
      </c>
      <c r="N1551" s="1793">
        <v>0</v>
      </c>
      <c r="O1551" s="1794">
        <v>0</v>
      </c>
    </row>
    <row r="1552" spans="3:15">
      <c r="C1552" s="1799" t="s">
        <v>6040</v>
      </c>
      <c r="D1552" s="1796">
        <v>0</v>
      </c>
      <c r="E1552" s="1796">
        <v>0</v>
      </c>
      <c r="F1552" s="1797">
        <v>0</v>
      </c>
      <c r="G1552" s="1999" t="s">
        <v>6040</v>
      </c>
      <c r="H1552" s="1794">
        <v>0</v>
      </c>
      <c r="I1552" s="1794">
        <v>0</v>
      </c>
      <c r="J1552" s="2000">
        <v>0</v>
      </c>
      <c r="K1552" s="1798"/>
      <c r="L1552" s="1792">
        <v>13135050418</v>
      </c>
      <c r="M1552" s="1793">
        <v>0</v>
      </c>
      <c r="N1552" s="1793">
        <v>0</v>
      </c>
      <c r="O1552" s="1794">
        <v>0</v>
      </c>
    </row>
    <row r="1553" spans="3:15">
      <c r="C1553" s="1799" t="s">
        <v>6041</v>
      </c>
      <c r="D1553" s="1796">
        <v>0</v>
      </c>
      <c r="E1553" s="1796">
        <v>0</v>
      </c>
      <c r="F1553" s="1797">
        <v>0</v>
      </c>
      <c r="G1553" s="1999" t="s">
        <v>6041</v>
      </c>
      <c r="H1553" s="1794">
        <v>0</v>
      </c>
      <c r="I1553" s="1794" t="s">
        <v>4483</v>
      </c>
      <c r="J1553" s="2000">
        <v>0</v>
      </c>
      <c r="K1553" s="1798"/>
      <c r="L1553" s="1792">
        <v>13135050419</v>
      </c>
      <c r="M1553" s="1793">
        <v>0</v>
      </c>
      <c r="N1553" s="1793">
        <v>0</v>
      </c>
      <c r="O1553" s="1794">
        <v>0</v>
      </c>
    </row>
    <row r="1554" spans="3:15">
      <c r="C1554" s="1799" t="s">
        <v>6042</v>
      </c>
      <c r="D1554" s="1796">
        <v>0</v>
      </c>
      <c r="E1554" s="1796">
        <v>0</v>
      </c>
      <c r="F1554" s="1797">
        <v>0</v>
      </c>
      <c r="G1554" s="1999" t="s">
        <v>6042</v>
      </c>
      <c r="H1554" s="1794">
        <v>0</v>
      </c>
      <c r="I1554" s="1794">
        <v>0</v>
      </c>
      <c r="J1554" s="2000">
        <v>0</v>
      </c>
      <c r="K1554" s="1798"/>
      <c r="L1554" s="1792">
        <v>13135050421</v>
      </c>
      <c r="M1554" s="1793">
        <v>0</v>
      </c>
      <c r="N1554" s="1793">
        <v>0</v>
      </c>
      <c r="O1554" s="1794">
        <v>0</v>
      </c>
    </row>
    <row r="1555" spans="3:15">
      <c r="C1555" s="1799" t="s">
        <v>6043</v>
      </c>
      <c r="D1555" s="1796">
        <v>0</v>
      </c>
      <c r="E1555" s="1796">
        <v>0</v>
      </c>
      <c r="F1555" s="1797">
        <v>0</v>
      </c>
      <c r="G1555" s="1999" t="s">
        <v>6043</v>
      </c>
      <c r="H1555" s="1794">
        <v>0</v>
      </c>
      <c r="I1555" s="1794">
        <v>0</v>
      </c>
      <c r="J1555" s="2000">
        <v>0</v>
      </c>
      <c r="K1555" s="1798"/>
      <c r="L1555" s="1792">
        <v>13135050422</v>
      </c>
      <c r="M1555" s="1793">
        <v>0</v>
      </c>
      <c r="N1555" s="1793">
        <v>0</v>
      </c>
      <c r="O1555" s="1794">
        <v>0</v>
      </c>
    </row>
    <row r="1556" spans="3:15">
      <c r="C1556" s="1799" t="s">
        <v>6044</v>
      </c>
      <c r="D1556" s="1796">
        <v>0</v>
      </c>
      <c r="E1556" s="1796">
        <v>0</v>
      </c>
      <c r="F1556" s="1797">
        <v>0</v>
      </c>
      <c r="G1556" s="1999" t="s">
        <v>6044</v>
      </c>
      <c r="H1556" s="1794">
        <v>0</v>
      </c>
      <c r="I1556" s="1794" t="s">
        <v>4483</v>
      </c>
      <c r="J1556" s="2000">
        <v>0</v>
      </c>
      <c r="K1556" s="1798"/>
      <c r="L1556" s="1792">
        <v>13135050423</v>
      </c>
      <c r="M1556" s="1793">
        <v>0</v>
      </c>
      <c r="N1556" s="1793">
        <v>0</v>
      </c>
      <c r="O1556" s="1794">
        <v>0</v>
      </c>
    </row>
    <row r="1557" spans="3:15">
      <c r="C1557" s="1799" t="s">
        <v>6045</v>
      </c>
      <c r="D1557" s="1796">
        <v>0</v>
      </c>
      <c r="E1557" s="1796">
        <v>0</v>
      </c>
      <c r="F1557" s="1797">
        <v>0</v>
      </c>
      <c r="G1557" s="1999" t="s">
        <v>6045</v>
      </c>
      <c r="H1557" s="1794">
        <v>0</v>
      </c>
      <c r="I1557" s="1794" t="s">
        <v>4483</v>
      </c>
      <c r="J1557" s="2000">
        <v>0</v>
      </c>
      <c r="K1557" s="1798"/>
      <c r="L1557" s="1792">
        <v>13135050424</v>
      </c>
      <c r="M1557" s="1793">
        <v>0</v>
      </c>
      <c r="N1557" s="1793">
        <v>0</v>
      </c>
      <c r="O1557" s="1794">
        <v>0</v>
      </c>
    </row>
    <row r="1558" spans="3:15">
      <c r="C1558" s="1799" t="s">
        <v>6046</v>
      </c>
      <c r="D1558" s="1796">
        <v>1</v>
      </c>
      <c r="E1558" s="1796">
        <v>1</v>
      </c>
      <c r="F1558" s="1797">
        <v>2</v>
      </c>
      <c r="G1558" s="1999" t="s">
        <v>6046</v>
      </c>
      <c r="H1558" s="1794">
        <v>1</v>
      </c>
      <c r="I1558" s="1794">
        <v>1</v>
      </c>
      <c r="J1558" s="2000">
        <v>2</v>
      </c>
      <c r="K1558" s="1798"/>
      <c r="L1558" s="1792">
        <v>13135050425</v>
      </c>
      <c r="M1558" s="1793">
        <v>1</v>
      </c>
      <c r="N1558" s="1793">
        <v>1</v>
      </c>
      <c r="O1558" s="1794">
        <v>2</v>
      </c>
    </row>
    <row r="1559" spans="3:15">
      <c r="C1559" s="1799" t="s">
        <v>6047</v>
      </c>
      <c r="D1559" s="1796">
        <v>1</v>
      </c>
      <c r="E1559" s="1796">
        <v>1</v>
      </c>
      <c r="F1559" s="1797">
        <v>2</v>
      </c>
      <c r="G1559" s="1999" t="s">
        <v>6047</v>
      </c>
      <c r="H1559" s="1794">
        <v>1</v>
      </c>
      <c r="I1559" s="1794">
        <v>1</v>
      </c>
      <c r="J1559" s="2000">
        <v>2</v>
      </c>
      <c r="K1559" s="1798"/>
      <c r="L1559" s="1792">
        <v>13135050426</v>
      </c>
      <c r="M1559" s="1793">
        <v>1</v>
      </c>
      <c r="N1559" s="1793">
        <v>1</v>
      </c>
      <c r="O1559" s="1794">
        <v>2</v>
      </c>
    </row>
    <row r="1560" spans="3:15">
      <c r="C1560" s="1799" t="s">
        <v>6048</v>
      </c>
      <c r="D1560" s="1796">
        <v>1</v>
      </c>
      <c r="E1560" s="1796">
        <v>1</v>
      </c>
      <c r="F1560" s="1797">
        <v>2</v>
      </c>
      <c r="G1560" s="1999" t="s">
        <v>6048</v>
      </c>
      <c r="H1560" s="1794">
        <v>1</v>
      </c>
      <c r="I1560" s="1794">
        <v>1</v>
      </c>
      <c r="J1560" s="2000">
        <v>2</v>
      </c>
      <c r="K1560" s="1798"/>
      <c r="L1560" s="1792">
        <v>13135050427</v>
      </c>
      <c r="M1560" s="1793">
        <v>1</v>
      </c>
      <c r="N1560" s="1793">
        <v>1</v>
      </c>
      <c r="O1560" s="1794">
        <v>2</v>
      </c>
    </row>
    <row r="1561" spans="3:15">
      <c r="C1561" s="1799" t="s">
        <v>6049</v>
      </c>
      <c r="D1561" s="1796">
        <v>1</v>
      </c>
      <c r="E1561" s="1796">
        <v>1</v>
      </c>
      <c r="F1561" s="1797">
        <v>2</v>
      </c>
      <c r="G1561" s="1999" t="s">
        <v>6049</v>
      </c>
      <c r="H1561" s="1794">
        <v>1</v>
      </c>
      <c r="I1561" s="1794">
        <v>1</v>
      </c>
      <c r="J1561" s="2000">
        <v>2</v>
      </c>
      <c r="K1561" s="1798"/>
      <c r="L1561" s="1792">
        <v>13135050428</v>
      </c>
      <c r="M1561" s="1793">
        <v>1</v>
      </c>
      <c r="N1561" s="1793">
        <v>1</v>
      </c>
      <c r="O1561" s="1794">
        <v>2</v>
      </c>
    </row>
    <row r="1562" spans="3:15">
      <c r="C1562" s="1799" t="s">
        <v>6050</v>
      </c>
      <c r="D1562" s="1796">
        <v>1</v>
      </c>
      <c r="E1562" s="1796">
        <v>1</v>
      </c>
      <c r="F1562" s="1797">
        <v>2</v>
      </c>
      <c r="G1562" s="1999" t="s">
        <v>6050</v>
      </c>
      <c r="H1562" s="1794">
        <v>1</v>
      </c>
      <c r="I1562" s="1794">
        <v>1</v>
      </c>
      <c r="J1562" s="2000">
        <v>2</v>
      </c>
      <c r="K1562" s="1798"/>
      <c r="L1562" s="1792">
        <v>13135050429</v>
      </c>
      <c r="M1562" s="1793">
        <v>1</v>
      </c>
      <c r="N1562" s="1793">
        <v>1</v>
      </c>
      <c r="O1562" s="1794">
        <v>2</v>
      </c>
    </row>
    <row r="1563" spans="3:15">
      <c r="C1563" s="1799" t="s">
        <v>6051</v>
      </c>
      <c r="D1563" s="1796">
        <v>1</v>
      </c>
      <c r="E1563" s="1796">
        <v>1</v>
      </c>
      <c r="F1563" s="1797">
        <v>2</v>
      </c>
      <c r="G1563" s="1999" t="s">
        <v>6051</v>
      </c>
      <c r="H1563" s="1794">
        <v>1</v>
      </c>
      <c r="I1563" s="1794">
        <v>0</v>
      </c>
      <c r="J1563" s="2000">
        <v>1</v>
      </c>
      <c r="K1563" s="1798"/>
      <c r="L1563" s="1792">
        <v>13135050430</v>
      </c>
      <c r="M1563" s="1793">
        <v>1</v>
      </c>
      <c r="N1563" s="1793">
        <v>1</v>
      </c>
      <c r="O1563" s="1794">
        <v>2</v>
      </c>
    </row>
    <row r="1564" spans="3:15">
      <c r="C1564" s="1799" t="s">
        <v>6052</v>
      </c>
      <c r="D1564" s="1796">
        <v>0</v>
      </c>
      <c r="E1564" s="1796">
        <v>0</v>
      </c>
      <c r="F1564" s="1797">
        <v>0</v>
      </c>
      <c r="G1564" s="1999" t="s">
        <v>6052</v>
      </c>
      <c r="H1564" s="1794">
        <v>0</v>
      </c>
      <c r="I1564" s="1794">
        <v>0</v>
      </c>
      <c r="J1564" s="2000">
        <v>0</v>
      </c>
      <c r="K1564" s="1798"/>
      <c r="L1564" s="1792">
        <v>13135050431</v>
      </c>
      <c r="M1564" s="1793">
        <v>0</v>
      </c>
      <c r="N1564" s="1793">
        <v>0</v>
      </c>
      <c r="O1564" s="1794">
        <v>0</v>
      </c>
    </row>
    <row r="1565" spans="3:15">
      <c r="C1565" s="1799" t="s">
        <v>6053</v>
      </c>
      <c r="D1565" s="1796">
        <v>1</v>
      </c>
      <c r="E1565" s="1796">
        <v>1</v>
      </c>
      <c r="F1565" s="1797">
        <v>2</v>
      </c>
      <c r="G1565" s="1999" t="s">
        <v>6053</v>
      </c>
      <c r="H1565" s="1794">
        <v>1</v>
      </c>
      <c r="I1565" s="1794" t="s">
        <v>4483</v>
      </c>
      <c r="J1565" s="2000">
        <v>1</v>
      </c>
      <c r="K1565" s="1798"/>
      <c r="L1565" s="1792">
        <v>13135050432</v>
      </c>
      <c r="M1565" s="1793">
        <v>1</v>
      </c>
      <c r="N1565" s="1793">
        <v>1</v>
      </c>
      <c r="O1565" s="1794">
        <v>2</v>
      </c>
    </row>
    <row r="1566" spans="3:15">
      <c r="C1566" s="1799" t="s">
        <v>6054</v>
      </c>
      <c r="D1566" s="1796">
        <v>0</v>
      </c>
      <c r="E1566" s="1796">
        <v>0</v>
      </c>
      <c r="F1566" s="1797">
        <v>0</v>
      </c>
      <c r="G1566" s="1999" t="s">
        <v>6054</v>
      </c>
      <c r="H1566" s="1794">
        <v>1</v>
      </c>
      <c r="I1566" s="1794">
        <v>0</v>
      </c>
      <c r="J1566" s="2000">
        <v>1</v>
      </c>
      <c r="K1566" s="1798"/>
      <c r="L1566" s="1792">
        <v>13135050433</v>
      </c>
      <c r="M1566" s="1793">
        <v>1</v>
      </c>
      <c r="N1566" s="1793">
        <v>0</v>
      </c>
      <c r="O1566" s="1794">
        <v>1</v>
      </c>
    </row>
    <row r="1567" spans="3:15">
      <c r="C1567" s="1799" t="s">
        <v>6055</v>
      </c>
      <c r="D1567" s="1796">
        <v>0</v>
      </c>
      <c r="E1567" s="1796">
        <v>0</v>
      </c>
      <c r="F1567" s="1797">
        <v>0</v>
      </c>
      <c r="G1567" s="1999" t="s">
        <v>6055</v>
      </c>
      <c r="H1567" s="1794">
        <v>1</v>
      </c>
      <c r="I1567" s="1794">
        <v>0</v>
      </c>
      <c r="J1567" s="2000">
        <v>1</v>
      </c>
      <c r="K1567" s="1798"/>
      <c r="L1567" s="1792">
        <v>13135050434</v>
      </c>
      <c r="M1567" s="1793">
        <v>1</v>
      </c>
      <c r="N1567" s="1793">
        <v>0</v>
      </c>
      <c r="O1567" s="1794">
        <v>1</v>
      </c>
    </row>
    <row r="1568" spans="3:15">
      <c r="C1568" s="1799" t="s">
        <v>6056</v>
      </c>
      <c r="D1568" s="1796">
        <v>1</v>
      </c>
      <c r="E1568" s="1796">
        <v>0</v>
      </c>
      <c r="F1568" s="1797">
        <v>1</v>
      </c>
      <c r="G1568" s="1999" t="s">
        <v>6056</v>
      </c>
      <c r="H1568" s="1794">
        <v>0</v>
      </c>
      <c r="I1568" s="1794">
        <v>0</v>
      </c>
      <c r="J1568" s="2000">
        <v>0</v>
      </c>
      <c r="K1568" s="1798"/>
      <c r="L1568" s="1792">
        <v>13135050435</v>
      </c>
      <c r="M1568" s="1793">
        <v>1</v>
      </c>
      <c r="N1568" s="1793">
        <v>0</v>
      </c>
      <c r="O1568" s="1794">
        <v>1</v>
      </c>
    </row>
    <row r="1569" spans="3:15">
      <c r="C1569" s="1799" t="s">
        <v>6057</v>
      </c>
      <c r="D1569" s="1796">
        <v>0</v>
      </c>
      <c r="E1569" s="1796">
        <v>0</v>
      </c>
      <c r="F1569" s="1797">
        <v>0</v>
      </c>
      <c r="G1569" s="1999" t="s">
        <v>6057</v>
      </c>
      <c r="H1569" s="1794">
        <v>0</v>
      </c>
      <c r="I1569" s="1794">
        <v>0</v>
      </c>
      <c r="J1569" s="2000">
        <v>0</v>
      </c>
      <c r="K1569" s="1798"/>
      <c r="L1569" s="1792">
        <v>13135050436</v>
      </c>
      <c r="M1569" s="1793">
        <v>0</v>
      </c>
      <c r="N1569" s="1793">
        <v>0</v>
      </c>
      <c r="O1569" s="1794">
        <v>0</v>
      </c>
    </row>
    <row r="1570" spans="3:15">
      <c r="C1570" s="1799" t="s">
        <v>6058</v>
      </c>
      <c r="D1570" s="1796">
        <v>1</v>
      </c>
      <c r="E1570" s="1796">
        <v>0</v>
      </c>
      <c r="F1570" s="1797">
        <v>1</v>
      </c>
      <c r="G1570" s="1999" t="s">
        <v>6058</v>
      </c>
      <c r="H1570" s="1794">
        <v>0</v>
      </c>
      <c r="I1570" s="1794">
        <v>0</v>
      </c>
      <c r="J1570" s="2000">
        <v>0</v>
      </c>
      <c r="K1570" s="1798"/>
      <c r="L1570" s="1792">
        <v>13135050511</v>
      </c>
      <c r="M1570" s="1793">
        <v>1</v>
      </c>
      <c r="N1570" s="1793">
        <v>0</v>
      </c>
      <c r="O1570" s="1794">
        <v>1</v>
      </c>
    </row>
    <row r="1571" spans="3:15">
      <c r="C1571" s="1799" t="s">
        <v>6059</v>
      </c>
      <c r="D1571" s="1796">
        <v>0</v>
      </c>
      <c r="E1571" s="1796">
        <v>0</v>
      </c>
      <c r="F1571" s="1797">
        <v>0</v>
      </c>
      <c r="G1571" s="1999" t="s">
        <v>6059</v>
      </c>
      <c r="H1571" s="1794">
        <v>0</v>
      </c>
      <c r="I1571" s="1794">
        <v>0</v>
      </c>
      <c r="J1571" s="2000">
        <v>0</v>
      </c>
      <c r="K1571" s="1798"/>
      <c r="L1571" s="1792">
        <v>13135050520</v>
      </c>
      <c r="M1571" s="1793">
        <v>0</v>
      </c>
      <c r="N1571" s="1793">
        <v>0</v>
      </c>
      <c r="O1571" s="1794">
        <v>0</v>
      </c>
    </row>
    <row r="1572" spans="3:15">
      <c r="C1572" s="1799" t="s">
        <v>6060</v>
      </c>
      <c r="D1572" s="1796">
        <v>0</v>
      </c>
      <c r="E1572" s="1796">
        <v>0</v>
      </c>
      <c r="F1572" s="1797">
        <v>0</v>
      </c>
      <c r="G1572" s="1999" t="s">
        <v>6060</v>
      </c>
      <c r="H1572" s="1794">
        <v>0</v>
      </c>
      <c r="I1572" s="1794">
        <v>0</v>
      </c>
      <c r="J1572" s="2000">
        <v>0</v>
      </c>
      <c r="K1572" s="1798"/>
      <c r="L1572" s="1792">
        <v>13135050521</v>
      </c>
      <c r="M1572" s="1793">
        <v>0</v>
      </c>
      <c r="N1572" s="1793">
        <v>0</v>
      </c>
      <c r="O1572" s="1794">
        <v>0</v>
      </c>
    </row>
    <row r="1573" spans="3:15">
      <c r="C1573" s="1799" t="s">
        <v>6061</v>
      </c>
      <c r="D1573" s="1796">
        <v>0</v>
      </c>
      <c r="E1573" s="1796">
        <v>0</v>
      </c>
      <c r="F1573" s="1797">
        <v>0</v>
      </c>
      <c r="G1573" s="1999" t="s">
        <v>6061</v>
      </c>
      <c r="H1573" s="1794">
        <v>0</v>
      </c>
      <c r="I1573" s="1794">
        <v>0</v>
      </c>
      <c r="J1573" s="2000">
        <v>0</v>
      </c>
      <c r="K1573" s="1798"/>
      <c r="L1573" s="1792">
        <v>13135050522</v>
      </c>
      <c r="M1573" s="1793">
        <v>0</v>
      </c>
      <c r="N1573" s="1793">
        <v>0</v>
      </c>
      <c r="O1573" s="1794">
        <v>0</v>
      </c>
    </row>
    <row r="1574" spans="3:15">
      <c r="C1574" s="1799" t="s">
        <v>6062</v>
      </c>
      <c r="D1574" s="1796">
        <v>1</v>
      </c>
      <c r="E1574" s="1796">
        <v>1</v>
      </c>
      <c r="F1574" s="1797">
        <v>2</v>
      </c>
      <c r="G1574" s="1999" t="s">
        <v>6062</v>
      </c>
      <c r="H1574" s="1794">
        <v>0</v>
      </c>
      <c r="I1574" s="1794" t="s">
        <v>4483</v>
      </c>
      <c r="J1574" s="2000">
        <v>0</v>
      </c>
      <c r="K1574" s="1798"/>
      <c r="L1574" s="1792">
        <v>13135050523</v>
      </c>
      <c r="M1574" s="1793">
        <v>1</v>
      </c>
      <c r="N1574" s="1793">
        <v>1</v>
      </c>
      <c r="O1574" s="1794">
        <v>2</v>
      </c>
    </row>
    <row r="1575" spans="3:15">
      <c r="C1575" s="1799" t="s">
        <v>6063</v>
      </c>
      <c r="D1575" s="1796">
        <v>0</v>
      </c>
      <c r="E1575" s="1796">
        <v>0</v>
      </c>
      <c r="F1575" s="1797">
        <v>0</v>
      </c>
      <c r="G1575" s="1999" t="s">
        <v>6063</v>
      </c>
      <c r="H1575" s="1794">
        <v>0</v>
      </c>
      <c r="I1575" s="1794">
        <v>0</v>
      </c>
      <c r="J1575" s="2000">
        <v>0</v>
      </c>
      <c r="K1575" s="1798"/>
      <c r="L1575" s="1792">
        <v>13135050524</v>
      </c>
      <c r="M1575" s="1793">
        <v>0</v>
      </c>
      <c r="N1575" s="1793">
        <v>0</v>
      </c>
      <c r="O1575" s="1794">
        <v>0</v>
      </c>
    </row>
    <row r="1576" spans="3:15">
      <c r="C1576" s="1799" t="s">
        <v>6064</v>
      </c>
      <c r="D1576" s="1796">
        <v>1</v>
      </c>
      <c r="E1576" s="1796">
        <v>1</v>
      </c>
      <c r="F1576" s="1797">
        <v>2</v>
      </c>
      <c r="G1576" s="1999" t="s">
        <v>6064</v>
      </c>
      <c r="H1576" s="1794">
        <v>1</v>
      </c>
      <c r="I1576" s="1794">
        <v>1</v>
      </c>
      <c r="J1576" s="2000">
        <v>2</v>
      </c>
      <c r="K1576" s="1798"/>
      <c r="L1576" s="1792">
        <v>13135050525</v>
      </c>
      <c r="M1576" s="1793">
        <v>1</v>
      </c>
      <c r="N1576" s="1793">
        <v>1</v>
      </c>
      <c r="O1576" s="1794">
        <v>2</v>
      </c>
    </row>
    <row r="1577" spans="3:15">
      <c r="C1577" s="1799" t="s">
        <v>6065</v>
      </c>
      <c r="D1577" s="1796">
        <v>0</v>
      </c>
      <c r="E1577" s="1796">
        <v>0</v>
      </c>
      <c r="F1577" s="1797">
        <v>0</v>
      </c>
      <c r="G1577" s="1999" t="s">
        <v>6065</v>
      </c>
      <c r="H1577" s="1794">
        <v>1</v>
      </c>
      <c r="I1577" s="1794">
        <v>0</v>
      </c>
      <c r="J1577" s="2000">
        <v>1</v>
      </c>
      <c r="K1577" s="1798"/>
      <c r="L1577" s="1792">
        <v>13135050526</v>
      </c>
      <c r="M1577" s="1793">
        <v>1</v>
      </c>
      <c r="N1577" s="1793">
        <v>0</v>
      </c>
      <c r="O1577" s="1794">
        <v>1</v>
      </c>
    </row>
    <row r="1578" spans="3:15">
      <c r="C1578" s="1799" t="s">
        <v>6066</v>
      </c>
      <c r="D1578" s="1796">
        <v>1</v>
      </c>
      <c r="E1578" s="1796">
        <v>1</v>
      </c>
      <c r="F1578" s="1797">
        <v>2</v>
      </c>
      <c r="G1578" s="1999" t="s">
        <v>6066</v>
      </c>
      <c r="H1578" s="1794">
        <v>1</v>
      </c>
      <c r="I1578" s="1794">
        <v>1</v>
      </c>
      <c r="J1578" s="2000">
        <v>2</v>
      </c>
      <c r="K1578" s="1798"/>
      <c r="L1578" s="1792">
        <v>13135050527</v>
      </c>
      <c r="M1578" s="1793">
        <v>1</v>
      </c>
      <c r="N1578" s="1793">
        <v>1</v>
      </c>
      <c r="O1578" s="1794">
        <v>2</v>
      </c>
    </row>
    <row r="1579" spans="3:15">
      <c r="C1579" s="1799" t="s">
        <v>6067</v>
      </c>
      <c r="D1579" s="1796">
        <v>1</v>
      </c>
      <c r="E1579" s="1796">
        <v>1</v>
      </c>
      <c r="F1579" s="1797">
        <v>2</v>
      </c>
      <c r="G1579" s="1999" t="s">
        <v>6067</v>
      </c>
      <c r="H1579" s="1794">
        <v>1</v>
      </c>
      <c r="I1579" s="1794">
        <v>1</v>
      </c>
      <c r="J1579" s="2000">
        <v>2</v>
      </c>
      <c r="K1579" s="1798"/>
      <c r="L1579" s="1792">
        <v>13135050528</v>
      </c>
      <c r="M1579" s="1793">
        <v>1</v>
      </c>
      <c r="N1579" s="1793">
        <v>1</v>
      </c>
      <c r="O1579" s="1794">
        <v>2</v>
      </c>
    </row>
    <row r="1580" spans="3:15">
      <c r="C1580" s="1799" t="s">
        <v>6068</v>
      </c>
      <c r="D1580" s="1796">
        <v>1</v>
      </c>
      <c r="E1580" s="1796">
        <v>0</v>
      </c>
      <c r="F1580" s="1797">
        <v>1</v>
      </c>
      <c r="G1580" s="1999" t="s">
        <v>6068</v>
      </c>
      <c r="H1580" s="1794">
        <v>1</v>
      </c>
      <c r="I1580" s="1794" t="s">
        <v>4483</v>
      </c>
      <c r="J1580" s="2000">
        <v>1</v>
      </c>
      <c r="K1580" s="1798"/>
      <c r="L1580" s="1792">
        <v>13135050529</v>
      </c>
      <c r="M1580" s="1793">
        <v>1</v>
      </c>
      <c r="N1580" s="1793">
        <v>0</v>
      </c>
      <c r="O1580" s="1794">
        <v>1</v>
      </c>
    </row>
    <row r="1581" spans="3:15">
      <c r="C1581" s="1799" t="s">
        <v>6069</v>
      </c>
      <c r="D1581" s="1796">
        <v>1</v>
      </c>
      <c r="E1581" s="1796">
        <v>1</v>
      </c>
      <c r="F1581" s="1797">
        <v>2</v>
      </c>
      <c r="G1581" s="1999" t="s">
        <v>6069</v>
      </c>
      <c r="H1581" s="1794">
        <v>1</v>
      </c>
      <c r="I1581" s="1794">
        <v>1</v>
      </c>
      <c r="J1581" s="2000">
        <v>2</v>
      </c>
      <c r="K1581" s="1798"/>
      <c r="L1581" s="1792">
        <v>13135050530</v>
      </c>
      <c r="M1581" s="1793">
        <v>1</v>
      </c>
      <c r="N1581" s="1793">
        <v>1</v>
      </c>
      <c r="O1581" s="1794">
        <v>2</v>
      </c>
    </row>
    <row r="1582" spans="3:15">
      <c r="C1582" s="1799" t="s">
        <v>6070</v>
      </c>
      <c r="D1582" s="1796">
        <v>1</v>
      </c>
      <c r="E1582" s="1796">
        <v>0</v>
      </c>
      <c r="F1582" s="1797">
        <v>1</v>
      </c>
      <c r="G1582" s="1999" t="s">
        <v>6070</v>
      </c>
      <c r="H1582" s="1794">
        <v>0</v>
      </c>
      <c r="I1582" s="1794">
        <v>0</v>
      </c>
      <c r="J1582" s="2000">
        <v>0</v>
      </c>
      <c r="K1582" s="1798"/>
      <c r="L1582" s="1792">
        <v>13135050531</v>
      </c>
      <c r="M1582" s="1793">
        <v>1</v>
      </c>
      <c r="N1582" s="1793">
        <v>0</v>
      </c>
      <c r="O1582" s="1794">
        <v>1</v>
      </c>
    </row>
    <row r="1583" spans="3:15">
      <c r="C1583" s="1799" t="s">
        <v>6071</v>
      </c>
      <c r="D1583" s="1796">
        <v>1</v>
      </c>
      <c r="E1583" s="1796">
        <v>0</v>
      </c>
      <c r="F1583" s="1797">
        <v>1</v>
      </c>
      <c r="G1583" s="1999" t="s">
        <v>6071</v>
      </c>
      <c r="H1583" s="1794">
        <v>1</v>
      </c>
      <c r="I1583" s="1794">
        <v>0</v>
      </c>
      <c r="J1583" s="2000">
        <v>1</v>
      </c>
      <c r="K1583" s="1798"/>
      <c r="L1583" s="1792">
        <v>13135050532</v>
      </c>
      <c r="M1583" s="1793">
        <v>1</v>
      </c>
      <c r="N1583" s="1793">
        <v>0</v>
      </c>
      <c r="O1583" s="1794">
        <v>1</v>
      </c>
    </row>
    <row r="1584" spans="3:15">
      <c r="C1584" s="1799" t="s">
        <v>6072</v>
      </c>
      <c r="D1584" s="1796">
        <v>1</v>
      </c>
      <c r="E1584" s="1796">
        <v>0</v>
      </c>
      <c r="F1584" s="1797">
        <v>1</v>
      </c>
      <c r="G1584" s="1999" t="s">
        <v>6072</v>
      </c>
      <c r="H1584" s="1794">
        <v>1</v>
      </c>
      <c r="I1584" s="1794">
        <v>0</v>
      </c>
      <c r="J1584" s="2000">
        <v>1</v>
      </c>
      <c r="K1584" s="1798"/>
      <c r="L1584" s="1792">
        <v>13135050533</v>
      </c>
      <c r="M1584" s="1793">
        <v>1</v>
      </c>
      <c r="N1584" s="1793">
        <v>0</v>
      </c>
      <c r="O1584" s="1794">
        <v>1</v>
      </c>
    </row>
    <row r="1585" spans="3:15">
      <c r="C1585" s="1799" t="s">
        <v>6073</v>
      </c>
      <c r="D1585" s="1796">
        <v>1</v>
      </c>
      <c r="E1585" s="1796">
        <v>1</v>
      </c>
      <c r="F1585" s="1797">
        <v>2</v>
      </c>
      <c r="G1585" s="1999" t="s">
        <v>6073</v>
      </c>
      <c r="H1585" s="1794">
        <v>1</v>
      </c>
      <c r="I1585" s="1794" t="s">
        <v>4483</v>
      </c>
      <c r="J1585" s="2000">
        <v>1</v>
      </c>
      <c r="K1585" s="1798"/>
      <c r="L1585" s="1792">
        <v>13135050534</v>
      </c>
      <c r="M1585" s="1793">
        <v>1</v>
      </c>
      <c r="N1585" s="1793">
        <v>1</v>
      </c>
      <c r="O1585" s="1794">
        <v>2</v>
      </c>
    </row>
    <row r="1586" spans="3:15">
      <c r="C1586" s="1799" t="s">
        <v>6074</v>
      </c>
      <c r="D1586" s="1796">
        <v>1</v>
      </c>
      <c r="E1586" s="1796">
        <v>0</v>
      </c>
      <c r="F1586" s="1797">
        <v>1</v>
      </c>
      <c r="G1586" s="1999" t="s">
        <v>6074</v>
      </c>
      <c r="H1586" s="1794">
        <v>1</v>
      </c>
      <c r="I1586" s="1794">
        <v>0</v>
      </c>
      <c r="J1586" s="2000">
        <v>1</v>
      </c>
      <c r="K1586" s="1798"/>
      <c r="L1586" s="1792">
        <v>13135050535</v>
      </c>
      <c r="M1586" s="1793">
        <v>1</v>
      </c>
      <c r="N1586" s="1793">
        <v>0</v>
      </c>
      <c r="O1586" s="1794">
        <v>1</v>
      </c>
    </row>
    <row r="1587" spans="3:15">
      <c r="C1587" s="1799" t="s">
        <v>6075</v>
      </c>
      <c r="D1587" s="1796">
        <v>1</v>
      </c>
      <c r="E1587" s="1796">
        <v>1</v>
      </c>
      <c r="F1587" s="1797">
        <v>2</v>
      </c>
      <c r="G1587" s="1999" t="s">
        <v>6075</v>
      </c>
      <c r="H1587" s="1794">
        <v>1</v>
      </c>
      <c r="I1587" s="1794">
        <v>0</v>
      </c>
      <c r="J1587" s="2000">
        <v>1</v>
      </c>
      <c r="K1587" s="1798"/>
      <c r="L1587" s="1792">
        <v>13135050536</v>
      </c>
      <c r="M1587" s="1793">
        <v>1</v>
      </c>
      <c r="N1587" s="1793">
        <v>1</v>
      </c>
      <c r="O1587" s="1794">
        <v>2</v>
      </c>
    </row>
    <row r="1588" spans="3:15">
      <c r="C1588" s="1799" t="s">
        <v>6076</v>
      </c>
      <c r="D1588" s="1796">
        <v>0</v>
      </c>
      <c r="E1588" s="1796">
        <v>0</v>
      </c>
      <c r="F1588" s="1797">
        <v>0</v>
      </c>
      <c r="G1588" s="1999" t="s">
        <v>6076</v>
      </c>
      <c r="H1588" s="1794">
        <v>0</v>
      </c>
      <c r="I1588" s="1794" t="s">
        <v>4483</v>
      </c>
      <c r="J1588" s="2000">
        <v>0</v>
      </c>
      <c r="K1588" s="1798"/>
      <c r="L1588" s="1792">
        <v>13135050537</v>
      </c>
      <c r="M1588" s="1793">
        <v>0</v>
      </c>
      <c r="N1588" s="1793">
        <v>0</v>
      </c>
      <c r="O1588" s="1794">
        <v>0</v>
      </c>
    </row>
    <row r="1589" spans="3:15">
      <c r="C1589" s="1799" t="s">
        <v>6077</v>
      </c>
      <c r="D1589" s="1796">
        <v>1</v>
      </c>
      <c r="E1589" s="1796">
        <v>1</v>
      </c>
      <c r="F1589" s="1797">
        <v>2</v>
      </c>
      <c r="G1589" s="1999" t="s">
        <v>6077</v>
      </c>
      <c r="H1589" s="1794">
        <v>1</v>
      </c>
      <c r="I1589" s="1794">
        <v>0</v>
      </c>
      <c r="J1589" s="2000">
        <v>1</v>
      </c>
      <c r="K1589" s="1798"/>
      <c r="L1589" s="1792">
        <v>13135050538</v>
      </c>
      <c r="M1589" s="1793">
        <v>1</v>
      </c>
      <c r="N1589" s="1793">
        <v>1</v>
      </c>
      <c r="O1589" s="1794">
        <v>2</v>
      </c>
    </row>
    <row r="1590" spans="3:15">
      <c r="C1590" s="1799" t="s">
        <v>6078</v>
      </c>
      <c r="D1590" s="1796">
        <v>0</v>
      </c>
      <c r="E1590" s="1796">
        <v>0</v>
      </c>
      <c r="F1590" s="1797">
        <v>0</v>
      </c>
      <c r="G1590" s="1999" t="s">
        <v>6078</v>
      </c>
      <c r="H1590" s="1794">
        <v>0</v>
      </c>
      <c r="I1590" s="1794">
        <v>0</v>
      </c>
      <c r="J1590" s="2000">
        <v>0</v>
      </c>
      <c r="K1590" s="1798"/>
      <c r="L1590" s="1792">
        <v>13135050539</v>
      </c>
      <c r="M1590" s="1793">
        <v>0</v>
      </c>
      <c r="N1590" s="1793">
        <v>0</v>
      </c>
      <c r="O1590" s="1794">
        <v>0</v>
      </c>
    </row>
    <row r="1591" spans="3:15">
      <c r="C1591" s="1799" t="s">
        <v>6079</v>
      </c>
      <c r="D1591" s="1796">
        <v>1</v>
      </c>
      <c r="E1591" s="1796">
        <v>1</v>
      </c>
      <c r="F1591" s="1797">
        <v>2</v>
      </c>
      <c r="G1591" s="1999" t="s">
        <v>6079</v>
      </c>
      <c r="H1591" s="1794">
        <v>0</v>
      </c>
      <c r="I1591" s="1794">
        <v>0</v>
      </c>
      <c r="J1591" s="2000">
        <v>0</v>
      </c>
      <c r="K1591" s="1798"/>
      <c r="L1591" s="1792">
        <v>13135050540</v>
      </c>
      <c r="M1591" s="1793">
        <v>1</v>
      </c>
      <c r="N1591" s="1793">
        <v>1</v>
      </c>
      <c r="O1591" s="1794">
        <v>2</v>
      </c>
    </row>
    <row r="1592" spans="3:15">
      <c r="C1592" s="1799" t="s">
        <v>6080</v>
      </c>
      <c r="D1592" s="1796">
        <v>0</v>
      </c>
      <c r="E1592" s="1796">
        <v>0</v>
      </c>
      <c r="F1592" s="1797">
        <v>0</v>
      </c>
      <c r="G1592" s="1999" t="s">
        <v>6080</v>
      </c>
      <c r="H1592" s="1794">
        <v>0</v>
      </c>
      <c r="I1592" s="1794" t="s">
        <v>4483</v>
      </c>
      <c r="J1592" s="2000">
        <v>0</v>
      </c>
      <c r="K1592" s="1798"/>
      <c r="L1592" s="1792">
        <v>13135050541</v>
      </c>
      <c r="M1592" s="1793">
        <v>0</v>
      </c>
      <c r="N1592" s="1793">
        <v>0</v>
      </c>
      <c r="O1592" s="1794">
        <v>0</v>
      </c>
    </row>
    <row r="1593" spans="3:15">
      <c r="C1593" s="1799" t="s">
        <v>6081</v>
      </c>
      <c r="D1593" s="1796">
        <v>0</v>
      </c>
      <c r="E1593" s="1796">
        <v>0</v>
      </c>
      <c r="F1593" s="1797">
        <v>0</v>
      </c>
      <c r="G1593" s="1999" t="s">
        <v>6081</v>
      </c>
      <c r="H1593" s="1794">
        <v>0</v>
      </c>
      <c r="I1593" s="1794">
        <v>0</v>
      </c>
      <c r="J1593" s="2000">
        <v>0</v>
      </c>
      <c r="K1593" s="1798"/>
      <c r="L1593" s="1792">
        <v>13135050542</v>
      </c>
      <c r="M1593" s="1793">
        <v>0</v>
      </c>
      <c r="N1593" s="1793">
        <v>0</v>
      </c>
      <c r="O1593" s="1794">
        <v>0</v>
      </c>
    </row>
    <row r="1594" spans="3:15">
      <c r="C1594" s="1799" t="s">
        <v>6082</v>
      </c>
      <c r="D1594" s="1796">
        <v>1</v>
      </c>
      <c r="E1594" s="1796">
        <v>1</v>
      </c>
      <c r="F1594" s="1797">
        <v>2</v>
      </c>
      <c r="G1594" s="1999" t="s">
        <v>6082</v>
      </c>
      <c r="H1594" s="1794">
        <v>1</v>
      </c>
      <c r="I1594" s="1794">
        <v>1</v>
      </c>
      <c r="J1594" s="2000">
        <v>2</v>
      </c>
      <c r="K1594" s="1798"/>
      <c r="L1594" s="1792">
        <v>13135050543</v>
      </c>
      <c r="M1594" s="1793">
        <v>1</v>
      </c>
      <c r="N1594" s="1793">
        <v>1</v>
      </c>
      <c r="O1594" s="1794">
        <v>2</v>
      </c>
    </row>
    <row r="1595" spans="3:15">
      <c r="C1595" s="1799" t="s">
        <v>6083</v>
      </c>
      <c r="D1595" s="1796">
        <v>1</v>
      </c>
      <c r="E1595" s="1796">
        <v>1</v>
      </c>
      <c r="F1595" s="1797">
        <v>2</v>
      </c>
      <c r="G1595" s="1999" t="s">
        <v>6083</v>
      </c>
      <c r="H1595" s="1794">
        <v>1</v>
      </c>
      <c r="I1595" s="1794">
        <v>1</v>
      </c>
      <c r="J1595" s="2000">
        <v>2</v>
      </c>
      <c r="K1595" s="1798"/>
      <c r="L1595" s="1792">
        <v>13135050544</v>
      </c>
      <c r="M1595" s="1793">
        <v>1</v>
      </c>
      <c r="N1595" s="1793">
        <v>1</v>
      </c>
      <c r="O1595" s="1794">
        <v>2</v>
      </c>
    </row>
    <row r="1596" spans="3:15">
      <c r="C1596" s="1799" t="s">
        <v>6084</v>
      </c>
      <c r="D1596" s="1796">
        <v>1</v>
      </c>
      <c r="E1596" s="1796">
        <v>0</v>
      </c>
      <c r="F1596" s="1797">
        <v>1</v>
      </c>
      <c r="G1596" s="1999" t="s">
        <v>6084</v>
      </c>
      <c r="H1596" s="1794">
        <v>1</v>
      </c>
      <c r="I1596" s="1794">
        <v>0</v>
      </c>
      <c r="J1596" s="2000">
        <v>1</v>
      </c>
      <c r="K1596" s="1798"/>
      <c r="L1596" s="1792">
        <v>13135050545</v>
      </c>
      <c r="M1596" s="1793">
        <v>1</v>
      </c>
      <c r="N1596" s="1793">
        <v>0</v>
      </c>
      <c r="O1596" s="1794">
        <v>1</v>
      </c>
    </row>
    <row r="1597" spans="3:15">
      <c r="C1597" s="1799" t="s">
        <v>6085</v>
      </c>
      <c r="D1597" s="1796">
        <v>1</v>
      </c>
      <c r="E1597" s="1796">
        <v>1</v>
      </c>
      <c r="F1597" s="1797">
        <v>2</v>
      </c>
      <c r="G1597" s="1999" t="s">
        <v>6085</v>
      </c>
      <c r="H1597" s="1794">
        <v>1</v>
      </c>
      <c r="I1597" s="1794">
        <v>1</v>
      </c>
      <c r="J1597" s="2000">
        <v>2</v>
      </c>
      <c r="K1597" s="1798"/>
      <c r="L1597" s="1792">
        <v>13135050546</v>
      </c>
      <c r="M1597" s="1793">
        <v>1</v>
      </c>
      <c r="N1597" s="1793">
        <v>1</v>
      </c>
      <c r="O1597" s="1794">
        <v>2</v>
      </c>
    </row>
    <row r="1598" spans="3:15">
      <c r="C1598" s="1799" t="s">
        <v>6086</v>
      </c>
      <c r="D1598" s="1796">
        <v>1</v>
      </c>
      <c r="E1598" s="1796">
        <v>1</v>
      </c>
      <c r="F1598" s="1797">
        <v>2</v>
      </c>
      <c r="G1598" s="1999" t="s">
        <v>6086</v>
      </c>
      <c r="H1598" s="1794">
        <v>1</v>
      </c>
      <c r="I1598" s="1794">
        <v>1</v>
      </c>
      <c r="J1598" s="2000">
        <v>2</v>
      </c>
      <c r="K1598" s="1798"/>
      <c r="L1598" s="1792">
        <v>13135050547</v>
      </c>
      <c r="M1598" s="1793">
        <v>1</v>
      </c>
      <c r="N1598" s="1793">
        <v>1</v>
      </c>
      <c r="O1598" s="1794">
        <v>2</v>
      </c>
    </row>
    <row r="1599" spans="3:15">
      <c r="C1599" s="1799" t="s">
        <v>6087</v>
      </c>
      <c r="D1599" s="1796">
        <v>1</v>
      </c>
      <c r="E1599" s="1796">
        <v>1</v>
      </c>
      <c r="F1599" s="1797">
        <v>2</v>
      </c>
      <c r="G1599" s="1999" t="s">
        <v>6087</v>
      </c>
      <c r="H1599" s="1794">
        <v>1</v>
      </c>
      <c r="I1599" s="1794">
        <v>1</v>
      </c>
      <c r="J1599" s="2000">
        <v>2</v>
      </c>
      <c r="K1599" s="1798"/>
      <c r="L1599" s="1792">
        <v>13135050548</v>
      </c>
      <c r="M1599" s="1793">
        <v>1</v>
      </c>
      <c r="N1599" s="1793">
        <v>1</v>
      </c>
      <c r="O1599" s="1794">
        <v>2</v>
      </c>
    </row>
    <row r="1600" spans="3:15">
      <c r="C1600" s="1799" t="s">
        <v>6088</v>
      </c>
      <c r="D1600" s="1796">
        <v>1</v>
      </c>
      <c r="E1600" s="1796">
        <v>1</v>
      </c>
      <c r="F1600" s="1797">
        <v>2</v>
      </c>
      <c r="G1600" s="1999" t="s">
        <v>6088</v>
      </c>
      <c r="H1600" s="1794">
        <v>1</v>
      </c>
      <c r="I1600" s="1794">
        <v>1</v>
      </c>
      <c r="J1600" s="2000">
        <v>2</v>
      </c>
      <c r="K1600" s="1798"/>
      <c r="L1600" s="1792">
        <v>13135050549</v>
      </c>
      <c r="M1600" s="1793">
        <v>1</v>
      </c>
      <c r="N1600" s="1793">
        <v>1</v>
      </c>
      <c r="O1600" s="1794">
        <v>2</v>
      </c>
    </row>
    <row r="1601" spans="3:15">
      <c r="C1601" s="1799" t="s">
        <v>6089</v>
      </c>
      <c r="D1601" s="1796">
        <v>1</v>
      </c>
      <c r="E1601" s="1796">
        <v>1</v>
      </c>
      <c r="F1601" s="1797">
        <v>2</v>
      </c>
      <c r="G1601" s="1999" t="s">
        <v>6089</v>
      </c>
      <c r="H1601" s="1794">
        <v>1</v>
      </c>
      <c r="I1601" s="1794">
        <v>1</v>
      </c>
      <c r="J1601" s="2000">
        <v>2</v>
      </c>
      <c r="K1601" s="1798"/>
      <c r="L1601" s="1792">
        <v>13135050605</v>
      </c>
      <c r="M1601" s="1793">
        <v>1</v>
      </c>
      <c r="N1601" s="1793">
        <v>1</v>
      </c>
      <c r="O1601" s="1794">
        <v>2</v>
      </c>
    </row>
    <row r="1602" spans="3:15">
      <c r="C1602" s="1799" t="s">
        <v>6090</v>
      </c>
      <c r="D1602" s="1796">
        <v>1</v>
      </c>
      <c r="E1602" s="1796">
        <v>1</v>
      </c>
      <c r="F1602" s="1797">
        <v>2</v>
      </c>
      <c r="G1602" s="1999" t="s">
        <v>6090</v>
      </c>
      <c r="H1602" s="1794">
        <v>1</v>
      </c>
      <c r="I1602" s="1794">
        <v>1</v>
      </c>
      <c r="J1602" s="2000">
        <v>2</v>
      </c>
      <c r="K1602" s="1798"/>
      <c r="L1602" s="1792">
        <v>13135050606</v>
      </c>
      <c r="M1602" s="1793">
        <v>1</v>
      </c>
      <c r="N1602" s="1793">
        <v>1</v>
      </c>
      <c r="O1602" s="1794">
        <v>2</v>
      </c>
    </row>
    <row r="1603" spans="3:15">
      <c r="C1603" s="1799" t="s">
        <v>6091</v>
      </c>
      <c r="D1603" s="1796">
        <v>1</v>
      </c>
      <c r="E1603" s="1796">
        <v>1</v>
      </c>
      <c r="F1603" s="1797">
        <v>2</v>
      </c>
      <c r="G1603" s="1999" t="s">
        <v>6091</v>
      </c>
      <c r="H1603" s="1794">
        <v>1</v>
      </c>
      <c r="I1603" s="1794">
        <v>1</v>
      </c>
      <c r="J1603" s="2000">
        <v>2</v>
      </c>
      <c r="K1603" s="1798"/>
      <c r="L1603" s="1792">
        <v>13135050607</v>
      </c>
      <c r="M1603" s="1793">
        <v>1</v>
      </c>
      <c r="N1603" s="1793">
        <v>1</v>
      </c>
      <c r="O1603" s="1794">
        <v>2</v>
      </c>
    </row>
    <row r="1604" spans="3:15">
      <c r="C1604" s="1799" t="s">
        <v>6092</v>
      </c>
      <c r="D1604" s="1796">
        <v>1</v>
      </c>
      <c r="E1604" s="1796">
        <v>1</v>
      </c>
      <c r="F1604" s="1797">
        <v>2</v>
      </c>
      <c r="G1604" s="1999" t="s">
        <v>6092</v>
      </c>
      <c r="H1604" s="1794">
        <v>1</v>
      </c>
      <c r="I1604" s="1794">
        <v>1</v>
      </c>
      <c r="J1604" s="2000">
        <v>2</v>
      </c>
      <c r="K1604" s="1798"/>
      <c r="L1604" s="1792">
        <v>13135050608</v>
      </c>
      <c r="M1604" s="1793">
        <v>1</v>
      </c>
      <c r="N1604" s="1793">
        <v>1</v>
      </c>
      <c r="O1604" s="1794">
        <v>2</v>
      </c>
    </row>
    <row r="1605" spans="3:15">
      <c r="C1605" s="1799" t="s">
        <v>6093</v>
      </c>
      <c r="D1605" s="1796">
        <v>1</v>
      </c>
      <c r="E1605" s="1796">
        <v>1</v>
      </c>
      <c r="F1605" s="1797">
        <v>2</v>
      </c>
      <c r="G1605" s="1999" t="s">
        <v>6093</v>
      </c>
      <c r="H1605" s="1794">
        <v>1</v>
      </c>
      <c r="I1605" s="1794">
        <v>1</v>
      </c>
      <c r="J1605" s="2000">
        <v>2</v>
      </c>
      <c r="K1605" s="1798"/>
      <c r="L1605" s="1792">
        <v>13135050609</v>
      </c>
      <c r="M1605" s="1793">
        <v>1</v>
      </c>
      <c r="N1605" s="1793">
        <v>1</v>
      </c>
      <c r="O1605" s="1794">
        <v>2</v>
      </c>
    </row>
    <row r="1606" spans="3:15">
      <c r="C1606" s="1799" t="s">
        <v>6094</v>
      </c>
      <c r="D1606" s="1796">
        <v>1</v>
      </c>
      <c r="E1606" s="1796">
        <v>1</v>
      </c>
      <c r="F1606" s="1797">
        <v>2</v>
      </c>
      <c r="G1606" s="1999" t="s">
        <v>6094</v>
      </c>
      <c r="H1606" s="1794">
        <v>1</v>
      </c>
      <c r="I1606" s="1794">
        <v>1</v>
      </c>
      <c r="J1606" s="2000">
        <v>2</v>
      </c>
      <c r="K1606" s="1798"/>
      <c r="L1606" s="1792">
        <v>13135050610</v>
      </c>
      <c r="M1606" s="1793">
        <v>1</v>
      </c>
      <c r="N1606" s="1793">
        <v>1</v>
      </c>
      <c r="O1606" s="1794">
        <v>2</v>
      </c>
    </row>
    <row r="1607" spans="3:15">
      <c r="C1607" s="1799" t="s">
        <v>6095</v>
      </c>
      <c r="D1607" s="1796">
        <v>0</v>
      </c>
      <c r="E1607" s="1796">
        <v>1</v>
      </c>
      <c r="F1607" s="1797">
        <v>1</v>
      </c>
      <c r="G1607" s="1999" t="s">
        <v>6095</v>
      </c>
      <c r="H1607" s="1794">
        <v>0</v>
      </c>
      <c r="I1607" s="1794">
        <v>1</v>
      </c>
      <c r="J1607" s="2000">
        <v>1</v>
      </c>
      <c r="K1607" s="1798"/>
      <c r="L1607" s="1792">
        <v>13135050709</v>
      </c>
      <c r="M1607" s="1793">
        <v>0</v>
      </c>
      <c r="N1607" s="1793">
        <v>1</v>
      </c>
      <c r="O1607" s="1794">
        <v>1</v>
      </c>
    </row>
    <row r="1608" spans="3:15">
      <c r="C1608" s="1799" t="s">
        <v>6096</v>
      </c>
      <c r="D1608" s="1796">
        <v>1</v>
      </c>
      <c r="E1608" s="1796">
        <v>1</v>
      </c>
      <c r="F1608" s="1797">
        <v>2</v>
      </c>
      <c r="G1608" s="1999" t="s">
        <v>6096</v>
      </c>
      <c r="H1608" s="1794">
        <v>1</v>
      </c>
      <c r="I1608" s="1794">
        <v>1</v>
      </c>
      <c r="J1608" s="2000">
        <v>2</v>
      </c>
      <c r="K1608" s="1798"/>
      <c r="L1608" s="1792">
        <v>13135050712</v>
      </c>
      <c r="M1608" s="1793">
        <v>1</v>
      </c>
      <c r="N1608" s="1793">
        <v>1</v>
      </c>
      <c r="O1608" s="1794">
        <v>2</v>
      </c>
    </row>
    <row r="1609" spans="3:15">
      <c r="C1609" s="1799" t="s">
        <v>6097</v>
      </c>
      <c r="D1609" s="1796">
        <v>1</v>
      </c>
      <c r="E1609" s="1796">
        <v>1</v>
      </c>
      <c r="F1609" s="1797">
        <v>2</v>
      </c>
      <c r="G1609" s="1999" t="s">
        <v>6097</v>
      </c>
      <c r="H1609" s="1794">
        <v>1</v>
      </c>
      <c r="I1609" s="1794">
        <v>1</v>
      </c>
      <c r="J1609" s="2000">
        <v>2</v>
      </c>
      <c r="K1609" s="1798"/>
      <c r="L1609" s="1792">
        <v>13135050713</v>
      </c>
      <c r="M1609" s="1793">
        <v>1</v>
      </c>
      <c r="N1609" s="1793">
        <v>1</v>
      </c>
      <c r="O1609" s="1794">
        <v>2</v>
      </c>
    </row>
    <row r="1610" spans="3:15">
      <c r="C1610" s="1799" t="s">
        <v>6098</v>
      </c>
      <c r="D1610" s="1796">
        <v>1</v>
      </c>
      <c r="E1610" s="1796">
        <v>1</v>
      </c>
      <c r="F1610" s="1797">
        <v>2</v>
      </c>
      <c r="G1610" s="1999" t="s">
        <v>6098</v>
      </c>
      <c r="H1610" s="1794">
        <v>1</v>
      </c>
      <c r="I1610" s="1794">
        <v>1</v>
      </c>
      <c r="J1610" s="2000">
        <v>2</v>
      </c>
      <c r="K1610" s="1798"/>
      <c r="L1610" s="1792">
        <v>13135050714</v>
      </c>
      <c r="M1610" s="1793">
        <v>1</v>
      </c>
      <c r="N1610" s="1793">
        <v>1</v>
      </c>
      <c r="O1610" s="1794">
        <v>2</v>
      </c>
    </row>
    <row r="1611" spans="3:15">
      <c r="C1611" s="1799" t="s">
        <v>6099</v>
      </c>
      <c r="D1611" s="1796">
        <v>1</v>
      </c>
      <c r="E1611" s="1796">
        <v>1</v>
      </c>
      <c r="F1611" s="1797">
        <v>2</v>
      </c>
      <c r="G1611" s="1999" t="s">
        <v>6099</v>
      </c>
      <c r="H1611" s="1794">
        <v>1</v>
      </c>
      <c r="I1611" s="1794">
        <v>1</v>
      </c>
      <c r="J1611" s="2000">
        <v>2</v>
      </c>
      <c r="K1611" s="1798"/>
      <c r="L1611" s="1792">
        <v>13135050715</v>
      </c>
      <c r="M1611" s="1793">
        <v>1</v>
      </c>
      <c r="N1611" s="1793">
        <v>1</v>
      </c>
      <c r="O1611" s="1794">
        <v>2</v>
      </c>
    </row>
    <row r="1612" spans="3:15">
      <c r="C1612" s="1799" t="s">
        <v>6100</v>
      </c>
      <c r="D1612" s="1796">
        <v>1</v>
      </c>
      <c r="E1612" s="1796">
        <v>1</v>
      </c>
      <c r="F1612" s="1797">
        <v>2</v>
      </c>
      <c r="G1612" s="1999" t="s">
        <v>6100</v>
      </c>
      <c r="H1612" s="1794">
        <v>1</v>
      </c>
      <c r="I1612" s="1794" t="s">
        <v>4483</v>
      </c>
      <c r="J1612" s="2000">
        <v>1</v>
      </c>
      <c r="K1612" s="1798"/>
      <c r="L1612" s="1792">
        <v>13135050718</v>
      </c>
      <c r="M1612" s="1793">
        <v>1</v>
      </c>
      <c r="N1612" s="1793">
        <v>1</v>
      </c>
      <c r="O1612" s="1794">
        <v>2</v>
      </c>
    </row>
    <row r="1613" spans="3:15">
      <c r="C1613" s="1799" t="s">
        <v>6101</v>
      </c>
      <c r="D1613" s="1796">
        <v>1</v>
      </c>
      <c r="E1613" s="1796">
        <v>1</v>
      </c>
      <c r="F1613" s="1797">
        <v>2</v>
      </c>
      <c r="G1613" s="1999" t="s">
        <v>6101</v>
      </c>
      <c r="H1613" s="1794">
        <v>1</v>
      </c>
      <c r="I1613" s="1794">
        <v>0</v>
      </c>
      <c r="J1613" s="2000">
        <v>1</v>
      </c>
      <c r="K1613" s="1798"/>
      <c r="L1613" s="1792">
        <v>13135050719</v>
      </c>
      <c r="M1613" s="1793">
        <v>1</v>
      </c>
      <c r="N1613" s="1793">
        <v>1</v>
      </c>
      <c r="O1613" s="1794">
        <v>2</v>
      </c>
    </row>
    <row r="1614" spans="3:15">
      <c r="C1614" s="1799" t="s">
        <v>6102</v>
      </c>
      <c r="D1614" s="1796">
        <v>1</v>
      </c>
      <c r="E1614" s="1796">
        <v>1</v>
      </c>
      <c r="F1614" s="1797">
        <v>2</v>
      </c>
      <c r="G1614" s="1999" t="s">
        <v>6102</v>
      </c>
      <c r="H1614" s="1794">
        <v>1</v>
      </c>
      <c r="I1614" s="1794">
        <v>1</v>
      </c>
      <c r="J1614" s="2000">
        <v>2</v>
      </c>
      <c r="K1614" s="1798"/>
      <c r="L1614" s="1792">
        <v>13135050720</v>
      </c>
      <c r="M1614" s="1793">
        <v>1</v>
      </c>
      <c r="N1614" s="1793">
        <v>1</v>
      </c>
      <c r="O1614" s="1794">
        <v>2</v>
      </c>
    </row>
    <row r="1615" spans="3:15">
      <c r="C1615" s="1799" t="s">
        <v>6103</v>
      </c>
      <c r="D1615" s="1796">
        <v>1</v>
      </c>
      <c r="E1615" s="1796">
        <v>0</v>
      </c>
      <c r="F1615" s="1797">
        <v>1</v>
      </c>
      <c r="G1615" s="1999" t="s">
        <v>6103</v>
      </c>
      <c r="H1615" s="1794">
        <v>1</v>
      </c>
      <c r="I1615" s="1794">
        <v>1</v>
      </c>
      <c r="J1615" s="2000">
        <v>2</v>
      </c>
      <c r="K1615" s="1798"/>
      <c r="L1615" s="1792">
        <v>13135050721</v>
      </c>
      <c r="M1615" s="1793">
        <v>1</v>
      </c>
      <c r="N1615" s="1793">
        <v>1</v>
      </c>
      <c r="O1615" s="1794">
        <v>2</v>
      </c>
    </row>
    <row r="1616" spans="3:15">
      <c r="C1616" s="1799" t="s">
        <v>6104</v>
      </c>
      <c r="D1616" s="1796">
        <v>0</v>
      </c>
      <c r="E1616" s="1796">
        <v>0</v>
      </c>
      <c r="F1616" s="1797">
        <v>0</v>
      </c>
      <c r="G1616" s="1999" t="s">
        <v>6104</v>
      </c>
      <c r="H1616" s="1794">
        <v>0</v>
      </c>
      <c r="I1616" s="1794">
        <v>0</v>
      </c>
      <c r="J1616" s="2000">
        <v>0</v>
      </c>
      <c r="K1616" s="1798"/>
      <c r="L1616" s="1792">
        <v>13135050722</v>
      </c>
      <c r="M1616" s="1793">
        <v>0</v>
      </c>
      <c r="N1616" s="1793">
        <v>0</v>
      </c>
      <c r="O1616" s="1794">
        <v>0</v>
      </c>
    </row>
    <row r="1617" spans="3:15">
      <c r="C1617" s="1799" t="s">
        <v>6105</v>
      </c>
      <c r="D1617" s="1796">
        <v>0</v>
      </c>
      <c r="E1617" s="1796">
        <v>1</v>
      </c>
      <c r="F1617" s="1797">
        <v>1</v>
      </c>
      <c r="G1617" s="1999" t="s">
        <v>6105</v>
      </c>
      <c r="H1617" s="1794">
        <v>1</v>
      </c>
      <c r="I1617" s="1794">
        <v>1</v>
      </c>
      <c r="J1617" s="2000">
        <v>2</v>
      </c>
      <c r="K1617" s="1798"/>
      <c r="L1617" s="1792">
        <v>13135050723</v>
      </c>
      <c r="M1617" s="1793">
        <v>1</v>
      </c>
      <c r="N1617" s="1793">
        <v>1</v>
      </c>
      <c r="O1617" s="1794">
        <v>2</v>
      </c>
    </row>
    <row r="1618" spans="3:15">
      <c r="C1618" s="1799" t="s">
        <v>6106</v>
      </c>
      <c r="D1618" s="1796">
        <v>1</v>
      </c>
      <c r="E1618" s="1796">
        <v>1</v>
      </c>
      <c r="F1618" s="1797">
        <v>2</v>
      </c>
      <c r="G1618" s="1999" t="s">
        <v>6106</v>
      </c>
      <c r="H1618" s="1794">
        <v>1</v>
      </c>
      <c r="I1618" s="1794">
        <v>1</v>
      </c>
      <c r="J1618" s="2000">
        <v>2</v>
      </c>
      <c r="K1618" s="1798"/>
      <c r="L1618" s="1792">
        <v>13135050724</v>
      </c>
      <c r="M1618" s="1793">
        <v>1</v>
      </c>
      <c r="N1618" s="1793">
        <v>1</v>
      </c>
      <c r="O1618" s="1794">
        <v>2</v>
      </c>
    </row>
    <row r="1619" spans="3:15">
      <c r="C1619" s="1799" t="s">
        <v>6107</v>
      </c>
      <c r="D1619" s="1796">
        <v>1</v>
      </c>
      <c r="E1619" s="1796">
        <v>1</v>
      </c>
      <c r="F1619" s="1797">
        <v>2</v>
      </c>
      <c r="G1619" s="1999" t="s">
        <v>6107</v>
      </c>
      <c r="H1619" s="1794">
        <v>1</v>
      </c>
      <c r="I1619" s="1794">
        <v>1</v>
      </c>
      <c r="J1619" s="2000">
        <v>2</v>
      </c>
      <c r="K1619" s="1798"/>
      <c r="L1619" s="1792">
        <v>13135050725</v>
      </c>
      <c r="M1619" s="1793">
        <v>1</v>
      </c>
      <c r="N1619" s="1793">
        <v>1</v>
      </c>
      <c r="O1619" s="1794">
        <v>2</v>
      </c>
    </row>
    <row r="1620" spans="3:15">
      <c r="C1620" s="1799" t="s">
        <v>6108</v>
      </c>
      <c r="D1620" s="1796">
        <v>1</v>
      </c>
      <c r="E1620" s="1796">
        <v>1</v>
      </c>
      <c r="F1620" s="1797">
        <v>2</v>
      </c>
      <c r="G1620" s="1999" t="s">
        <v>6108</v>
      </c>
      <c r="H1620" s="1794">
        <v>1</v>
      </c>
      <c r="I1620" s="1794">
        <v>1</v>
      </c>
      <c r="J1620" s="2000">
        <v>2</v>
      </c>
      <c r="K1620" s="1798"/>
      <c r="L1620" s="1792">
        <v>13135050726</v>
      </c>
      <c r="M1620" s="1793">
        <v>1</v>
      </c>
      <c r="N1620" s="1793">
        <v>1</v>
      </c>
      <c r="O1620" s="1794">
        <v>2</v>
      </c>
    </row>
    <row r="1621" spans="3:15">
      <c r="C1621" s="1799" t="s">
        <v>6109</v>
      </c>
      <c r="D1621" s="1796">
        <v>1</v>
      </c>
      <c r="E1621" s="1796">
        <v>1</v>
      </c>
      <c r="F1621" s="1797">
        <v>2</v>
      </c>
      <c r="G1621" s="1999" t="s">
        <v>6109</v>
      </c>
      <c r="H1621" s="1794">
        <v>1</v>
      </c>
      <c r="I1621" s="1794">
        <v>1</v>
      </c>
      <c r="J1621" s="2000">
        <v>2</v>
      </c>
      <c r="K1621" s="1798"/>
      <c r="L1621" s="1792">
        <v>13135050727</v>
      </c>
      <c r="M1621" s="1793">
        <v>1</v>
      </c>
      <c r="N1621" s="1793">
        <v>1</v>
      </c>
      <c r="O1621" s="1794">
        <v>2</v>
      </c>
    </row>
    <row r="1622" spans="3:15">
      <c r="C1622" s="1799" t="s">
        <v>6110</v>
      </c>
      <c r="D1622" s="1796">
        <v>1</v>
      </c>
      <c r="E1622" s="1796">
        <v>1</v>
      </c>
      <c r="F1622" s="1797">
        <v>2</v>
      </c>
      <c r="G1622" s="1999" t="s">
        <v>6110</v>
      </c>
      <c r="H1622" s="1794">
        <v>1</v>
      </c>
      <c r="I1622" s="1794">
        <v>1</v>
      </c>
      <c r="J1622" s="2000">
        <v>2</v>
      </c>
      <c r="K1622" s="1798"/>
      <c r="L1622" s="1792">
        <v>13135050728</v>
      </c>
      <c r="M1622" s="1793">
        <v>1</v>
      </c>
      <c r="N1622" s="1793">
        <v>1</v>
      </c>
      <c r="O1622" s="1794">
        <v>2</v>
      </c>
    </row>
    <row r="1623" spans="3:15">
      <c r="C1623" s="1799" t="s">
        <v>6111</v>
      </c>
      <c r="D1623" s="1796">
        <v>0</v>
      </c>
      <c r="E1623" s="1796">
        <v>0</v>
      </c>
      <c r="F1623" s="1797">
        <v>0</v>
      </c>
      <c r="G1623" s="1999" t="s">
        <v>6111</v>
      </c>
      <c r="H1623" s="1794">
        <v>1</v>
      </c>
      <c r="I1623" s="1794">
        <v>0</v>
      </c>
      <c r="J1623" s="2000">
        <v>1</v>
      </c>
      <c r="K1623" s="1798"/>
      <c r="L1623" s="1792">
        <v>13135050729</v>
      </c>
      <c r="M1623" s="1793">
        <v>1</v>
      </c>
      <c r="N1623" s="1793">
        <v>0</v>
      </c>
      <c r="O1623" s="1794">
        <v>1</v>
      </c>
    </row>
    <row r="1624" spans="3:15">
      <c r="C1624" s="1799" t="s">
        <v>6112</v>
      </c>
      <c r="D1624" s="1796">
        <v>1</v>
      </c>
      <c r="E1624" s="1796">
        <v>1</v>
      </c>
      <c r="F1624" s="1797">
        <v>2</v>
      </c>
      <c r="G1624" s="1999" t="s">
        <v>6112</v>
      </c>
      <c r="H1624" s="1794">
        <v>1</v>
      </c>
      <c r="I1624" s="1794">
        <v>0</v>
      </c>
      <c r="J1624" s="2000">
        <v>1</v>
      </c>
      <c r="K1624" s="1798"/>
      <c r="L1624" s="1792">
        <v>13135050730</v>
      </c>
      <c r="M1624" s="1793">
        <v>1</v>
      </c>
      <c r="N1624" s="1793">
        <v>1</v>
      </c>
      <c r="O1624" s="1794">
        <v>2</v>
      </c>
    </row>
    <row r="1625" spans="3:15">
      <c r="C1625" s="1799" t="s">
        <v>6113</v>
      </c>
      <c r="D1625" s="1796">
        <v>1</v>
      </c>
      <c r="E1625" s="1796">
        <v>1</v>
      </c>
      <c r="F1625" s="1797">
        <v>2</v>
      </c>
      <c r="G1625" s="1999" t="s">
        <v>6113</v>
      </c>
      <c r="H1625" s="1794">
        <v>0</v>
      </c>
      <c r="I1625" s="1794">
        <v>1</v>
      </c>
      <c r="J1625" s="2000">
        <v>1</v>
      </c>
      <c r="K1625" s="1798"/>
      <c r="L1625" s="1792">
        <v>13135050731</v>
      </c>
      <c r="M1625" s="1793">
        <v>1</v>
      </c>
      <c r="N1625" s="1793">
        <v>1</v>
      </c>
      <c r="O1625" s="1794">
        <v>2</v>
      </c>
    </row>
    <row r="1626" spans="3:15">
      <c r="C1626" s="1799" t="s">
        <v>6114</v>
      </c>
      <c r="D1626" s="1796">
        <v>1</v>
      </c>
      <c r="E1626" s="1796">
        <v>1</v>
      </c>
      <c r="F1626" s="1797">
        <v>2</v>
      </c>
      <c r="G1626" s="1999" t="s">
        <v>6114</v>
      </c>
      <c r="H1626" s="1794">
        <v>0</v>
      </c>
      <c r="I1626" s="1794">
        <v>1</v>
      </c>
      <c r="J1626" s="2000">
        <v>1</v>
      </c>
      <c r="K1626" s="1798"/>
      <c r="L1626" s="1792">
        <v>13137000100</v>
      </c>
      <c r="M1626" s="1793">
        <v>1</v>
      </c>
      <c r="N1626" s="1793">
        <v>1</v>
      </c>
      <c r="O1626" s="1794">
        <v>2</v>
      </c>
    </row>
    <row r="1627" spans="3:15">
      <c r="C1627" s="1799" t="s">
        <v>6115</v>
      </c>
      <c r="D1627" s="1796">
        <v>1</v>
      </c>
      <c r="E1627" s="1796">
        <v>0</v>
      </c>
      <c r="F1627" s="1797">
        <v>1</v>
      </c>
      <c r="G1627" s="1999" t="s">
        <v>6115</v>
      </c>
      <c r="H1627" s="1794">
        <v>0</v>
      </c>
      <c r="I1627" s="1794">
        <v>0</v>
      </c>
      <c r="J1627" s="2000">
        <v>0</v>
      </c>
      <c r="K1627" s="1798"/>
      <c r="L1627" s="1792">
        <v>13137000201</v>
      </c>
      <c r="M1627" s="1793">
        <v>1</v>
      </c>
      <c r="N1627" s="1793">
        <v>0</v>
      </c>
      <c r="O1627" s="1794">
        <v>1</v>
      </c>
    </row>
    <row r="1628" spans="3:15">
      <c r="C1628" s="1799" t="s">
        <v>6116</v>
      </c>
      <c r="D1628" s="1796">
        <v>1</v>
      </c>
      <c r="E1628" s="1796">
        <v>1</v>
      </c>
      <c r="F1628" s="1797">
        <v>2</v>
      </c>
      <c r="G1628" s="1999" t="s">
        <v>6116</v>
      </c>
      <c r="H1628" s="1794">
        <v>1</v>
      </c>
      <c r="I1628" s="1794">
        <v>0</v>
      </c>
      <c r="J1628" s="2000">
        <v>1</v>
      </c>
      <c r="K1628" s="1798"/>
      <c r="L1628" s="1792">
        <v>13137000202</v>
      </c>
      <c r="M1628" s="1793">
        <v>1</v>
      </c>
      <c r="N1628" s="1793">
        <v>1</v>
      </c>
      <c r="O1628" s="1794">
        <v>2</v>
      </c>
    </row>
    <row r="1629" spans="3:15">
      <c r="C1629" s="1799" t="s">
        <v>6117</v>
      </c>
      <c r="D1629" s="1796">
        <v>0</v>
      </c>
      <c r="E1629" s="1796">
        <v>0</v>
      </c>
      <c r="F1629" s="1797">
        <v>0</v>
      </c>
      <c r="G1629" s="1999" t="s">
        <v>6117</v>
      </c>
      <c r="H1629" s="1794">
        <v>0</v>
      </c>
      <c r="I1629" s="1794">
        <v>0</v>
      </c>
      <c r="J1629" s="2000">
        <v>0</v>
      </c>
      <c r="K1629" s="1798"/>
      <c r="L1629" s="1792">
        <v>13137000300</v>
      </c>
      <c r="M1629" s="1793">
        <v>0</v>
      </c>
      <c r="N1629" s="1793">
        <v>0</v>
      </c>
      <c r="O1629" s="1794">
        <v>0</v>
      </c>
    </row>
    <row r="1630" spans="3:15">
      <c r="C1630" s="1799" t="s">
        <v>6118</v>
      </c>
      <c r="D1630" s="1796">
        <v>1</v>
      </c>
      <c r="E1630" s="1796">
        <v>0</v>
      </c>
      <c r="F1630" s="1797">
        <v>1</v>
      </c>
      <c r="G1630" s="1999" t="s">
        <v>6118</v>
      </c>
      <c r="H1630" s="1794">
        <v>0</v>
      </c>
      <c r="I1630" s="1794">
        <v>1</v>
      </c>
      <c r="J1630" s="2000">
        <v>1</v>
      </c>
      <c r="K1630" s="1798"/>
      <c r="L1630" s="1792">
        <v>13137000400</v>
      </c>
      <c r="M1630" s="1793">
        <v>1</v>
      </c>
      <c r="N1630" s="1793">
        <v>1</v>
      </c>
      <c r="O1630" s="1794">
        <v>1</v>
      </c>
    </row>
    <row r="1631" spans="3:15">
      <c r="C1631" s="1799" t="s">
        <v>6119</v>
      </c>
      <c r="D1631" s="1796">
        <v>0</v>
      </c>
      <c r="E1631" s="1796">
        <v>0</v>
      </c>
      <c r="F1631" s="1797">
        <v>0</v>
      </c>
      <c r="G1631" s="1999" t="s">
        <v>6119</v>
      </c>
      <c r="H1631" s="1794">
        <v>0</v>
      </c>
      <c r="I1631" s="1794">
        <v>1</v>
      </c>
      <c r="J1631" s="2000">
        <v>1</v>
      </c>
      <c r="K1631" s="1798"/>
      <c r="L1631" s="1792">
        <v>13137000500</v>
      </c>
      <c r="M1631" s="1793">
        <v>0</v>
      </c>
      <c r="N1631" s="1793">
        <v>1</v>
      </c>
      <c r="O1631" s="1794">
        <v>1</v>
      </c>
    </row>
    <row r="1632" spans="3:15">
      <c r="C1632" s="1799" t="s">
        <v>6120</v>
      </c>
      <c r="D1632" s="1796">
        <v>0</v>
      </c>
      <c r="E1632" s="1796">
        <v>0</v>
      </c>
      <c r="F1632" s="1797">
        <v>0</v>
      </c>
      <c r="G1632" s="1999" t="s">
        <v>6120</v>
      </c>
      <c r="H1632" s="1794">
        <v>0</v>
      </c>
      <c r="I1632" s="1794">
        <v>0</v>
      </c>
      <c r="J1632" s="2000">
        <v>0</v>
      </c>
      <c r="K1632" s="1798"/>
      <c r="L1632" s="1792">
        <v>13137000601</v>
      </c>
      <c r="M1632" s="1793">
        <v>0</v>
      </c>
      <c r="N1632" s="1793">
        <v>0</v>
      </c>
      <c r="O1632" s="1794">
        <v>0</v>
      </c>
    </row>
    <row r="1633" spans="3:15">
      <c r="C1633" s="1799" t="s">
        <v>6121</v>
      </c>
      <c r="D1633" s="1796">
        <v>0</v>
      </c>
      <c r="E1633" s="1796">
        <v>0</v>
      </c>
      <c r="F1633" s="1797">
        <v>0</v>
      </c>
      <c r="G1633" s="1999" t="s">
        <v>6121</v>
      </c>
      <c r="H1633" s="1794">
        <v>0</v>
      </c>
      <c r="I1633" s="1794">
        <v>0</v>
      </c>
      <c r="J1633" s="2000">
        <v>0</v>
      </c>
      <c r="K1633" s="1798"/>
      <c r="L1633" s="1792">
        <v>13137000602</v>
      </c>
      <c r="M1633" s="1793">
        <v>0</v>
      </c>
      <c r="N1633" s="1793">
        <v>0</v>
      </c>
      <c r="O1633" s="1794">
        <v>0</v>
      </c>
    </row>
    <row r="1634" spans="3:15">
      <c r="C1634" s="1799" t="s">
        <v>6122</v>
      </c>
      <c r="D1634" s="1796">
        <v>1</v>
      </c>
      <c r="E1634" s="1796">
        <v>0</v>
      </c>
      <c r="F1634" s="1797">
        <v>1</v>
      </c>
      <c r="G1634" s="1999" t="s">
        <v>6122</v>
      </c>
      <c r="H1634" s="1794">
        <v>0</v>
      </c>
      <c r="I1634" s="1794">
        <v>0</v>
      </c>
      <c r="J1634" s="2000">
        <v>0</v>
      </c>
      <c r="K1634" s="1798"/>
      <c r="L1634" s="1792">
        <v>13139000101</v>
      </c>
      <c r="M1634" s="1793">
        <v>1</v>
      </c>
      <c r="N1634" s="1793">
        <v>0</v>
      </c>
      <c r="O1634" s="1794">
        <v>1</v>
      </c>
    </row>
    <row r="1635" spans="3:15">
      <c r="C1635" s="1799" t="s">
        <v>6123</v>
      </c>
      <c r="D1635" s="1796">
        <v>1</v>
      </c>
      <c r="E1635" s="1796">
        <v>0</v>
      </c>
      <c r="F1635" s="1797">
        <v>1</v>
      </c>
      <c r="G1635" s="1999" t="s">
        <v>6123</v>
      </c>
      <c r="H1635" s="1794">
        <v>1</v>
      </c>
      <c r="I1635" s="1794">
        <v>0</v>
      </c>
      <c r="J1635" s="2000">
        <v>1</v>
      </c>
      <c r="K1635" s="1798"/>
      <c r="L1635" s="1792">
        <v>13139000102</v>
      </c>
      <c r="M1635" s="1793">
        <v>1</v>
      </c>
      <c r="N1635" s="1793">
        <v>0</v>
      </c>
      <c r="O1635" s="1794">
        <v>1</v>
      </c>
    </row>
    <row r="1636" spans="3:15">
      <c r="C1636" s="1799" t="s">
        <v>6124</v>
      </c>
      <c r="D1636" s="1796">
        <v>0</v>
      </c>
      <c r="E1636" s="1796">
        <v>0</v>
      </c>
      <c r="F1636" s="1797">
        <v>0</v>
      </c>
      <c r="G1636" s="1999" t="s">
        <v>6124</v>
      </c>
      <c r="H1636" s="1794">
        <v>1</v>
      </c>
      <c r="I1636" s="1794">
        <v>0</v>
      </c>
      <c r="J1636" s="2000">
        <v>1</v>
      </c>
      <c r="K1636" s="1798"/>
      <c r="L1636" s="1792">
        <v>13139000201</v>
      </c>
      <c r="M1636" s="1793">
        <v>1</v>
      </c>
      <c r="N1636" s="1793">
        <v>0</v>
      </c>
      <c r="O1636" s="1794">
        <v>1</v>
      </c>
    </row>
    <row r="1637" spans="3:15">
      <c r="C1637" s="1799" t="s">
        <v>6125</v>
      </c>
      <c r="D1637" s="1796">
        <v>1</v>
      </c>
      <c r="E1637" s="1796">
        <v>1</v>
      </c>
      <c r="F1637" s="1797">
        <v>2</v>
      </c>
      <c r="G1637" s="1999" t="s">
        <v>6125</v>
      </c>
      <c r="H1637" s="1794">
        <v>1</v>
      </c>
      <c r="I1637" s="1794">
        <v>1</v>
      </c>
      <c r="J1637" s="2000">
        <v>2</v>
      </c>
      <c r="K1637" s="1798"/>
      <c r="L1637" s="1792">
        <v>13139000203</v>
      </c>
      <c r="M1637" s="1793">
        <v>1</v>
      </c>
      <c r="N1637" s="1793">
        <v>1</v>
      </c>
      <c r="O1637" s="1794">
        <v>2</v>
      </c>
    </row>
    <row r="1638" spans="3:15">
      <c r="C1638" s="1799" t="s">
        <v>6126</v>
      </c>
      <c r="D1638" s="1796">
        <v>1</v>
      </c>
      <c r="E1638" s="1796">
        <v>1</v>
      </c>
      <c r="F1638" s="1797">
        <v>2</v>
      </c>
      <c r="G1638" s="1999" t="s">
        <v>6126</v>
      </c>
      <c r="H1638" s="1794">
        <v>1</v>
      </c>
      <c r="I1638" s="1794">
        <v>1</v>
      </c>
      <c r="J1638" s="2000">
        <v>2</v>
      </c>
      <c r="K1638" s="1798"/>
      <c r="L1638" s="1792">
        <v>13139000204</v>
      </c>
      <c r="M1638" s="1793">
        <v>1</v>
      </c>
      <c r="N1638" s="1793">
        <v>1</v>
      </c>
      <c r="O1638" s="1794">
        <v>2</v>
      </c>
    </row>
    <row r="1639" spans="3:15">
      <c r="C1639" s="1799" t="s">
        <v>6127</v>
      </c>
      <c r="D1639" s="1796">
        <v>1</v>
      </c>
      <c r="E1639" s="1796">
        <v>1</v>
      </c>
      <c r="F1639" s="1797">
        <v>2</v>
      </c>
      <c r="G1639" s="1999" t="s">
        <v>6127</v>
      </c>
      <c r="H1639" s="1794">
        <v>1</v>
      </c>
      <c r="I1639" s="1794">
        <v>0</v>
      </c>
      <c r="J1639" s="2000">
        <v>1</v>
      </c>
      <c r="K1639" s="1798"/>
      <c r="L1639" s="1792">
        <v>13139000302</v>
      </c>
      <c r="M1639" s="1793">
        <v>1</v>
      </c>
      <c r="N1639" s="1793">
        <v>1</v>
      </c>
      <c r="O1639" s="1794">
        <v>2</v>
      </c>
    </row>
    <row r="1640" spans="3:15">
      <c r="C1640" s="1799" t="s">
        <v>6128</v>
      </c>
      <c r="D1640" s="1796">
        <v>1</v>
      </c>
      <c r="E1640" s="1796">
        <v>1</v>
      </c>
      <c r="F1640" s="1797">
        <v>2</v>
      </c>
      <c r="G1640" s="1999" t="s">
        <v>6128</v>
      </c>
      <c r="H1640" s="1794">
        <v>1</v>
      </c>
      <c r="I1640" s="1794">
        <v>1</v>
      </c>
      <c r="J1640" s="2000">
        <v>2</v>
      </c>
      <c r="K1640" s="1798"/>
      <c r="L1640" s="1792">
        <v>13139000303</v>
      </c>
      <c r="M1640" s="1793">
        <v>1</v>
      </c>
      <c r="N1640" s="1793">
        <v>1</v>
      </c>
      <c r="O1640" s="1794">
        <v>2</v>
      </c>
    </row>
    <row r="1641" spans="3:15">
      <c r="C1641" s="1799" t="s">
        <v>6129</v>
      </c>
      <c r="D1641" s="1796">
        <v>1</v>
      </c>
      <c r="E1641" s="1796">
        <v>1</v>
      </c>
      <c r="F1641" s="1797">
        <v>2</v>
      </c>
      <c r="G1641" s="1999" t="s">
        <v>6129</v>
      </c>
      <c r="H1641" s="1794">
        <v>1</v>
      </c>
      <c r="I1641" s="1794">
        <v>1</v>
      </c>
      <c r="J1641" s="2000">
        <v>2</v>
      </c>
      <c r="K1641" s="1798"/>
      <c r="L1641" s="1792">
        <v>13139000304</v>
      </c>
      <c r="M1641" s="1793">
        <v>1</v>
      </c>
      <c r="N1641" s="1793">
        <v>1</v>
      </c>
      <c r="O1641" s="1794">
        <v>2</v>
      </c>
    </row>
    <row r="1642" spans="3:15">
      <c r="C1642" s="1799" t="s">
        <v>6130</v>
      </c>
      <c r="D1642" s="1796">
        <v>1</v>
      </c>
      <c r="E1642" s="1796">
        <v>1</v>
      </c>
      <c r="F1642" s="1797">
        <v>2</v>
      </c>
      <c r="G1642" s="1999" t="s">
        <v>6130</v>
      </c>
      <c r="H1642" s="1794">
        <v>1</v>
      </c>
      <c r="I1642" s="1794">
        <v>1</v>
      </c>
      <c r="J1642" s="2000">
        <v>2</v>
      </c>
      <c r="K1642" s="1798"/>
      <c r="L1642" s="1792">
        <v>13139000305</v>
      </c>
      <c r="M1642" s="1793">
        <v>1</v>
      </c>
      <c r="N1642" s="1793">
        <v>1</v>
      </c>
      <c r="O1642" s="1794">
        <v>2</v>
      </c>
    </row>
    <row r="1643" spans="3:15">
      <c r="C1643" s="1799" t="s">
        <v>6131</v>
      </c>
      <c r="D1643" s="1796">
        <v>1</v>
      </c>
      <c r="E1643" s="1796">
        <v>0</v>
      </c>
      <c r="F1643" s="1797">
        <v>1</v>
      </c>
      <c r="G1643" s="1999" t="s">
        <v>6131</v>
      </c>
      <c r="H1643" s="1794">
        <v>1</v>
      </c>
      <c r="I1643" s="1794">
        <v>1</v>
      </c>
      <c r="J1643" s="2000">
        <v>2</v>
      </c>
      <c r="K1643" s="1798"/>
      <c r="L1643" s="1792">
        <v>13139000400</v>
      </c>
      <c r="M1643" s="1793">
        <v>1</v>
      </c>
      <c r="N1643" s="1793">
        <v>1</v>
      </c>
      <c r="O1643" s="1794">
        <v>2</v>
      </c>
    </row>
    <row r="1644" spans="3:15">
      <c r="C1644" s="1799" t="s">
        <v>6132</v>
      </c>
      <c r="D1644" s="1796">
        <v>1</v>
      </c>
      <c r="E1644" s="1796">
        <v>1</v>
      </c>
      <c r="F1644" s="1797">
        <v>2</v>
      </c>
      <c r="G1644" s="1999" t="s">
        <v>6132</v>
      </c>
      <c r="H1644" s="1794">
        <v>1</v>
      </c>
      <c r="I1644" s="1794">
        <v>1</v>
      </c>
      <c r="J1644" s="2000">
        <v>2</v>
      </c>
      <c r="K1644" s="1798"/>
      <c r="L1644" s="1792">
        <v>13139000500</v>
      </c>
      <c r="M1644" s="1793">
        <v>1</v>
      </c>
      <c r="N1644" s="1793">
        <v>1</v>
      </c>
      <c r="O1644" s="1794">
        <v>2</v>
      </c>
    </row>
    <row r="1645" spans="3:15">
      <c r="C1645" s="1799" t="s">
        <v>6133</v>
      </c>
      <c r="D1645" s="1796">
        <v>0</v>
      </c>
      <c r="E1645" s="1796">
        <v>0</v>
      </c>
      <c r="F1645" s="1797">
        <v>0</v>
      </c>
      <c r="G1645" s="1999" t="s">
        <v>6133</v>
      </c>
      <c r="H1645" s="1794">
        <v>0</v>
      </c>
      <c r="I1645" s="1794">
        <v>0</v>
      </c>
      <c r="J1645" s="2000">
        <v>0</v>
      </c>
      <c r="K1645" s="1798"/>
      <c r="L1645" s="1792">
        <v>13139000600</v>
      </c>
      <c r="M1645" s="1793">
        <v>0</v>
      </c>
      <c r="N1645" s="1793">
        <v>0</v>
      </c>
      <c r="O1645" s="1794">
        <v>0</v>
      </c>
    </row>
    <row r="1646" spans="3:15">
      <c r="C1646" s="1799" t="s">
        <v>6134</v>
      </c>
      <c r="D1646" s="1796">
        <v>0</v>
      </c>
      <c r="E1646" s="1796">
        <v>0</v>
      </c>
      <c r="F1646" s="1797">
        <v>0</v>
      </c>
      <c r="G1646" s="1999" t="s">
        <v>6134</v>
      </c>
      <c r="H1646" s="1794">
        <v>0</v>
      </c>
      <c r="I1646" s="1794">
        <v>0</v>
      </c>
      <c r="J1646" s="2000">
        <v>0</v>
      </c>
      <c r="K1646" s="1798"/>
      <c r="L1646" s="1792">
        <v>13139000701</v>
      </c>
      <c r="M1646" s="1793">
        <v>0</v>
      </c>
      <c r="N1646" s="1793">
        <v>0</v>
      </c>
      <c r="O1646" s="1794">
        <v>0</v>
      </c>
    </row>
    <row r="1647" spans="3:15">
      <c r="C1647" s="1799" t="s">
        <v>6135</v>
      </c>
      <c r="D1647" s="1796">
        <v>0</v>
      </c>
      <c r="E1647" s="1796">
        <v>0</v>
      </c>
      <c r="F1647" s="1797">
        <v>0</v>
      </c>
      <c r="G1647" s="1999" t="s">
        <v>6135</v>
      </c>
      <c r="H1647" s="1794">
        <v>0</v>
      </c>
      <c r="I1647" s="1794">
        <v>0</v>
      </c>
      <c r="J1647" s="2000">
        <v>0</v>
      </c>
      <c r="K1647" s="1798"/>
      <c r="L1647" s="1792">
        <v>13139000702</v>
      </c>
      <c r="M1647" s="1793">
        <v>0</v>
      </c>
      <c r="N1647" s="1793">
        <v>0</v>
      </c>
      <c r="O1647" s="1794">
        <v>0</v>
      </c>
    </row>
    <row r="1648" spans="3:15">
      <c r="C1648" s="1799" t="s">
        <v>6136</v>
      </c>
      <c r="D1648" s="1796">
        <v>0</v>
      </c>
      <c r="E1648" s="1796">
        <v>0</v>
      </c>
      <c r="F1648" s="1797">
        <v>0</v>
      </c>
      <c r="G1648" s="1999" t="s">
        <v>6136</v>
      </c>
      <c r="H1648" s="1794">
        <v>0</v>
      </c>
      <c r="I1648" s="1794">
        <v>0</v>
      </c>
      <c r="J1648" s="2000">
        <v>0</v>
      </c>
      <c r="K1648" s="1798"/>
      <c r="L1648" s="1792">
        <v>13139000800</v>
      </c>
      <c r="M1648" s="1793">
        <v>0</v>
      </c>
      <c r="N1648" s="1793">
        <v>0</v>
      </c>
      <c r="O1648" s="1794">
        <v>0</v>
      </c>
    </row>
    <row r="1649" spans="3:15">
      <c r="C1649" s="1799" t="s">
        <v>6137</v>
      </c>
      <c r="D1649" s="1796">
        <v>1</v>
      </c>
      <c r="E1649" s="1796">
        <v>1</v>
      </c>
      <c r="F1649" s="1797">
        <v>2</v>
      </c>
      <c r="G1649" s="1999" t="s">
        <v>6137</v>
      </c>
      <c r="H1649" s="1794">
        <v>1</v>
      </c>
      <c r="I1649" s="1794">
        <v>1</v>
      </c>
      <c r="J1649" s="2000">
        <v>2</v>
      </c>
      <c r="K1649" s="1798"/>
      <c r="L1649" s="1792">
        <v>13139000900</v>
      </c>
      <c r="M1649" s="1793">
        <v>1</v>
      </c>
      <c r="N1649" s="1793">
        <v>1</v>
      </c>
      <c r="O1649" s="1794">
        <v>2</v>
      </c>
    </row>
    <row r="1650" spans="3:15">
      <c r="C1650" s="1799" t="s">
        <v>6138</v>
      </c>
      <c r="D1650" s="1796">
        <v>1</v>
      </c>
      <c r="E1650" s="1796">
        <v>0</v>
      </c>
      <c r="F1650" s="1797">
        <v>1</v>
      </c>
      <c r="G1650" s="1999" t="s">
        <v>6138</v>
      </c>
      <c r="H1650" s="1794">
        <v>0</v>
      </c>
      <c r="I1650" s="1794">
        <v>1</v>
      </c>
      <c r="J1650" s="2000">
        <v>1</v>
      </c>
      <c r="K1650" s="1798"/>
      <c r="L1650" s="1792">
        <v>13139001002</v>
      </c>
      <c r="M1650" s="1793">
        <v>1</v>
      </c>
      <c r="N1650" s="1793">
        <v>1</v>
      </c>
      <c r="O1650" s="1794">
        <v>1</v>
      </c>
    </row>
    <row r="1651" spans="3:15">
      <c r="C1651" s="1799" t="s">
        <v>6139</v>
      </c>
      <c r="D1651" s="1796">
        <v>0</v>
      </c>
      <c r="E1651" s="1796">
        <v>0</v>
      </c>
      <c r="F1651" s="1797">
        <v>0</v>
      </c>
      <c r="G1651" s="1999" t="s">
        <v>6139</v>
      </c>
      <c r="H1651" s="1794">
        <v>0</v>
      </c>
      <c r="I1651" s="1794">
        <v>0</v>
      </c>
      <c r="J1651" s="2000">
        <v>0</v>
      </c>
      <c r="K1651" s="1798"/>
      <c r="L1651" s="1792">
        <v>13139001003</v>
      </c>
      <c r="M1651" s="1793">
        <v>0</v>
      </c>
      <c r="N1651" s="1793">
        <v>0</v>
      </c>
      <c r="O1651" s="1794">
        <v>0</v>
      </c>
    </row>
    <row r="1652" spans="3:15">
      <c r="C1652" s="1799" t="s">
        <v>6140</v>
      </c>
      <c r="D1652" s="1796">
        <v>1</v>
      </c>
      <c r="E1652" s="1796">
        <v>1</v>
      </c>
      <c r="F1652" s="1797">
        <v>2</v>
      </c>
      <c r="G1652" s="1999" t="s">
        <v>6140</v>
      </c>
      <c r="H1652" s="1794">
        <v>0</v>
      </c>
      <c r="I1652" s="1794">
        <v>0</v>
      </c>
      <c r="J1652" s="2000">
        <v>0</v>
      </c>
      <c r="K1652" s="1798"/>
      <c r="L1652" s="1792">
        <v>13139001004</v>
      </c>
      <c r="M1652" s="1793">
        <v>1</v>
      </c>
      <c r="N1652" s="1793">
        <v>1</v>
      </c>
      <c r="O1652" s="1794">
        <v>2</v>
      </c>
    </row>
    <row r="1653" spans="3:15">
      <c r="C1653" s="1799" t="s">
        <v>6141</v>
      </c>
      <c r="D1653" s="1796">
        <v>0</v>
      </c>
      <c r="E1653" s="1796">
        <v>0</v>
      </c>
      <c r="F1653" s="1797">
        <v>0</v>
      </c>
      <c r="G1653" s="1999" t="s">
        <v>6141</v>
      </c>
      <c r="H1653" s="1794">
        <v>0</v>
      </c>
      <c r="I1653" s="1794" t="s">
        <v>4483</v>
      </c>
      <c r="J1653" s="2000">
        <v>0</v>
      </c>
      <c r="K1653" s="1798"/>
      <c r="L1653" s="1792">
        <v>13139001101</v>
      </c>
      <c r="M1653" s="1793">
        <v>0</v>
      </c>
      <c r="N1653" s="1793">
        <v>0</v>
      </c>
      <c r="O1653" s="1794">
        <v>0</v>
      </c>
    </row>
    <row r="1654" spans="3:15">
      <c r="C1654" s="1799" t="s">
        <v>6142</v>
      </c>
      <c r="D1654" s="1796">
        <v>0</v>
      </c>
      <c r="E1654" s="1796">
        <v>0</v>
      </c>
      <c r="F1654" s="1797">
        <v>0</v>
      </c>
      <c r="G1654" s="1999" t="s">
        <v>6142</v>
      </c>
      <c r="H1654" s="1794">
        <v>1</v>
      </c>
      <c r="I1654" s="1794">
        <v>0</v>
      </c>
      <c r="J1654" s="2000">
        <v>1</v>
      </c>
      <c r="K1654" s="1798"/>
      <c r="L1654" s="1792">
        <v>13139001102</v>
      </c>
      <c r="M1654" s="1793">
        <v>1</v>
      </c>
      <c r="N1654" s="1793">
        <v>0</v>
      </c>
      <c r="O1654" s="1794">
        <v>1</v>
      </c>
    </row>
    <row r="1655" spans="3:15">
      <c r="C1655" s="1799" t="s">
        <v>6143</v>
      </c>
      <c r="D1655" s="1796">
        <v>0</v>
      </c>
      <c r="E1655" s="1796">
        <v>0</v>
      </c>
      <c r="F1655" s="1797">
        <v>0</v>
      </c>
      <c r="G1655" s="1999" t="s">
        <v>6143</v>
      </c>
      <c r="H1655" s="1794">
        <v>0</v>
      </c>
      <c r="I1655" s="1794">
        <v>0</v>
      </c>
      <c r="J1655" s="2000">
        <v>0</v>
      </c>
      <c r="K1655" s="1798"/>
      <c r="L1655" s="1792">
        <v>13139001201</v>
      </c>
      <c r="M1655" s="1793">
        <v>0</v>
      </c>
      <c r="N1655" s="1793">
        <v>0</v>
      </c>
      <c r="O1655" s="1794">
        <v>0</v>
      </c>
    </row>
    <row r="1656" spans="3:15">
      <c r="C1656" s="1799" t="s">
        <v>6144</v>
      </c>
      <c r="D1656" s="1796">
        <v>1</v>
      </c>
      <c r="E1656" s="1796">
        <v>0</v>
      </c>
      <c r="F1656" s="1797">
        <v>1</v>
      </c>
      <c r="G1656" s="1999" t="s">
        <v>6144</v>
      </c>
      <c r="H1656" s="1794">
        <v>0</v>
      </c>
      <c r="I1656" s="1794">
        <v>0</v>
      </c>
      <c r="J1656" s="2000">
        <v>0</v>
      </c>
      <c r="K1656" s="1798"/>
      <c r="L1656" s="1792">
        <v>13139001202</v>
      </c>
      <c r="M1656" s="1793">
        <v>1</v>
      </c>
      <c r="N1656" s="1793">
        <v>0</v>
      </c>
      <c r="O1656" s="1794">
        <v>1</v>
      </c>
    </row>
    <row r="1657" spans="3:15">
      <c r="C1657" s="1799" t="s">
        <v>6145</v>
      </c>
      <c r="D1657" s="1796">
        <v>1</v>
      </c>
      <c r="E1657" s="1796">
        <v>1</v>
      </c>
      <c r="F1657" s="1797">
        <v>2</v>
      </c>
      <c r="G1657" s="1999" t="s">
        <v>6145</v>
      </c>
      <c r="H1657" s="1794">
        <v>1</v>
      </c>
      <c r="I1657" s="1794">
        <v>0</v>
      </c>
      <c r="J1657" s="2000">
        <v>1</v>
      </c>
      <c r="K1657" s="1798"/>
      <c r="L1657" s="1792">
        <v>13139001301</v>
      </c>
      <c r="M1657" s="1793">
        <v>1</v>
      </c>
      <c r="N1657" s="1793">
        <v>1</v>
      </c>
      <c r="O1657" s="1794">
        <v>2</v>
      </c>
    </row>
    <row r="1658" spans="3:15">
      <c r="C1658" s="1799" t="s">
        <v>6146</v>
      </c>
      <c r="D1658" s="1796">
        <v>1</v>
      </c>
      <c r="E1658" s="1796">
        <v>1</v>
      </c>
      <c r="F1658" s="1797">
        <v>2</v>
      </c>
      <c r="G1658" s="1999" t="s">
        <v>6146</v>
      </c>
      <c r="H1658" s="1794">
        <v>1</v>
      </c>
      <c r="I1658" s="1794">
        <v>1</v>
      </c>
      <c r="J1658" s="2000">
        <v>2</v>
      </c>
      <c r="K1658" s="1798"/>
      <c r="L1658" s="1792">
        <v>13139001302</v>
      </c>
      <c r="M1658" s="1793">
        <v>1</v>
      </c>
      <c r="N1658" s="1793">
        <v>1</v>
      </c>
      <c r="O1658" s="1794">
        <v>2</v>
      </c>
    </row>
    <row r="1659" spans="3:15">
      <c r="C1659" s="1799" t="s">
        <v>6147</v>
      </c>
      <c r="D1659" s="1796">
        <v>1</v>
      </c>
      <c r="E1659" s="1796">
        <v>1</v>
      </c>
      <c r="F1659" s="1797">
        <v>2</v>
      </c>
      <c r="G1659" s="1999" t="s">
        <v>6147</v>
      </c>
      <c r="H1659" s="1794">
        <v>1</v>
      </c>
      <c r="I1659" s="1794">
        <v>0</v>
      </c>
      <c r="J1659" s="2000">
        <v>1</v>
      </c>
      <c r="K1659" s="1798"/>
      <c r="L1659" s="1792">
        <v>13139001402</v>
      </c>
      <c r="M1659" s="1793">
        <v>1</v>
      </c>
      <c r="N1659" s="1793">
        <v>1</v>
      </c>
      <c r="O1659" s="1794">
        <v>2</v>
      </c>
    </row>
    <row r="1660" spans="3:15">
      <c r="C1660" s="1799" t="s">
        <v>6148</v>
      </c>
      <c r="D1660" s="1796">
        <v>0</v>
      </c>
      <c r="E1660" s="1796">
        <v>0</v>
      </c>
      <c r="F1660" s="1797">
        <v>0</v>
      </c>
      <c r="G1660" s="1999" t="s">
        <v>6148</v>
      </c>
      <c r="H1660" s="1794">
        <v>0</v>
      </c>
      <c r="I1660" s="1794">
        <v>0</v>
      </c>
      <c r="J1660" s="2000">
        <v>0</v>
      </c>
      <c r="K1660" s="1798"/>
      <c r="L1660" s="1792">
        <v>13139001403</v>
      </c>
      <c r="M1660" s="1793">
        <v>0</v>
      </c>
      <c r="N1660" s="1793">
        <v>0</v>
      </c>
      <c r="O1660" s="1794">
        <v>0</v>
      </c>
    </row>
    <row r="1661" spans="3:15">
      <c r="C1661" s="1799" t="s">
        <v>6149</v>
      </c>
      <c r="D1661" s="1796">
        <v>1</v>
      </c>
      <c r="E1661" s="1796">
        <v>0</v>
      </c>
      <c r="F1661" s="1797">
        <v>1</v>
      </c>
      <c r="G1661" s="1999" t="s">
        <v>6149</v>
      </c>
      <c r="H1661" s="1794">
        <v>1</v>
      </c>
      <c r="I1661" s="1794">
        <v>0</v>
      </c>
      <c r="J1661" s="2000">
        <v>1</v>
      </c>
      <c r="K1661" s="1798"/>
      <c r="L1661" s="1792">
        <v>13139001404</v>
      </c>
      <c r="M1661" s="1793">
        <v>1</v>
      </c>
      <c r="N1661" s="1793">
        <v>0</v>
      </c>
      <c r="O1661" s="1794">
        <v>1</v>
      </c>
    </row>
    <row r="1662" spans="3:15">
      <c r="C1662" s="1799" t="s">
        <v>6150</v>
      </c>
      <c r="D1662" s="1796">
        <v>1</v>
      </c>
      <c r="E1662" s="1796">
        <v>1</v>
      </c>
      <c r="F1662" s="1797">
        <v>2</v>
      </c>
      <c r="G1662" s="1999" t="s">
        <v>6150</v>
      </c>
      <c r="H1662" s="1794">
        <v>1</v>
      </c>
      <c r="I1662" s="1794">
        <v>1</v>
      </c>
      <c r="J1662" s="2000">
        <v>2</v>
      </c>
      <c r="K1662" s="1798"/>
      <c r="L1662" s="1792">
        <v>13139001501</v>
      </c>
      <c r="M1662" s="1793">
        <v>1</v>
      </c>
      <c r="N1662" s="1793">
        <v>1</v>
      </c>
      <c r="O1662" s="1794">
        <v>2</v>
      </c>
    </row>
    <row r="1663" spans="3:15">
      <c r="C1663" s="1799" t="s">
        <v>6151</v>
      </c>
      <c r="D1663" s="1796">
        <v>1</v>
      </c>
      <c r="E1663" s="1796">
        <v>1</v>
      </c>
      <c r="F1663" s="1797">
        <v>2</v>
      </c>
      <c r="G1663" s="1999" t="s">
        <v>6151</v>
      </c>
      <c r="H1663" s="1794">
        <v>1</v>
      </c>
      <c r="I1663" s="1794">
        <v>1</v>
      </c>
      <c r="J1663" s="2000">
        <v>2</v>
      </c>
      <c r="K1663" s="1798"/>
      <c r="L1663" s="1792">
        <v>13139001502</v>
      </c>
      <c r="M1663" s="1793">
        <v>1</v>
      </c>
      <c r="N1663" s="1793">
        <v>1</v>
      </c>
      <c r="O1663" s="1794">
        <v>2</v>
      </c>
    </row>
    <row r="1664" spans="3:15">
      <c r="C1664" s="1799" t="s">
        <v>6152</v>
      </c>
      <c r="D1664" s="1796">
        <v>1</v>
      </c>
      <c r="E1664" s="1796">
        <v>1</v>
      </c>
      <c r="F1664" s="1797">
        <v>2</v>
      </c>
      <c r="G1664" s="1999" t="s">
        <v>6152</v>
      </c>
      <c r="H1664" s="1794">
        <v>1</v>
      </c>
      <c r="I1664" s="1794">
        <v>0</v>
      </c>
      <c r="J1664" s="2000">
        <v>1</v>
      </c>
      <c r="K1664" s="1798"/>
      <c r="L1664" s="1792">
        <v>13139001603</v>
      </c>
      <c r="M1664" s="1793">
        <v>1</v>
      </c>
      <c r="N1664" s="1793">
        <v>1</v>
      </c>
      <c r="O1664" s="1794">
        <v>2</v>
      </c>
    </row>
    <row r="1665" spans="3:15">
      <c r="C1665" s="1799" t="s">
        <v>6153</v>
      </c>
      <c r="D1665" s="1796">
        <v>1</v>
      </c>
      <c r="E1665" s="1796">
        <v>1</v>
      </c>
      <c r="F1665" s="1797">
        <v>2</v>
      </c>
      <c r="G1665" s="1999" t="s">
        <v>6153</v>
      </c>
      <c r="H1665" s="1794">
        <v>1</v>
      </c>
      <c r="I1665" s="1794">
        <v>1</v>
      </c>
      <c r="J1665" s="2000">
        <v>2</v>
      </c>
      <c r="K1665" s="1798"/>
      <c r="L1665" s="1792">
        <v>13139001604</v>
      </c>
      <c r="M1665" s="1793">
        <v>1</v>
      </c>
      <c r="N1665" s="1793">
        <v>1</v>
      </c>
      <c r="O1665" s="1794">
        <v>2</v>
      </c>
    </row>
    <row r="1666" spans="3:15">
      <c r="C1666" s="1799" t="s">
        <v>6154</v>
      </c>
      <c r="D1666" s="1796">
        <v>1</v>
      </c>
      <c r="E1666" s="1796">
        <v>1</v>
      </c>
      <c r="F1666" s="1797">
        <v>2</v>
      </c>
      <c r="G1666" s="1999" t="s">
        <v>6154</v>
      </c>
      <c r="H1666" s="1794">
        <v>1</v>
      </c>
      <c r="I1666" s="1794" t="s">
        <v>4483</v>
      </c>
      <c r="J1666" s="2000">
        <v>1</v>
      </c>
      <c r="K1666" s="1798"/>
      <c r="L1666" s="1792">
        <v>13139001605</v>
      </c>
      <c r="M1666" s="1793">
        <v>1</v>
      </c>
      <c r="N1666" s="1793">
        <v>1</v>
      </c>
      <c r="O1666" s="1794">
        <v>2</v>
      </c>
    </row>
    <row r="1667" spans="3:15">
      <c r="C1667" s="1799" t="s">
        <v>6155</v>
      </c>
      <c r="D1667" s="1796">
        <v>1</v>
      </c>
      <c r="E1667" s="1796">
        <v>1</v>
      </c>
      <c r="F1667" s="1797">
        <v>2</v>
      </c>
      <c r="G1667" s="1999" t="s">
        <v>6155</v>
      </c>
      <c r="H1667" s="1794">
        <v>1</v>
      </c>
      <c r="I1667" s="1794">
        <v>1</v>
      </c>
      <c r="J1667" s="2000">
        <v>2</v>
      </c>
      <c r="K1667" s="1798"/>
      <c r="L1667" s="1792">
        <v>13139001606</v>
      </c>
      <c r="M1667" s="1793">
        <v>1</v>
      </c>
      <c r="N1667" s="1793">
        <v>1</v>
      </c>
      <c r="O1667" s="1794">
        <v>2</v>
      </c>
    </row>
    <row r="1668" spans="3:15">
      <c r="C1668" s="1799" t="s">
        <v>6156</v>
      </c>
      <c r="D1668" s="1796">
        <v>0</v>
      </c>
      <c r="E1668" s="1796">
        <v>1</v>
      </c>
      <c r="F1668" s="1797">
        <v>1</v>
      </c>
      <c r="G1668" s="1999" t="s">
        <v>6156</v>
      </c>
      <c r="H1668" s="1794">
        <v>1</v>
      </c>
      <c r="I1668" s="1794">
        <v>1</v>
      </c>
      <c r="J1668" s="2000">
        <v>2</v>
      </c>
      <c r="K1668" s="1798"/>
      <c r="L1668" s="1792">
        <v>13139001607</v>
      </c>
      <c r="M1668" s="1793">
        <v>1</v>
      </c>
      <c r="N1668" s="1793">
        <v>1</v>
      </c>
      <c r="O1668" s="1794">
        <v>2</v>
      </c>
    </row>
    <row r="1669" spans="3:15">
      <c r="C1669" s="1799" t="s">
        <v>6157</v>
      </c>
      <c r="D1669" s="1796">
        <v>1</v>
      </c>
      <c r="E1669" s="1796">
        <v>1</v>
      </c>
      <c r="F1669" s="1797">
        <v>2</v>
      </c>
      <c r="G1669" s="1999" t="s">
        <v>6157</v>
      </c>
      <c r="H1669" s="1794">
        <v>1</v>
      </c>
      <c r="I1669" s="1794">
        <v>1</v>
      </c>
      <c r="J1669" s="2000">
        <v>2</v>
      </c>
      <c r="K1669" s="1798"/>
      <c r="L1669" s="1792">
        <v>13139001608</v>
      </c>
      <c r="M1669" s="1793">
        <v>1</v>
      </c>
      <c r="N1669" s="1793">
        <v>1</v>
      </c>
      <c r="O1669" s="1794">
        <v>2</v>
      </c>
    </row>
    <row r="1670" spans="3:15">
      <c r="C1670" s="1799" t="s">
        <v>6158</v>
      </c>
      <c r="D1670" s="1796">
        <v>0</v>
      </c>
      <c r="E1670" s="1796">
        <v>0</v>
      </c>
      <c r="F1670" s="1797">
        <v>0</v>
      </c>
      <c r="G1670" s="1999" t="s">
        <v>6158</v>
      </c>
      <c r="H1670" s="1794">
        <v>0</v>
      </c>
      <c r="I1670" s="1794">
        <v>1</v>
      </c>
      <c r="J1670" s="2000">
        <v>1</v>
      </c>
      <c r="K1670" s="1798"/>
      <c r="L1670" s="1792">
        <v>13141480300</v>
      </c>
      <c r="M1670" s="1793">
        <v>0</v>
      </c>
      <c r="N1670" s="1793">
        <v>1</v>
      </c>
      <c r="O1670" s="1794">
        <v>1</v>
      </c>
    </row>
    <row r="1671" spans="3:15">
      <c r="C1671" s="1799" t="s">
        <v>6159</v>
      </c>
      <c r="D1671" s="1796">
        <v>0</v>
      </c>
      <c r="E1671" s="1796">
        <v>0</v>
      </c>
      <c r="F1671" s="1797">
        <v>0</v>
      </c>
      <c r="G1671" s="1999" t="s">
        <v>6159</v>
      </c>
      <c r="H1671" s="1794">
        <v>0</v>
      </c>
      <c r="I1671" s="1794">
        <v>1</v>
      </c>
      <c r="J1671" s="2000">
        <v>1</v>
      </c>
      <c r="K1671" s="1798"/>
      <c r="L1671" s="1792">
        <v>13141480400</v>
      </c>
      <c r="M1671" s="1793">
        <v>0</v>
      </c>
      <c r="N1671" s="1793">
        <v>1</v>
      </c>
      <c r="O1671" s="1794">
        <v>1</v>
      </c>
    </row>
    <row r="1672" spans="3:15">
      <c r="C1672" s="1799" t="s">
        <v>6160</v>
      </c>
      <c r="D1672" s="1796">
        <v>0</v>
      </c>
      <c r="E1672" s="1796">
        <v>0</v>
      </c>
      <c r="F1672" s="1797">
        <v>0</v>
      </c>
      <c r="G1672" s="1999" t="s">
        <v>6160</v>
      </c>
      <c r="H1672" s="1794">
        <v>0</v>
      </c>
      <c r="I1672" s="1794">
        <v>0</v>
      </c>
      <c r="J1672" s="2000">
        <v>0</v>
      </c>
      <c r="K1672" s="1798"/>
      <c r="L1672" s="1792">
        <v>13143010100</v>
      </c>
      <c r="M1672" s="1793">
        <v>0</v>
      </c>
      <c r="N1672" s="1793">
        <v>0</v>
      </c>
      <c r="O1672" s="1794">
        <v>0</v>
      </c>
    </row>
    <row r="1673" spans="3:15">
      <c r="C1673" s="1799" t="s">
        <v>6161</v>
      </c>
      <c r="D1673" s="1796">
        <v>0</v>
      </c>
      <c r="E1673" s="1796">
        <v>1</v>
      </c>
      <c r="F1673" s="1797">
        <v>1</v>
      </c>
      <c r="G1673" s="1999" t="s">
        <v>6161</v>
      </c>
      <c r="H1673" s="1794">
        <v>0</v>
      </c>
      <c r="I1673" s="1794">
        <v>0</v>
      </c>
      <c r="J1673" s="2000">
        <v>0</v>
      </c>
      <c r="K1673" s="1798"/>
      <c r="L1673" s="1792">
        <v>13143010200</v>
      </c>
      <c r="M1673" s="1793">
        <v>0</v>
      </c>
      <c r="N1673" s="1793">
        <v>1</v>
      </c>
      <c r="O1673" s="1794">
        <v>1</v>
      </c>
    </row>
    <row r="1674" spans="3:15">
      <c r="C1674" s="1799" t="s">
        <v>6162</v>
      </c>
      <c r="D1674" s="1796">
        <v>0</v>
      </c>
      <c r="E1674" s="1796">
        <v>0</v>
      </c>
      <c r="F1674" s="1797">
        <v>0</v>
      </c>
      <c r="G1674" s="1999" t="s">
        <v>6162</v>
      </c>
      <c r="H1674" s="1794">
        <v>0</v>
      </c>
      <c r="I1674" s="1794">
        <v>0</v>
      </c>
      <c r="J1674" s="2000">
        <v>0</v>
      </c>
      <c r="K1674" s="1798"/>
      <c r="L1674" s="1792">
        <v>13143010301</v>
      </c>
      <c r="M1674" s="1793">
        <v>0</v>
      </c>
      <c r="N1674" s="1793">
        <v>0</v>
      </c>
      <c r="O1674" s="1794">
        <v>0</v>
      </c>
    </row>
    <row r="1675" spans="3:15">
      <c r="C1675" s="1799" t="s">
        <v>6163</v>
      </c>
      <c r="D1675" s="1796">
        <v>0</v>
      </c>
      <c r="E1675" s="1796">
        <v>0</v>
      </c>
      <c r="F1675" s="1797">
        <v>0</v>
      </c>
      <c r="G1675" s="1999" t="s">
        <v>6163</v>
      </c>
      <c r="H1675" s="1794">
        <v>1</v>
      </c>
      <c r="I1675" s="1794">
        <v>0</v>
      </c>
      <c r="J1675" s="2000">
        <v>1</v>
      </c>
      <c r="K1675" s="1798"/>
      <c r="L1675" s="1792">
        <v>13143010302</v>
      </c>
      <c r="M1675" s="1793">
        <v>1</v>
      </c>
      <c r="N1675" s="1793">
        <v>0</v>
      </c>
      <c r="O1675" s="1794">
        <v>1</v>
      </c>
    </row>
    <row r="1676" spans="3:15">
      <c r="C1676" s="1799" t="s">
        <v>6164</v>
      </c>
      <c r="D1676" s="1796">
        <v>0</v>
      </c>
      <c r="E1676" s="1796">
        <v>0</v>
      </c>
      <c r="F1676" s="1797">
        <v>0</v>
      </c>
      <c r="G1676" s="1999" t="s">
        <v>6164</v>
      </c>
      <c r="H1676" s="1794">
        <v>0</v>
      </c>
      <c r="I1676" s="1794">
        <v>0</v>
      </c>
      <c r="J1676" s="2000">
        <v>0</v>
      </c>
      <c r="K1676" s="1798"/>
      <c r="L1676" s="1792">
        <v>13143010400</v>
      </c>
      <c r="M1676" s="1793">
        <v>0</v>
      </c>
      <c r="N1676" s="1793">
        <v>0</v>
      </c>
      <c r="O1676" s="1794">
        <v>0</v>
      </c>
    </row>
    <row r="1677" spans="3:15">
      <c r="C1677" s="1799" t="s">
        <v>6165</v>
      </c>
      <c r="D1677" s="1796">
        <v>0</v>
      </c>
      <c r="E1677" s="1796">
        <v>0</v>
      </c>
      <c r="F1677" s="1797">
        <v>0</v>
      </c>
      <c r="G1677" s="1999" t="s">
        <v>6165</v>
      </c>
      <c r="H1677" s="1794">
        <v>0</v>
      </c>
      <c r="I1677" s="1794">
        <v>1</v>
      </c>
      <c r="J1677" s="2000">
        <v>1</v>
      </c>
      <c r="K1677" s="1798"/>
      <c r="L1677" s="1792">
        <v>13145120198</v>
      </c>
      <c r="M1677" s="1793">
        <v>0</v>
      </c>
      <c r="N1677" s="1793">
        <v>1</v>
      </c>
      <c r="O1677" s="1794">
        <v>1</v>
      </c>
    </row>
    <row r="1678" spans="3:15">
      <c r="C1678" s="1799" t="s">
        <v>6166</v>
      </c>
      <c r="D1678" s="1796">
        <v>0</v>
      </c>
      <c r="E1678" s="1796">
        <v>1</v>
      </c>
      <c r="F1678" s="1797">
        <v>1</v>
      </c>
      <c r="G1678" s="1999" t="s">
        <v>6166</v>
      </c>
      <c r="H1678" s="1794">
        <v>0</v>
      </c>
      <c r="I1678" s="1794" t="s">
        <v>4483</v>
      </c>
      <c r="J1678" s="2000">
        <v>0</v>
      </c>
      <c r="K1678" s="1798"/>
      <c r="L1678" s="1792">
        <v>13145120200</v>
      </c>
      <c r="M1678" s="1793">
        <v>0</v>
      </c>
      <c r="N1678" s="1793">
        <v>1</v>
      </c>
      <c r="O1678" s="1794">
        <v>1</v>
      </c>
    </row>
    <row r="1679" spans="3:15">
      <c r="C1679" s="1799" t="s">
        <v>6167</v>
      </c>
      <c r="D1679" s="1796">
        <v>1</v>
      </c>
      <c r="E1679" s="1796">
        <v>1</v>
      </c>
      <c r="F1679" s="1797">
        <v>2</v>
      </c>
      <c r="G1679" s="1999" t="s">
        <v>6167</v>
      </c>
      <c r="H1679" s="1794">
        <v>1</v>
      </c>
      <c r="I1679" s="1794">
        <v>1</v>
      </c>
      <c r="J1679" s="2000">
        <v>2</v>
      </c>
      <c r="K1679" s="1798"/>
      <c r="L1679" s="1792">
        <v>13145120300</v>
      </c>
      <c r="M1679" s="1793">
        <v>1</v>
      </c>
      <c r="N1679" s="1793">
        <v>1</v>
      </c>
      <c r="O1679" s="1794">
        <v>2</v>
      </c>
    </row>
    <row r="1680" spans="3:15">
      <c r="C1680" s="1799" t="s">
        <v>6168</v>
      </c>
      <c r="D1680" s="1796">
        <v>1</v>
      </c>
      <c r="E1680" s="1796">
        <v>1</v>
      </c>
      <c r="F1680" s="1797">
        <v>2</v>
      </c>
      <c r="G1680" s="1999" t="s">
        <v>6168</v>
      </c>
      <c r="H1680" s="1794">
        <v>1</v>
      </c>
      <c r="I1680" s="1794">
        <v>1</v>
      </c>
      <c r="J1680" s="2000">
        <v>2</v>
      </c>
      <c r="K1680" s="1798"/>
      <c r="L1680" s="1792">
        <v>13145120401</v>
      </c>
      <c r="M1680" s="1793">
        <v>1</v>
      </c>
      <c r="N1680" s="1793">
        <v>1</v>
      </c>
      <c r="O1680" s="1794">
        <v>2</v>
      </c>
    </row>
    <row r="1681" spans="3:15">
      <c r="C1681" s="1799" t="s">
        <v>6169</v>
      </c>
      <c r="D1681" s="1796">
        <v>1</v>
      </c>
      <c r="E1681" s="1796">
        <v>1</v>
      </c>
      <c r="F1681" s="1797">
        <v>2</v>
      </c>
      <c r="G1681" s="1999" t="s">
        <v>6169</v>
      </c>
      <c r="H1681" s="1794">
        <v>0</v>
      </c>
      <c r="I1681" s="1794">
        <v>1</v>
      </c>
      <c r="J1681" s="2000">
        <v>1</v>
      </c>
      <c r="K1681" s="1798"/>
      <c r="L1681" s="1792">
        <v>13145120402</v>
      </c>
      <c r="M1681" s="1793">
        <v>1</v>
      </c>
      <c r="N1681" s="1793">
        <v>1</v>
      </c>
      <c r="O1681" s="1794">
        <v>2</v>
      </c>
    </row>
    <row r="1682" spans="3:15">
      <c r="C1682" s="1799" t="s">
        <v>6170</v>
      </c>
      <c r="D1682" s="1796">
        <v>0</v>
      </c>
      <c r="E1682" s="1796">
        <v>1</v>
      </c>
      <c r="F1682" s="1797">
        <v>1</v>
      </c>
      <c r="G1682" s="1999" t="s">
        <v>6170</v>
      </c>
      <c r="H1682" s="1794">
        <v>0</v>
      </c>
      <c r="I1682" s="1794">
        <v>1</v>
      </c>
      <c r="J1682" s="2000">
        <v>1</v>
      </c>
      <c r="K1682" s="1798"/>
      <c r="L1682" s="1792">
        <v>13147960100</v>
      </c>
      <c r="M1682" s="1793">
        <v>0</v>
      </c>
      <c r="N1682" s="1793">
        <v>1</v>
      </c>
      <c r="O1682" s="1794">
        <v>1</v>
      </c>
    </row>
    <row r="1683" spans="3:15">
      <c r="C1683" s="1799" t="s">
        <v>6171</v>
      </c>
      <c r="D1683" s="1796">
        <v>1</v>
      </c>
      <c r="E1683" s="1796">
        <v>1</v>
      </c>
      <c r="F1683" s="1797">
        <v>2</v>
      </c>
      <c r="G1683" s="1999" t="s">
        <v>6171</v>
      </c>
      <c r="H1683" s="1794">
        <v>0</v>
      </c>
      <c r="I1683" s="1794">
        <v>1</v>
      </c>
      <c r="J1683" s="2000">
        <v>1</v>
      </c>
      <c r="K1683" s="1798"/>
      <c r="L1683" s="1792">
        <v>13147960200</v>
      </c>
      <c r="M1683" s="1793">
        <v>1</v>
      </c>
      <c r="N1683" s="1793">
        <v>1</v>
      </c>
      <c r="O1683" s="1794">
        <v>2</v>
      </c>
    </row>
    <row r="1684" spans="3:15">
      <c r="C1684" s="1799" t="s">
        <v>6172</v>
      </c>
      <c r="D1684" s="1796">
        <v>0</v>
      </c>
      <c r="E1684" s="1796">
        <v>0</v>
      </c>
      <c r="F1684" s="1797">
        <v>0</v>
      </c>
      <c r="G1684" s="1999" t="s">
        <v>6172</v>
      </c>
      <c r="H1684" s="1794">
        <v>0</v>
      </c>
      <c r="I1684" s="1794">
        <v>0</v>
      </c>
      <c r="J1684" s="2000">
        <v>0</v>
      </c>
      <c r="K1684" s="1798"/>
      <c r="L1684" s="1792">
        <v>13147960300</v>
      </c>
      <c r="M1684" s="1793">
        <v>0</v>
      </c>
      <c r="N1684" s="1793">
        <v>0</v>
      </c>
      <c r="O1684" s="1794">
        <v>0</v>
      </c>
    </row>
    <row r="1685" spans="3:15">
      <c r="C1685" s="1799" t="s">
        <v>6173</v>
      </c>
      <c r="D1685" s="1796">
        <v>0</v>
      </c>
      <c r="E1685" s="1796">
        <v>0</v>
      </c>
      <c r="F1685" s="1797">
        <v>0</v>
      </c>
      <c r="G1685" s="1999" t="s">
        <v>6173</v>
      </c>
      <c r="H1685" s="1794">
        <v>0</v>
      </c>
      <c r="I1685" s="1794">
        <v>0</v>
      </c>
      <c r="J1685" s="2000">
        <v>0</v>
      </c>
      <c r="K1685" s="1798"/>
      <c r="L1685" s="1792">
        <v>13147960400</v>
      </c>
      <c r="M1685" s="1793">
        <v>0</v>
      </c>
      <c r="N1685" s="1793">
        <v>0</v>
      </c>
      <c r="O1685" s="1794">
        <v>0</v>
      </c>
    </row>
    <row r="1686" spans="3:15">
      <c r="C1686" s="1799" t="s">
        <v>6174</v>
      </c>
      <c r="D1686" s="1796">
        <v>0</v>
      </c>
      <c r="E1686" s="1796">
        <v>0</v>
      </c>
      <c r="F1686" s="1797">
        <v>0</v>
      </c>
      <c r="G1686" s="1999" t="s">
        <v>6174</v>
      </c>
      <c r="H1686" s="1794">
        <v>0</v>
      </c>
      <c r="I1686" s="1794">
        <v>1</v>
      </c>
      <c r="J1686" s="2000">
        <v>1</v>
      </c>
      <c r="K1686" s="1798"/>
      <c r="L1686" s="1792">
        <v>13147960500</v>
      </c>
      <c r="M1686" s="1793">
        <v>0</v>
      </c>
      <c r="N1686" s="1793">
        <v>1</v>
      </c>
      <c r="O1686" s="1794">
        <v>1</v>
      </c>
    </row>
    <row r="1687" spans="3:15">
      <c r="C1687" s="1799" t="s">
        <v>6175</v>
      </c>
      <c r="D1687" s="1796">
        <v>0</v>
      </c>
      <c r="E1687" s="1796">
        <v>0</v>
      </c>
      <c r="F1687" s="1797">
        <v>0</v>
      </c>
      <c r="G1687" s="1999" t="s">
        <v>6175</v>
      </c>
      <c r="H1687" s="1794">
        <v>0</v>
      </c>
      <c r="I1687" s="1794">
        <v>0</v>
      </c>
      <c r="J1687" s="2000">
        <v>0</v>
      </c>
      <c r="K1687" s="1798"/>
      <c r="L1687" s="1792">
        <v>13149970100</v>
      </c>
      <c r="M1687" s="1793">
        <v>0</v>
      </c>
      <c r="N1687" s="1793">
        <v>0</v>
      </c>
      <c r="O1687" s="1794">
        <v>0</v>
      </c>
    </row>
    <row r="1688" spans="3:15">
      <c r="C1688" s="1799" t="s">
        <v>6176</v>
      </c>
      <c r="D1688" s="1796">
        <v>0</v>
      </c>
      <c r="E1688" s="1796">
        <v>1</v>
      </c>
      <c r="F1688" s="1797">
        <v>1</v>
      </c>
      <c r="G1688" s="1999" t="s">
        <v>6176</v>
      </c>
      <c r="H1688" s="1794">
        <v>0</v>
      </c>
      <c r="I1688" s="1794">
        <v>1</v>
      </c>
      <c r="J1688" s="2000">
        <v>1</v>
      </c>
      <c r="K1688" s="1798"/>
      <c r="L1688" s="1792">
        <v>13149970200</v>
      </c>
      <c r="M1688" s="1793">
        <v>0</v>
      </c>
      <c r="N1688" s="1793">
        <v>1</v>
      </c>
      <c r="O1688" s="1794">
        <v>1</v>
      </c>
    </row>
    <row r="1689" spans="3:15">
      <c r="C1689" s="1799" t="s">
        <v>6177</v>
      </c>
      <c r="D1689" s="1796">
        <v>0</v>
      </c>
      <c r="E1689" s="1796">
        <v>0</v>
      </c>
      <c r="F1689" s="1797">
        <v>0</v>
      </c>
      <c r="G1689" s="1999" t="s">
        <v>6177</v>
      </c>
      <c r="H1689" s="1794">
        <v>1</v>
      </c>
      <c r="I1689" s="1794">
        <v>0</v>
      </c>
      <c r="J1689" s="2000">
        <v>1</v>
      </c>
      <c r="K1689" s="1798"/>
      <c r="L1689" s="1792">
        <v>13149970300</v>
      </c>
      <c r="M1689" s="1793">
        <v>1</v>
      </c>
      <c r="N1689" s="1793">
        <v>0</v>
      </c>
      <c r="O1689" s="1794">
        <v>1</v>
      </c>
    </row>
    <row r="1690" spans="3:15">
      <c r="C1690" s="1799" t="s">
        <v>6178</v>
      </c>
      <c r="D1690" s="1796">
        <v>1</v>
      </c>
      <c r="E1690" s="1796">
        <v>1</v>
      </c>
      <c r="F1690" s="1797">
        <v>2</v>
      </c>
      <c r="G1690" s="1999" t="s">
        <v>6178</v>
      </c>
      <c r="H1690" s="1794">
        <v>1</v>
      </c>
      <c r="I1690" s="1794">
        <v>1</v>
      </c>
      <c r="J1690" s="2000">
        <v>2</v>
      </c>
      <c r="K1690" s="1798"/>
      <c r="L1690" s="1792">
        <v>13151070104</v>
      </c>
      <c r="M1690" s="1793">
        <v>1</v>
      </c>
      <c r="N1690" s="1793">
        <v>1</v>
      </c>
      <c r="O1690" s="1794">
        <v>2</v>
      </c>
    </row>
    <row r="1691" spans="3:15">
      <c r="C1691" s="1799" t="s">
        <v>6179</v>
      </c>
      <c r="D1691" s="1796">
        <v>0</v>
      </c>
      <c r="E1691" s="1796">
        <v>0</v>
      </c>
      <c r="F1691" s="1797">
        <v>0</v>
      </c>
      <c r="G1691" s="1999" t="s">
        <v>6179</v>
      </c>
      <c r="H1691" s="1794">
        <v>0</v>
      </c>
      <c r="I1691" s="1794">
        <v>0</v>
      </c>
      <c r="J1691" s="2000">
        <v>0</v>
      </c>
      <c r="K1691" s="1798"/>
      <c r="L1691" s="1792">
        <v>13151070106</v>
      </c>
      <c r="M1691" s="1793">
        <v>0</v>
      </c>
      <c r="N1691" s="1793">
        <v>0</v>
      </c>
      <c r="O1691" s="1794">
        <v>0</v>
      </c>
    </row>
    <row r="1692" spans="3:15">
      <c r="C1692" s="1799" t="s">
        <v>6180</v>
      </c>
      <c r="D1692" s="1796">
        <v>1</v>
      </c>
      <c r="E1692" s="1796">
        <v>1</v>
      </c>
      <c r="F1692" s="1797">
        <v>2</v>
      </c>
      <c r="G1692" s="1999" t="s">
        <v>6180</v>
      </c>
      <c r="H1692" s="1794">
        <v>1</v>
      </c>
      <c r="I1692" s="1794">
        <v>1</v>
      </c>
      <c r="J1692" s="2000">
        <v>2</v>
      </c>
      <c r="K1692" s="1798"/>
      <c r="L1692" s="1792">
        <v>13151070107</v>
      </c>
      <c r="M1692" s="1793">
        <v>1</v>
      </c>
      <c r="N1692" s="1793">
        <v>1</v>
      </c>
      <c r="O1692" s="1794">
        <v>2</v>
      </c>
    </row>
    <row r="1693" spans="3:15">
      <c r="C1693" s="1799" t="s">
        <v>6181</v>
      </c>
      <c r="D1693" s="1796">
        <v>1</v>
      </c>
      <c r="E1693" s="1796">
        <v>1</v>
      </c>
      <c r="F1693" s="1797">
        <v>2</v>
      </c>
      <c r="G1693" s="1999" t="s">
        <v>6181</v>
      </c>
      <c r="H1693" s="1794">
        <v>1</v>
      </c>
      <c r="I1693" s="1794">
        <v>1</v>
      </c>
      <c r="J1693" s="2000">
        <v>2</v>
      </c>
      <c r="K1693" s="1798"/>
      <c r="L1693" s="1792">
        <v>13151070108</v>
      </c>
      <c r="M1693" s="1793">
        <v>1</v>
      </c>
      <c r="N1693" s="1793">
        <v>1</v>
      </c>
      <c r="O1693" s="1794">
        <v>2</v>
      </c>
    </row>
    <row r="1694" spans="3:15">
      <c r="C1694" s="1799" t="s">
        <v>6182</v>
      </c>
      <c r="D1694" s="1796">
        <v>1</v>
      </c>
      <c r="E1694" s="1796">
        <v>1</v>
      </c>
      <c r="F1694" s="1797">
        <v>2</v>
      </c>
      <c r="G1694" s="1999" t="s">
        <v>6182</v>
      </c>
      <c r="H1694" s="1794">
        <v>1</v>
      </c>
      <c r="I1694" s="1794">
        <v>1</v>
      </c>
      <c r="J1694" s="2000">
        <v>2</v>
      </c>
      <c r="K1694" s="1798"/>
      <c r="L1694" s="1792">
        <v>13151070109</v>
      </c>
      <c r="M1694" s="1793">
        <v>1</v>
      </c>
      <c r="N1694" s="1793">
        <v>1</v>
      </c>
      <c r="O1694" s="1794">
        <v>2</v>
      </c>
    </row>
    <row r="1695" spans="3:15">
      <c r="C1695" s="1799" t="s">
        <v>6183</v>
      </c>
      <c r="D1695" s="1796">
        <v>1</v>
      </c>
      <c r="E1695" s="1796">
        <v>1</v>
      </c>
      <c r="F1695" s="1797">
        <v>2</v>
      </c>
      <c r="G1695" s="1999" t="s">
        <v>6183</v>
      </c>
      <c r="H1695" s="1794">
        <v>1</v>
      </c>
      <c r="I1695" s="1794">
        <v>1</v>
      </c>
      <c r="J1695" s="2000">
        <v>2</v>
      </c>
      <c r="K1695" s="1798"/>
      <c r="L1695" s="1792">
        <v>13151070110</v>
      </c>
      <c r="M1695" s="1793">
        <v>1</v>
      </c>
      <c r="N1695" s="1793">
        <v>1</v>
      </c>
      <c r="O1695" s="1794">
        <v>2</v>
      </c>
    </row>
    <row r="1696" spans="3:15">
      <c r="C1696" s="1799" t="s">
        <v>6184</v>
      </c>
      <c r="D1696" s="1796">
        <v>0</v>
      </c>
      <c r="E1696" s="1796">
        <v>0</v>
      </c>
      <c r="F1696" s="1797">
        <v>0</v>
      </c>
      <c r="G1696" s="1999" t="s">
        <v>6184</v>
      </c>
      <c r="H1696" s="1794">
        <v>0</v>
      </c>
      <c r="I1696" s="1794">
        <v>0</v>
      </c>
      <c r="J1696" s="2000">
        <v>0</v>
      </c>
      <c r="K1696" s="1798"/>
      <c r="L1696" s="1792">
        <v>13151070111</v>
      </c>
      <c r="M1696" s="1793">
        <v>0</v>
      </c>
      <c r="N1696" s="1793">
        <v>0</v>
      </c>
      <c r="O1696" s="1794">
        <v>0</v>
      </c>
    </row>
    <row r="1697" spans="3:15">
      <c r="C1697" s="1799" t="s">
        <v>6185</v>
      </c>
      <c r="D1697" s="1796">
        <v>0</v>
      </c>
      <c r="E1697" s="1796">
        <v>0</v>
      </c>
      <c r="F1697" s="1797">
        <v>0</v>
      </c>
      <c r="G1697" s="1999" t="s">
        <v>6185</v>
      </c>
      <c r="H1697" s="1794">
        <v>0</v>
      </c>
      <c r="I1697" s="1794">
        <v>0</v>
      </c>
      <c r="J1697" s="2000">
        <v>0</v>
      </c>
      <c r="K1697" s="1798"/>
      <c r="L1697" s="1792">
        <v>13151070113</v>
      </c>
      <c r="M1697" s="1793">
        <v>0</v>
      </c>
      <c r="N1697" s="1793">
        <v>0</v>
      </c>
      <c r="O1697" s="1794">
        <v>0</v>
      </c>
    </row>
    <row r="1698" spans="3:15">
      <c r="C1698" s="1799" t="s">
        <v>6186</v>
      </c>
      <c r="D1698" s="1796">
        <v>0</v>
      </c>
      <c r="E1698" s="1796">
        <v>1</v>
      </c>
      <c r="F1698" s="1797">
        <v>1</v>
      </c>
      <c r="G1698" s="1999" t="s">
        <v>6186</v>
      </c>
      <c r="H1698" s="1794">
        <v>0</v>
      </c>
      <c r="I1698" s="1794">
        <v>1</v>
      </c>
      <c r="J1698" s="2000">
        <v>1</v>
      </c>
      <c r="K1698" s="1798"/>
      <c r="L1698" s="1792">
        <v>13151070114</v>
      </c>
      <c r="M1698" s="1793">
        <v>0</v>
      </c>
      <c r="N1698" s="1793">
        <v>1</v>
      </c>
      <c r="O1698" s="1794">
        <v>1</v>
      </c>
    </row>
    <row r="1699" spans="3:15">
      <c r="C1699" s="1799" t="s">
        <v>6187</v>
      </c>
      <c r="D1699" s="1796">
        <v>1</v>
      </c>
      <c r="E1699" s="1796">
        <v>1</v>
      </c>
      <c r="F1699" s="1797">
        <v>2</v>
      </c>
      <c r="G1699" s="1999" t="s">
        <v>6187</v>
      </c>
      <c r="H1699" s="1794">
        <v>1</v>
      </c>
      <c r="I1699" s="1794">
        <v>1</v>
      </c>
      <c r="J1699" s="2000">
        <v>2</v>
      </c>
      <c r="K1699" s="1798"/>
      <c r="L1699" s="1792">
        <v>13151070202</v>
      </c>
      <c r="M1699" s="1793">
        <v>1</v>
      </c>
      <c r="N1699" s="1793">
        <v>1</v>
      </c>
      <c r="O1699" s="1794">
        <v>2</v>
      </c>
    </row>
    <row r="1700" spans="3:15">
      <c r="C1700" s="1799" t="s">
        <v>6188</v>
      </c>
      <c r="D1700" s="1796">
        <v>1</v>
      </c>
      <c r="E1700" s="1796">
        <v>1</v>
      </c>
      <c r="F1700" s="1797">
        <v>2</v>
      </c>
      <c r="G1700" s="1999" t="s">
        <v>6188</v>
      </c>
      <c r="H1700" s="1794">
        <v>1</v>
      </c>
      <c r="I1700" s="1794">
        <v>1</v>
      </c>
      <c r="J1700" s="2000">
        <v>2</v>
      </c>
      <c r="K1700" s="1798"/>
      <c r="L1700" s="1792">
        <v>13151070203</v>
      </c>
      <c r="M1700" s="1793">
        <v>1</v>
      </c>
      <c r="N1700" s="1793">
        <v>1</v>
      </c>
      <c r="O1700" s="1794">
        <v>2</v>
      </c>
    </row>
    <row r="1701" spans="3:15">
      <c r="C1701" s="1799" t="s">
        <v>6189</v>
      </c>
      <c r="D1701" s="1796">
        <v>1</v>
      </c>
      <c r="E1701" s="1796">
        <v>1</v>
      </c>
      <c r="F1701" s="1797">
        <v>2</v>
      </c>
      <c r="G1701" s="1999" t="s">
        <v>6189</v>
      </c>
      <c r="H1701" s="1794">
        <v>1</v>
      </c>
      <c r="I1701" s="1794">
        <v>1</v>
      </c>
      <c r="J1701" s="2000">
        <v>2</v>
      </c>
      <c r="K1701" s="1798"/>
      <c r="L1701" s="1792">
        <v>13151070204</v>
      </c>
      <c r="M1701" s="1793">
        <v>1</v>
      </c>
      <c r="N1701" s="1793">
        <v>1</v>
      </c>
      <c r="O1701" s="1794">
        <v>2</v>
      </c>
    </row>
    <row r="1702" spans="3:15">
      <c r="C1702" s="1799" t="s">
        <v>6190</v>
      </c>
      <c r="D1702" s="1796">
        <v>0</v>
      </c>
      <c r="E1702" s="1796">
        <v>1</v>
      </c>
      <c r="F1702" s="1797">
        <v>1</v>
      </c>
      <c r="G1702" s="1999" t="s">
        <v>6190</v>
      </c>
      <c r="H1702" s="1794">
        <v>0</v>
      </c>
      <c r="I1702" s="1794">
        <v>1</v>
      </c>
      <c r="J1702" s="2000">
        <v>1</v>
      </c>
      <c r="K1702" s="1798"/>
      <c r="L1702" s="1792">
        <v>13151070205</v>
      </c>
      <c r="M1702" s="1793">
        <v>0</v>
      </c>
      <c r="N1702" s="1793">
        <v>1</v>
      </c>
      <c r="O1702" s="1794">
        <v>1</v>
      </c>
    </row>
    <row r="1703" spans="3:15">
      <c r="C1703" s="1799" t="s">
        <v>6191</v>
      </c>
      <c r="D1703" s="1796">
        <v>0</v>
      </c>
      <c r="E1703" s="1796">
        <v>0</v>
      </c>
      <c r="F1703" s="1797">
        <v>0</v>
      </c>
      <c r="G1703" s="1999" t="s">
        <v>6191</v>
      </c>
      <c r="H1703" s="1794">
        <v>0</v>
      </c>
      <c r="I1703" s="1794">
        <v>1</v>
      </c>
      <c r="J1703" s="2000">
        <v>1</v>
      </c>
      <c r="K1703" s="1798"/>
      <c r="L1703" s="1792">
        <v>13151070304</v>
      </c>
      <c r="M1703" s="1793">
        <v>0</v>
      </c>
      <c r="N1703" s="1793">
        <v>1</v>
      </c>
      <c r="O1703" s="1794">
        <v>1</v>
      </c>
    </row>
    <row r="1704" spans="3:15">
      <c r="C1704" s="1799" t="s">
        <v>6192</v>
      </c>
      <c r="D1704" s="1796">
        <v>1</v>
      </c>
      <c r="E1704" s="1796">
        <v>1</v>
      </c>
      <c r="F1704" s="1797">
        <v>2</v>
      </c>
      <c r="G1704" s="1999" t="s">
        <v>6192</v>
      </c>
      <c r="H1704" s="1794">
        <v>1</v>
      </c>
      <c r="I1704" s="1794" t="s">
        <v>4483</v>
      </c>
      <c r="J1704" s="2000">
        <v>1</v>
      </c>
      <c r="K1704" s="1798"/>
      <c r="L1704" s="1792">
        <v>13151070305</v>
      </c>
      <c r="M1704" s="1793">
        <v>1</v>
      </c>
      <c r="N1704" s="1793">
        <v>1</v>
      </c>
      <c r="O1704" s="1794">
        <v>2</v>
      </c>
    </row>
    <row r="1705" spans="3:15">
      <c r="C1705" s="1799" t="s">
        <v>6193</v>
      </c>
      <c r="D1705" s="1796">
        <v>1</v>
      </c>
      <c r="E1705" s="1796">
        <v>1</v>
      </c>
      <c r="F1705" s="1797">
        <v>2</v>
      </c>
      <c r="G1705" s="1999" t="s">
        <v>6193</v>
      </c>
      <c r="H1705" s="1794">
        <v>1</v>
      </c>
      <c r="I1705" s="1794">
        <v>1</v>
      </c>
      <c r="J1705" s="2000">
        <v>2</v>
      </c>
      <c r="K1705" s="1798"/>
      <c r="L1705" s="1792">
        <v>13151070306</v>
      </c>
      <c r="M1705" s="1793">
        <v>1</v>
      </c>
      <c r="N1705" s="1793">
        <v>1</v>
      </c>
      <c r="O1705" s="1794">
        <v>2</v>
      </c>
    </row>
    <row r="1706" spans="3:15">
      <c r="C1706" s="1799" t="s">
        <v>6194</v>
      </c>
      <c r="D1706" s="1796">
        <v>1</v>
      </c>
      <c r="E1706" s="1796">
        <v>1</v>
      </c>
      <c r="F1706" s="1797">
        <v>2</v>
      </c>
      <c r="G1706" s="1999" t="s">
        <v>6194</v>
      </c>
      <c r="H1706" s="1794">
        <v>1</v>
      </c>
      <c r="I1706" s="1794">
        <v>1</v>
      </c>
      <c r="J1706" s="2000">
        <v>2</v>
      </c>
      <c r="K1706" s="1798"/>
      <c r="L1706" s="1792">
        <v>13151070307</v>
      </c>
      <c r="M1706" s="1793">
        <v>1</v>
      </c>
      <c r="N1706" s="1793">
        <v>1</v>
      </c>
      <c r="O1706" s="1794">
        <v>2</v>
      </c>
    </row>
    <row r="1707" spans="3:15">
      <c r="C1707" s="1799" t="s">
        <v>6195</v>
      </c>
      <c r="D1707" s="1796">
        <v>1</v>
      </c>
      <c r="E1707" s="1796">
        <v>1</v>
      </c>
      <c r="F1707" s="1797">
        <v>2</v>
      </c>
      <c r="G1707" s="1999" t="s">
        <v>6195</v>
      </c>
      <c r="H1707" s="1794">
        <v>1</v>
      </c>
      <c r="I1707" s="1794">
        <v>1</v>
      </c>
      <c r="J1707" s="2000">
        <v>2</v>
      </c>
      <c r="K1707" s="1798"/>
      <c r="L1707" s="1792">
        <v>13151070309</v>
      </c>
      <c r="M1707" s="1793">
        <v>1</v>
      </c>
      <c r="N1707" s="1793">
        <v>1</v>
      </c>
      <c r="O1707" s="1794">
        <v>2</v>
      </c>
    </row>
    <row r="1708" spans="3:15">
      <c r="C1708" s="1799" t="s">
        <v>6196</v>
      </c>
      <c r="D1708" s="1796">
        <v>1</v>
      </c>
      <c r="E1708" s="1796">
        <v>1</v>
      </c>
      <c r="F1708" s="1797">
        <v>2</v>
      </c>
      <c r="G1708" s="1999" t="s">
        <v>6196</v>
      </c>
      <c r="H1708" s="1794">
        <v>1</v>
      </c>
      <c r="I1708" s="1794">
        <v>0</v>
      </c>
      <c r="J1708" s="2000">
        <v>1</v>
      </c>
      <c r="K1708" s="1798"/>
      <c r="L1708" s="1792">
        <v>13151070310</v>
      </c>
      <c r="M1708" s="1793">
        <v>1</v>
      </c>
      <c r="N1708" s="1793">
        <v>1</v>
      </c>
      <c r="O1708" s="1794">
        <v>2</v>
      </c>
    </row>
    <row r="1709" spans="3:15">
      <c r="C1709" s="1799" t="s">
        <v>6197</v>
      </c>
      <c r="D1709" s="1796">
        <v>0</v>
      </c>
      <c r="E1709" s="1796">
        <v>0</v>
      </c>
      <c r="F1709" s="1797">
        <v>0</v>
      </c>
      <c r="G1709" s="1999" t="s">
        <v>6197</v>
      </c>
      <c r="H1709" s="1794">
        <v>0</v>
      </c>
      <c r="I1709" s="1794" t="s">
        <v>4483</v>
      </c>
      <c r="J1709" s="2000">
        <v>0</v>
      </c>
      <c r="K1709" s="1798"/>
      <c r="L1709" s="1792">
        <v>13151070311</v>
      </c>
      <c r="M1709" s="1793">
        <v>0</v>
      </c>
      <c r="N1709" s="1793">
        <v>0</v>
      </c>
      <c r="O1709" s="1794">
        <v>0</v>
      </c>
    </row>
    <row r="1710" spans="3:15">
      <c r="C1710" s="1799" t="s">
        <v>6198</v>
      </c>
      <c r="D1710" s="1796">
        <v>1</v>
      </c>
      <c r="E1710" s="1796">
        <v>1</v>
      </c>
      <c r="F1710" s="1797">
        <v>2</v>
      </c>
      <c r="G1710" s="1999" t="s">
        <v>6198</v>
      </c>
      <c r="H1710" s="1794">
        <v>1</v>
      </c>
      <c r="I1710" s="1794">
        <v>1</v>
      </c>
      <c r="J1710" s="2000">
        <v>2</v>
      </c>
      <c r="K1710" s="1798"/>
      <c r="L1710" s="1792">
        <v>13151070402</v>
      </c>
      <c r="M1710" s="1793">
        <v>1</v>
      </c>
      <c r="N1710" s="1793">
        <v>1</v>
      </c>
      <c r="O1710" s="1794">
        <v>2</v>
      </c>
    </row>
    <row r="1711" spans="3:15">
      <c r="C1711" s="1799" t="s">
        <v>6199</v>
      </c>
      <c r="D1711" s="1796">
        <v>0</v>
      </c>
      <c r="E1711" s="1796">
        <v>1</v>
      </c>
      <c r="F1711" s="1797">
        <v>1</v>
      </c>
      <c r="G1711" s="1999" t="s">
        <v>6199</v>
      </c>
      <c r="H1711" s="1794">
        <v>0</v>
      </c>
      <c r="I1711" s="1794">
        <v>0</v>
      </c>
      <c r="J1711" s="2000">
        <v>0</v>
      </c>
      <c r="K1711" s="1798"/>
      <c r="L1711" s="1792">
        <v>13151070403</v>
      </c>
      <c r="M1711" s="1793">
        <v>0</v>
      </c>
      <c r="N1711" s="1793">
        <v>1</v>
      </c>
      <c r="O1711" s="1794">
        <v>1</v>
      </c>
    </row>
    <row r="1712" spans="3:15">
      <c r="C1712" s="1799" t="s">
        <v>6200</v>
      </c>
      <c r="D1712" s="1796">
        <v>1</v>
      </c>
      <c r="E1712" s="1796">
        <v>1</v>
      </c>
      <c r="F1712" s="1797">
        <v>2</v>
      </c>
      <c r="G1712" s="1999" t="s">
        <v>6200</v>
      </c>
      <c r="H1712" s="1794">
        <v>1</v>
      </c>
      <c r="I1712" s="1794">
        <v>1</v>
      </c>
      <c r="J1712" s="2000">
        <v>2</v>
      </c>
      <c r="K1712" s="1798"/>
      <c r="L1712" s="1792">
        <v>13151070404</v>
      </c>
      <c r="M1712" s="1793">
        <v>1</v>
      </c>
      <c r="N1712" s="1793">
        <v>1</v>
      </c>
      <c r="O1712" s="1794">
        <v>2</v>
      </c>
    </row>
    <row r="1713" spans="3:15">
      <c r="C1713" s="1799" t="s">
        <v>6201</v>
      </c>
      <c r="D1713" s="1796">
        <v>0</v>
      </c>
      <c r="E1713" s="1796">
        <v>0</v>
      </c>
      <c r="F1713" s="1797">
        <v>0</v>
      </c>
      <c r="G1713" s="1999" t="s">
        <v>6201</v>
      </c>
      <c r="H1713" s="1794">
        <v>1</v>
      </c>
      <c r="I1713" s="1794">
        <v>0</v>
      </c>
      <c r="J1713" s="2000">
        <v>1</v>
      </c>
      <c r="K1713" s="1798"/>
      <c r="L1713" s="1792">
        <v>13151070501</v>
      </c>
      <c r="M1713" s="1793">
        <v>1</v>
      </c>
      <c r="N1713" s="1793">
        <v>0</v>
      </c>
      <c r="O1713" s="1794">
        <v>1</v>
      </c>
    </row>
    <row r="1714" spans="3:15">
      <c r="C1714" s="1799" t="s">
        <v>6202</v>
      </c>
      <c r="D1714" s="1796">
        <v>1</v>
      </c>
      <c r="E1714" s="1796">
        <v>1</v>
      </c>
      <c r="F1714" s="1797">
        <v>2</v>
      </c>
      <c r="G1714" s="1999" t="s">
        <v>6202</v>
      </c>
      <c r="H1714" s="1794">
        <v>1</v>
      </c>
      <c r="I1714" s="1794">
        <v>1</v>
      </c>
      <c r="J1714" s="2000">
        <v>2</v>
      </c>
      <c r="K1714" s="1798"/>
      <c r="L1714" s="1792">
        <v>13151070502</v>
      </c>
      <c r="M1714" s="1793">
        <v>1</v>
      </c>
      <c r="N1714" s="1793">
        <v>1</v>
      </c>
      <c r="O1714" s="1794">
        <v>2</v>
      </c>
    </row>
    <row r="1715" spans="3:15">
      <c r="C1715" s="1799" t="s">
        <v>6203</v>
      </c>
      <c r="D1715" s="1796">
        <v>0</v>
      </c>
      <c r="E1715" s="1796">
        <v>0</v>
      </c>
      <c r="F1715" s="1797">
        <v>0</v>
      </c>
      <c r="G1715" s="1999" t="s">
        <v>6203</v>
      </c>
      <c r="H1715" s="1794">
        <v>0</v>
      </c>
      <c r="I1715" s="1794">
        <v>1</v>
      </c>
      <c r="J1715" s="2000">
        <v>0</v>
      </c>
      <c r="K1715" s="1798"/>
      <c r="L1715" s="1792">
        <v>13153020105</v>
      </c>
      <c r="M1715" s="1793">
        <v>0</v>
      </c>
      <c r="N1715" s="1793">
        <v>1</v>
      </c>
      <c r="O1715" s="1794">
        <v>0</v>
      </c>
    </row>
    <row r="1716" spans="3:15">
      <c r="C1716" s="1799" t="s">
        <v>6204</v>
      </c>
      <c r="D1716" s="1796">
        <v>0</v>
      </c>
      <c r="E1716" s="1796">
        <v>1</v>
      </c>
      <c r="F1716" s="1797">
        <v>1</v>
      </c>
      <c r="G1716" s="1999" t="s">
        <v>6204</v>
      </c>
      <c r="H1716" s="1794">
        <v>0</v>
      </c>
      <c r="I1716" s="1794">
        <v>0</v>
      </c>
      <c r="J1716" s="2000">
        <v>0</v>
      </c>
      <c r="K1716" s="1798"/>
      <c r="L1716" s="1792">
        <v>13153020106</v>
      </c>
      <c r="M1716" s="1793">
        <v>0</v>
      </c>
      <c r="N1716" s="1793">
        <v>1</v>
      </c>
      <c r="O1716" s="1794">
        <v>1</v>
      </c>
    </row>
    <row r="1717" spans="3:15">
      <c r="C1717" s="1799" t="s">
        <v>6205</v>
      </c>
      <c r="D1717" s="1796">
        <v>0</v>
      </c>
      <c r="E1717" s="1796">
        <v>1</v>
      </c>
      <c r="F1717" s="1797">
        <v>1</v>
      </c>
      <c r="G1717" s="1999" t="s">
        <v>6205</v>
      </c>
      <c r="H1717" s="1794">
        <v>0</v>
      </c>
      <c r="I1717" s="1794">
        <v>1</v>
      </c>
      <c r="J1717" s="2000">
        <v>1</v>
      </c>
      <c r="K1717" s="1798"/>
      <c r="L1717" s="1792">
        <v>13153020108</v>
      </c>
      <c r="M1717" s="1793">
        <v>0</v>
      </c>
      <c r="N1717" s="1793">
        <v>1</v>
      </c>
      <c r="O1717" s="1794">
        <v>1</v>
      </c>
    </row>
    <row r="1718" spans="3:15">
      <c r="C1718" s="1799" t="s">
        <v>6206</v>
      </c>
      <c r="D1718" s="1796">
        <v>1</v>
      </c>
      <c r="E1718" s="1796">
        <v>1</v>
      </c>
      <c r="F1718" s="1797">
        <v>2</v>
      </c>
      <c r="G1718" s="1999" t="s">
        <v>6206</v>
      </c>
      <c r="H1718" s="1794">
        <v>1</v>
      </c>
      <c r="I1718" s="1794">
        <v>1</v>
      </c>
      <c r="J1718" s="2000">
        <v>2</v>
      </c>
      <c r="K1718" s="1798"/>
      <c r="L1718" s="1792">
        <v>13153020109</v>
      </c>
      <c r="M1718" s="1793">
        <v>1</v>
      </c>
      <c r="N1718" s="1793">
        <v>1</v>
      </c>
      <c r="O1718" s="1794">
        <v>2</v>
      </c>
    </row>
    <row r="1719" spans="3:15">
      <c r="C1719" s="1799" t="s">
        <v>6207</v>
      </c>
      <c r="D1719" s="1796">
        <v>0</v>
      </c>
      <c r="E1719" s="1796">
        <v>0</v>
      </c>
      <c r="F1719" s="1797">
        <v>0</v>
      </c>
      <c r="G1719" s="1999" t="s">
        <v>6207</v>
      </c>
      <c r="H1719" s="1794">
        <v>0</v>
      </c>
      <c r="I1719" s="1794">
        <v>0</v>
      </c>
      <c r="J1719" s="2000">
        <v>0</v>
      </c>
      <c r="K1719" s="1798"/>
      <c r="L1719" s="1792">
        <v>13153020200</v>
      </c>
      <c r="M1719" s="1793">
        <v>0</v>
      </c>
      <c r="N1719" s="1793">
        <v>0</v>
      </c>
      <c r="O1719" s="1794">
        <v>0</v>
      </c>
    </row>
    <row r="1720" spans="3:15">
      <c r="C1720" s="1799" t="s">
        <v>6208</v>
      </c>
      <c r="D1720" s="1796">
        <v>0</v>
      </c>
      <c r="E1720" s="1796">
        <v>0</v>
      </c>
      <c r="F1720" s="1797">
        <v>0</v>
      </c>
      <c r="G1720" s="1999" t="s">
        <v>6208</v>
      </c>
      <c r="H1720" s="1794">
        <v>0</v>
      </c>
      <c r="I1720" s="1794">
        <v>0</v>
      </c>
      <c r="J1720" s="2000">
        <v>0</v>
      </c>
      <c r="K1720" s="1798"/>
      <c r="L1720" s="1792">
        <v>13153020300</v>
      </c>
      <c r="M1720" s="1793">
        <v>0</v>
      </c>
      <c r="N1720" s="1793">
        <v>0</v>
      </c>
      <c r="O1720" s="1794">
        <v>0</v>
      </c>
    </row>
    <row r="1721" spans="3:15">
      <c r="C1721" s="1799" t="s">
        <v>6209</v>
      </c>
      <c r="D1721" s="1796">
        <v>0</v>
      </c>
      <c r="E1721" s="1796">
        <v>0</v>
      </c>
      <c r="F1721" s="1797">
        <v>0</v>
      </c>
      <c r="G1721" s="1999" t="s">
        <v>6209</v>
      </c>
      <c r="H1721" s="1794">
        <v>0</v>
      </c>
      <c r="I1721" s="1794">
        <v>0</v>
      </c>
      <c r="J1721" s="2000">
        <v>0</v>
      </c>
      <c r="K1721" s="1798"/>
      <c r="L1721" s="1792">
        <v>13153020400</v>
      </c>
      <c r="M1721" s="1793">
        <v>0</v>
      </c>
      <c r="N1721" s="1793">
        <v>0</v>
      </c>
      <c r="O1721" s="1794">
        <v>0</v>
      </c>
    </row>
    <row r="1722" spans="3:15">
      <c r="C1722" s="1799" t="s">
        <v>6210</v>
      </c>
      <c r="D1722" s="1796">
        <v>0</v>
      </c>
      <c r="E1722" s="1796">
        <v>1</v>
      </c>
      <c r="F1722" s="1797">
        <v>1</v>
      </c>
      <c r="G1722" s="1999" t="s">
        <v>6210</v>
      </c>
      <c r="H1722" s="1794">
        <v>0</v>
      </c>
      <c r="I1722" s="1794" t="s">
        <v>4483</v>
      </c>
      <c r="J1722" s="2000">
        <v>0</v>
      </c>
      <c r="K1722" s="1798"/>
      <c r="L1722" s="1792">
        <v>13153020600</v>
      </c>
      <c r="M1722" s="1793">
        <v>0</v>
      </c>
      <c r="N1722" s="1793">
        <v>1</v>
      </c>
      <c r="O1722" s="1794">
        <v>1</v>
      </c>
    </row>
    <row r="1723" spans="3:15">
      <c r="C1723" s="1799" t="s">
        <v>6211</v>
      </c>
      <c r="D1723" s="1796">
        <v>0</v>
      </c>
      <c r="E1723" s="1796">
        <v>0</v>
      </c>
      <c r="F1723" s="1797">
        <v>0</v>
      </c>
      <c r="G1723" s="1999" t="s">
        <v>6211</v>
      </c>
      <c r="H1723" s="1794">
        <v>0</v>
      </c>
      <c r="I1723" s="1794">
        <v>0</v>
      </c>
      <c r="J1723" s="2000">
        <v>0</v>
      </c>
      <c r="K1723" s="1798"/>
      <c r="L1723" s="1792">
        <v>13153020700</v>
      </c>
      <c r="M1723" s="1793">
        <v>0</v>
      </c>
      <c r="N1723" s="1793">
        <v>0</v>
      </c>
      <c r="O1723" s="1794">
        <v>0</v>
      </c>
    </row>
    <row r="1724" spans="3:15">
      <c r="C1724" s="1799" t="s">
        <v>6212</v>
      </c>
      <c r="D1724" s="1796">
        <v>0</v>
      </c>
      <c r="E1724" s="1796">
        <v>0</v>
      </c>
      <c r="F1724" s="1797">
        <v>0</v>
      </c>
      <c r="G1724" s="1999" t="s">
        <v>6212</v>
      </c>
      <c r="H1724" s="1794">
        <v>1</v>
      </c>
      <c r="I1724" s="1794">
        <v>0</v>
      </c>
      <c r="J1724" s="2000">
        <v>1</v>
      </c>
      <c r="K1724" s="1798"/>
      <c r="L1724" s="1792">
        <v>13153020800</v>
      </c>
      <c r="M1724" s="1793">
        <v>1</v>
      </c>
      <c r="N1724" s="1793">
        <v>0</v>
      </c>
      <c r="O1724" s="1794">
        <v>1</v>
      </c>
    </row>
    <row r="1725" spans="3:15">
      <c r="C1725" s="1799" t="s">
        <v>6213</v>
      </c>
      <c r="D1725" s="1796">
        <v>0</v>
      </c>
      <c r="E1725" s="1796">
        <v>0</v>
      </c>
      <c r="F1725" s="1797">
        <v>0</v>
      </c>
      <c r="G1725" s="1999" t="s">
        <v>6213</v>
      </c>
      <c r="H1725" s="1794">
        <v>0</v>
      </c>
      <c r="I1725" s="1794">
        <v>0</v>
      </c>
      <c r="J1725" s="2000">
        <v>0</v>
      </c>
      <c r="K1725" s="1798"/>
      <c r="L1725" s="1792">
        <v>13153020900</v>
      </c>
      <c r="M1725" s="1793">
        <v>0</v>
      </c>
      <c r="N1725" s="1793">
        <v>0</v>
      </c>
      <c r="O1725" s="1794">
        <v>0</v>
      </c>
    </row>
    <row r="1726" spans="3:15">
      <c r="C1726" s="1799" t="s">
        <v>6214</v>
      </c>
      <c r="D1726" s="1796">
        <v>0</v>
      </c>
      <c r="E1726" s="1796">
        <v>0</v>
      </c>
      <c r="F1726" s="1797">
        <v>0</v>
      </c>
      <c r="G1726" s="1999" t="s">
        <v>6214</v>
      </c>
      <c r="H1726" s="1794">
        <v>0</v>
      </c>
      <c r="I1726" s="1794">
        <v>1</v>
      </c>
      <c r="J1726" s="2000">
        <v>1</v>
      </c>
      <c r="K1726" s="1798"/>
      <c r="L1726" s="1792">
        <v>13153021000</v>
      </c>
      <c r="M1726" s="1793">
        <v>0</v>
      </c>
      <c r="N1726" s="1793">
        <v>1</v>
      </c>
      <c r="O1726" s="1794">
        <v>1</v>
      </c>
    </row>
    <row r="1727" spans="3:15">
      <c r="C1727" s="1799" t="s">
        <v>6215</v>
      </c>
      <c r="D1727" s="1796">
        <v>1</v>
      </c>
      <c r="E1727" s="1796">
        <v>1</v>
      </c>
      <c r="F1727" s="1797">
        <v>2</v>
      </c>
      <c r="G1727" s="1999" t="s">
        <v>6215</v>
      </c>
      <c r="H1727" s="1794">
        <v>1</v>
      </c>
      <c r="I1727" s="1794">
        <v>1</v>
      </c>
      <c r="J1727" s="2000">
        <v>2</v>
      </c>
      <c r="K1727" s="1798"/>
      <c r="L1727" s="1792">
        <v>13153021103</v>
      </c>
      <c r="M1727" s="1793">
        <v>1</v>
      </c>
      <c r="N1727" s="1793">
        <v>1</v>
      </c>
      <c r="O1727" s="1794">
        <v>2</v>
      </c>
    </row>
    <row r="1728" spans="3:15">
      <c r="C1728" s="1799" t="s">
        <v>6216</v>
      </c>
      <c r="D1728" s="1796">
        <v>0</v>
      </c>
      <c r="E1728" s="1796">
        <v>0</v>
      </c>
      <c r="F1728" s="1797">
        <v>0</v>
      </c>
      <c r="G1728" s="1999" t="s">
        <v>6216</v>
      </c>
      <c r="H1728" s="1794">
        <v>0</v>
      </c>
      <c r="I1728" s="1794">
        <v>0</v>
      </c>
      <c r="J1728" s="2000">
        <v>0</v>
      </c>
      <c r="K1728" s="1798"/>
      <c r="L1728" s="1792">
        <v>13153021104</v>
      </c>
      <c r="M1728" s="1793">
        <v>0</v>
      </c>
      <c r="N1728" s="1793">
        <v>0</v>
      </c>
      <c r="O1728" s="1794">
        <v>0</v>
      </c>
    </row>
    <row r="1729" spans="3:15">
      <c r="C1729" s="1799" t="s">
        <v>6217</v>
      </c>
      <c r="D1729" s="1796">
        <v>0</v>
      </c>
      <c r="E1729" s="1796">
        <v>1</v>
      </c>
      <c r="F1729" s="1797">
        <v>1</v>
      </c>
      <c r="G1729" s="1999" t="s">
        <v>6217</v>
      </c>
      <c r="H1729" s="1794">
        <v>1</v>
      </c>
      <c r="I1729" s="1794">
        <v>0</v>
      </c>
      <c r="J1729" s="2000">
        <v>1</v>
      </c>
      <c r="K1729" s="1798"/>
      <c r="L1729" s="1792">
        <v>13153021105</v>
      </c>
      <c r="M1729" s="1793">
        <v>1</v>
      </c>
      <c r="N1729" s="1793">
        <v>1</v>
      </c>
      <c r="O1729" s="1794">
        <v>1</v>
      </c>
    </row>
    <row r="1730" spans="3:15">
      <c r="C1730" s="1799" t="s">
        <v>6218</v>
      </c>
      <c r="D1730" s="1796">
        <v>1</v>
      </c>
      <c r="E1730" s="1796">
        <v>1</v>
      </c>
      <c r="F1730" s="1797">
        <v>2</v>
      </c>
      <c r="G1730" s="1999" t="s">
        <v>6218</v>
      </c>
      <c r="H1730" s="1794">
        <v>0</v>
      </c>
      <c r="I1730" s="1794">
        <v>1</v>
      </c>
      <c r="J1730" s="2000">
        <v>1</v>
      </c>
      <c r="K1730" s="1798"/>
      <c r="L1730" s="1792">
        <v>13153021107</v>
      </c>
      <c r="M1730" s="1793">
        <v>1</v>
      </c>
      <c r="N1730" s="1793">
        <v>1</v>
      </c>
      <c r="O1730" s="1794">
        <v>2</v>
      </c>
    </row>
    <row r="1731" spans="3:15">
      <c r="C1731" s="1799" t="s">
        <v>6219</v>
      </c>
      <c r="D1731" s="1796">
        <v>1</v>
      </c>
      <c r="E1731" s="1796">
        <v>1</v>
      </c>
      <c r="F1731" s="1797">
        <v>2</v>
      </c>
      <c r="G1731" s="1999" t="s">
        <v>6219</v>
      </c>
      <c r="H1731" s="1794">
        <v>1</v>
      </c>
      <c r="I1731" s="1794">
        <v>1</v>
      </c>
      <c r="J1731" s="2000">
        <v>2</v>
      </c>
      <c r="K1731" s="1798"/>
      <c r="L1731" s="1792">
        <v>13153021108</v>
      </c>
      <c r="M1731" s="1793">
        <v>1</v>
      </c>
      <c r="N1731" s="1793">
        <v>1</v>
      </c>
      <c r="O1731" s="1794">
        <v>2</v>
      </c>
    </row>
    <row r="1732" spans="3:15">
      <c r="C1732" s="1799" t="s">
        <v>6220</v>
      </c>
      <c r="D1732" s="1796">
        <v>1</v>
      </c>
      <c r="E1732" s="1796">
        <v>1</v>
      </c>
      <c r="F1732" s="1797">
        <v>2</v>
      </c>
      <c r="G1732" s="1999" t="s">
        <v>6220</v>
      </c>
      <c r="H1732" s="1794">
        <v>1</v>
      </c>
      <c r="I1732" s="1794">
        <v>1</v>
      </c>
      <c r="J1732" s="2000">
        <v>2</v>
      </c>
      <c r="K1732" s="1798"/>
      <c r="L1732" s="1792">
        <v>13153021113</v>
      </c>
      <c r="M1732" s="1793">
        <v>1</v>
      </c>
      <c r="N1732" s="1793">
        <v>1</v>
      </c>
      <c r="O1732" s="1794">
        <v>2</v>
      </c>
    </row>
    <row r="1733" spans="3:15">
      <c r="C1733" s="1799" t="s">
        <v>6221</v>
      </c>
      <c r="D1733" s="1796">
        <v>1</v>
      </c>
      <c r="E1733" s="1796">
        <v>1</v>
      </c>
      <c r="F1733" s="1797">
        <v>2</v>
      </c>
      <c r="G1733" s="1999" t="s">
        <v>6221</v>
      </c>
      <c r="H1733" s="1794">
        <v>1</v>
      </c>
      <c r="I1733" s="1794">
        <v>1</v>
      </c>
      <c r="J1733" s="2000">
        <v>2</v>
      </c>
      <c r="K1733" s="1798"/>
      <c r="L1733" s="1792">
        <v>13153021201</v>
      </c>
      <c r="M1733" s="1793">
        <v>1</v>
      </c>
      <c r="N1733" s="1793">
        <v>1</v>
      </c>
      <c r="O1733" s="1794">
        <v>2</v>
      </c>
    </row>
    <row r="1734" spans="3:15">
      <c r="C1734" s="1799" t="s">
        <v>6222</v>
      </c>
      <c r="D1734" s="1796">
        <v>0</v>
      </c>
      <c r="E1734" s="1796">
        <v>1</v>
      </c>
      <c r="F1734" s="1797">
        <v>1</v>
      </c>
      <c r="G1734" s="1999" t="s">
        <v>6222</v>
      </c>
      <c r="H1734" s="1794">
        <v>0</v>
      </c>
      <c r="I1734" s="1794">
        <v>1</v>
      </c>
      <c r="J1734" s="2000">
        <v>1</v>
      </c>
      <c r="K1734" s="1798"/>
      <c r="L1734" s="1792">
        <v>13153021202</v>
      </c>
      <c r="M1734" s="1793">
        <v>0</v>
      </c>
      <c r="N1734" s="1793">
        <v>1</v>
      </c>
      <c r="O1734" s="1794">
        <v>1</v>
      </c>
    </row>
    <row r="1735" spans="3:15">
      <c r="C1735" s="1799" t="s">
        <v>6223</v>
      </c>
      <c r="D1735" s="1796">
        <v>0</v>
      </c>
      <c r="E1735" s="1796">
        <v>0</v>
      </c>
      <c r="F1735" s="1797">
        <v>0</v>
      </c>
      <c r="G1735" s="1999" t="s">
        <v>6223</v>
      </c>
      <c r="H1735" s="1794">
        <v>0</v>
      </c>
      <c r="I1735" s="1794">
        <v>0</v>
      </c>
      <c r="J1735" s="2000">
        <v>0</v>
      </c>
      <c r="K1735" s="1798"/>
      <c r="L1735" s="1792">
        <v>13153021300</v>
      </c>
      <c r="M1735" s="1793">
        <v>0</v>
      </c>
      <c r="N1735" s="1793">
        <v>0</v>
      </c>
      <c r="O1735" s="1794">
        <v>0</v>
      </c>
    </row>
    <row r="1736" spans="3:15">
      <c r="C1736" s="1799" t="s">
        <v>6224</v>
      </c>
      <c r="D1736" s="1796">
        <v>0</v>
      </c>
      <c r="E1736" s="1796">
        <v>1</v>
      </c>
      <c r="F1736" s="1797">
        <v>1</v>
      </c>
      <c r="G1736" s="1999" t="s">
        <v>6224</v>
      </c>
      <c r="H1736" s="1794">
        <v>0</v>
      </c>
      <c r="I1736" s="1794">
        <v>1</v>
      </c>
      <c r="J1736" s="2000">
        <v>1</v>
      </c>
      <c r="K1736" s="1798"/>
      <c r="L1736" s="1792">
        <v>13153021400</v>
      </c>
      <c r="M1736" s="1793">
        <v>0</v>
      </c>
      <c r="N1736" s="1793">
        <v>1</v>
      </c>
      <c r="O1736" s="1794">
        <v>1</v>
      </c>
    </row>
    <row r="1737" spans="3:15">
      <c r="C1737" s="1799" t="s">
        <v>6225</v>
      </c>
      <c r="D1737" s="1796">
        <v>1</v>
      </c>
      <c r="E1737" s="1796">
        <v>1</v>
      </c>
      <c r="F1737" s="1797">
        <v>2</v>
      </c>
      <c r="G1737" s="1999" t="s">
        <v>6225</v>
      </c>
      <c r="H1737" s="1794">
        <v>1</v>
      </c>
      <c r="I1737" s="1794">
        <v>1</v>
      </c>
      <c r="J1737" s="2000">
        <v>2</v>
      </c>
      <c r="K1737" s="1798"/>
      <c r="L1737" s="1792">
        <v>13153021500</v>
      </c>
      <c r="M1737" s="1793">
        <v>1</v>
      </c>
      <c r="N1737" s="1793">
        <v>1</v>
      </c>
      <c r="O1737" s="1794">
        <v>2</v>
      </c>
    </row>
    <row r="1738" spans="3:15">
      <c r="C1738" s="1799" t="s">
        <v>6226</v>
      </c>
      <c r="D1738" s="1796">
        <v>0</v>
      </c>
      <c r="E1738" s="1796">
        <v>0</v>
      </c>
      <c r="F1738" s="1797">
        <v>0</v>
      </c>
      <c r="G1738" s="1999" t="s">
        <v>6226</v>
      </c>
      <c r="H1738" s="1794">
        <v>0</v>
      </c>
      <c r="I1738" s="1794">
        <v>0</v>
      </c>
      <c r="J1738" s="2000">
        <v>0</v>
      </c>
      <c r="K1738" s="1798"/>
      <c r="L1738" s="1792">
        <v>13155950100</v>
      </c>
      <c r="M1738" s="1793">
        <v>0</v>
      </c>
      <c r="N1738" s="1793">
        <v>0</v>
      </c>
      <c r="O1738" s="1794">
        <v>0</v>
      </c>
    </row>
    <row r="1739" spans="3:15">
      <c r="C1739" s="1799" t="s">
        <v>6227</v>
      </c>
      <c r="D1739" s="1796">
        <v>0</v>
      </c>
      <c r="E1739" s="1796">
        <v>0</v>
      </c>
      <c r="F1739" s="1797">
        <v>0</v>
      </c>
      <c r="G1739" s="1999" t="s">
        <v>6227</v>
      </c>
      <c r="H1739" s="1794">
        <v>0</v>
      </c>
      <c r="I1739" s="1794">
        <v>0</v>
      </c>
      <c r="J1739" s="2000">
        <v>0</v>
      </c>
      <c r="K1739" s="1798"/>
      <c r="L1739" s="1792">
        <v>13155950200</v>
      </c>
      <c r="M1739" s="1793">
        <v>0</v>
      </c>
      <c r="N1739" s="1793">
        <v>0</v>
      </c>
      <c r="O1739" s="1794">
        <v>0</v>
      </c>
    </row>
    <row r="1740" spans="3:15">
      <c r="C1740" s="1799" t="s">
        <v>6228</v>
      </c>
      <c r="D1740" s="1796">
        <v>1</v>
      </c>
      <c r="E1740" s="1796">
        <v>1</v>
      </c>
      <c r="F1740" s="1797">
        <v>2</v>
      </c>
      <c r="G1740" s="1999" t="s">
        <v>6228</v>
      </c>
      <c r="H1740" s="1794">
        <v>1</v>
      </c>
      <c r="I1740" s="1794">
        <v>1</v>
      </c>
      <c r="J1740" s="2000">
        <v>1</v>
      </c>
      <c r="K1740" s="1798"/>
      <c r="L1740" s="1792">
        <v>13157010101</v>
      </c>
      <c r="M1740" s="1793">
        <v>1</v>
      </c>
      <c r="N1740" s="1793">
        <v>1</v>
      </c>
      <c r="O1740" s="1794">
        <v>2</v>
      </c>
    </row>
    <row r="1741" spans="3:15">
      <c r="C1741" s="1799" t="s">
        <v>6229</v>
      </c>
      <c r="D1741" s="1796">
        <v>1</v>
      </c>
      <c r="E1741" s="1796">
        <v>1</v>
      </c>
      <c r="F1741" s="1797">
        <v>2</v>
      </c>
      <c r="G1741" s="1999" t="s">
        <v>6229</v>
      </c>
      <c r="H1741" s="1794">
        <v>1</v>
      </c>
      <c r="I1741" s="1794">
        <v>1</v>
      </c>
      <c r="J1741" s="2000">
        <v>2</v>
      </c>
      <c r="K1741" s="1798"/>
      <c r="L1741" s="1792">
        <v>13157010102</v>
      </c>
      <c r="M1741" s="1793">
        <v>1</v>
      </c>
      <c r="N1741" s="1793">
        <v>1</v>
      </c>
      <c r="O1741" s="1794">
        <v>2</v>
      </c>
    </row>
    <row r="1742" spans="3:15">
      <c r="C1742" s="1799" t="s">
        <v>6230</v>
      </c>
      <c r="D1742" s="1796">
        <v>1</v>
      </c>
      <c r="E1742" s="1796">
        <v>1</v>
      </c>
      <c r="F1742" s="1797">
        <v>2</v>
      </c>
      <c r="G1742" s="1999" t="s">
        <v>6230</v>
      </c>
      <c r="H1742" s="1794">
        <v>0</v>
      </c>
      <c r="I1742" s="1794">
        <v>1</v>
      </c>
      <c r="J1742" s="2000">
        <v>1</v>
      </c>
      <c r="K1742" s="1798"/>
      <c r="L1742" s="1792">
        <v>13157010103</v>
      </c>
      <c r="M1742" s="1793">
        <v>1</v>
      </c>
      <c r="N1742" s="1793">
        <v>1</v>
      </c>
      <c r="O1742" s="1794">
        <v>2</v>
      </c>
    </row>
    <row r="1743" spans="3:15">
      <c r="C1743" s="1799" t="s">
        <v>6231</v>
      </c>
      <c r="D1743" s="1796">
        <v>0</v>
      </c>
      <c r="E1743" s="1796">
        <v>0</v>
      </c>
      <c r="F1743" s="1797">
        <v>0</v>
      </c>
      <c r="G1743" s="1999" t="s">
        <v>6231</v>
      </c>
      <c r="H1743" s="1794">
        <v>0</v>
      </c>
      <c r="I1743" s="1794">
        <v>0</v>
      </c>
      <c r="J1743" s="2000">
        <v>0</v>
      </c>
      <c r="K1743" s="1798"/>
      <c r="L1743" s="1792">
        <v>13157010200</v>
      </c>
      <c r="M1743" s="1793">
        <v>0</v>
      </c>
      <c r="N1743" s="1793">
        <v>0</v>
      </c>
      <c r="O1743" s="1794">
        <v>0</v>
      </c>
    </row>
    <row r="1744" spans="3:15">
      <c r="C1744" s="1799" t="s">
        <v>6232</v>
      </c>
      <c r="D1744" s="1796">
        <v>0</v>
      </c>
      <c r="E1744" s="1796">
        <v>0</v>
      </c>
      <c r="F1744" s="1797">
        <v>0</v>
      </c>
      <c r="G1744" s="1999" t="s">
        <v>6232</v>
      </c>
      <c r="H1744" s="1794">
        <v>0</v>
      </c>
      <c r="I1744" s="1794">
        <v>0</v>
      </c>
      <c r="J1744" s="2000">
        <v>0</v>
      </c>
      <c r="K1744" s="1798"/>
      <c r="L1744" s="1792">
        <v>13157010300</v>
      </c>
      <c r="M1744" s="1793">
        <v>0</v>
      </c>
      <c r="N1744" s="1793">
        <v>0</v>
      </c>
      <c r="O1744" s="1794">
        <v>0</v>
      </c>
    </row>
    <row r="1745" spans="3:15">
      <c r="C1745" s="1799" t="s">
        <v>6233</v>
      </c>
      <c r="D1745" s="1796">
        <v>0</v>
      </c>
      <c r="E1745" s="1796">
        <v>0</v>
      </c>
      <c r="F1745" s="1797">
        <v>0</v>
      </c>
      <c r="G1745" s="1999" t="s">
        <v>6233</v>
      </c>
      <c r="H1745" s="1794">
        <v>0</v>
      </c>
      <c r="I1745" s="1794">
        <v>0</v>
      </c>
      <c r="J1745" s="2000">
        <v>0</v>
      </c>
      <c r="K1745" s="1798"/>
      <c r="L1745" s="1792">
        <v>13157010400</v>
      </c>
      <c r="M1745" s="1793">
        <v>0</v>
      </c>
      <c r="N1745" s="1793">
        <v>0</v>
      </c>
      <c r="O1745" s="1794">
        <v>0</v>
      </c>
    </row>
    <row r="1746" spans="3:15">
      <c r="C1746" s="1799" t="s">
        <v>6234</v>
      </c>
      <c r="D1746" s="1796">
        <v>0</v>
      </c>
      <c r="E1746" s="1796">
        <v>0</v>
      </c>
      <c r="F1746" s="1797">
        <v>0</v>
      </c>
      <c r="G1746" s="1999" t="s">
        <v>6234</v>
      </c>
      <c r="H1746" s="1794">
        <v>0</v>
      </c>
      <c r="I1746" s="1794">
        <v>0</v>
      </c>
      <c r="J1746" s="2000">
        <v>0</v>
      </c>
      <c r="K1746" s="1798"/>
      <c r="L1746" s="1792">
        <v>13157010500</v>
      </c>
      <c r="M1746" s="1793">
        <v>0</v>
      </c>
      <c r="N1746" s="1793">
        <v>0</v>
      </c>
      <c r="O1746" s="1794">
        <v>0</v>
      </c>
    </row>
    <row r="1747" spans="3:15">
      <c r="C1747" s="1799" t="s">
        <v>6235</v>
      </c>
      <c r="D1747" s="1796">
        <v>0</v>
      </c>
      <c r="E1747" s="1796">
        <v>0</v>
      </c>
      <c r="F1747" s="1797">
        <v>0</v>
      </c>
      <c r="G1747" s="1999" t="s">
        <v>6235</v>
      </c>
      <c r="H1747" s="1794">
        <v>1</v>
      </c>
      <c r="I1747" s="1794">
        <v>0</v>
      </c>
      <c r="J1747" s="2000">
        <v>1</v>
      </c>
      <c r="K1747" s="1798"/>
      <c r="L1747" s="1792">
        <v>13157010600</v>
      </c>
      <c r="M1747" s="1793">
        <v>1</v>
      </c>
      <c r="N1747" s="1793">
        <v>0</v>
      </c>
      <c r="O1747" s="1794">
        <v>1</v>
      </c>
    </row>
    <row r="1748" spans="3:15">
      <c r="C1748" s="1799" t="s">
        <v>6236</v>
      </c>
      <c r="D1748" s="1796">
        <v>0</v>
      </c>
      <c r="E1748" s="1796">
        <v>1</v>
      </c>
      <c r="F1748" s="1797">
        <v>1</v>
      </c>
      <c r="G1748" s="1999" t="s">
        <v>6236</v>
      </c>
      <c r="H1748" s="1794">
        <v>1</v>
      </c>
      <c r="I1748" s="1794">
        <v>1</v>
      </c>
      <c r="J1748" s="2000">
        <v>1</v>
      </c>
      <c r="K1748" s="1798"/>
      <c r="L1748" s="1792">
        <v>13157010701</v>
      </c>
      <c r="M1748" s="1793">
        <v>1</v>
      </c>
      <c r="N1748" s="1793">
        <v>1</v>
      </c>
      <c r="O1748" s="1794">
        <v>1</v>
      </c>
    </row>
    <row r="1749" spans="3:15">
      <c r="C1749" s="1799" t="s">
        <v>6237</v>
      </c>
      <c r="D1749" s="1796">
        <v>1</v>
      </c>
      <c r="E1749" s="1796">
        <v>1</v>
      </c>
      <c r="F1749" s="1797">
        <v>2</v>
      </c>
      <c r="G1749" s="1999" t="s">
        <v>6237</v>
      </c>
      <c r="H1749" s="1794">
        <v>1</v>
      </c>
      <c r="I1749" s="1794">
        <v>1</v>
      </c>
      <c r="J1749" s="2000">
        <v>2</v>
      </c>
      <c r="K1749" s="1798"/>
      <c r="L1749" s="1792">
        <v>13157010702</v>
      </c>
      <c r="M1749" s="1793">
        <v>1</v>
      </c>
      <c r="N1749" s="1793">
        <v>1</v>
      </c>
      <c r="O1749" s="1794">
        <v>2</v>
      </c>
    </row>
    <row r="1750" spans="3:15">
      <c r="C1750" s="1799" t="s">
        <v>6238</v>
      </c>
      <c r="D1750" s="1796">
        <v>1</v>
      </c>
      <c r="E1750" s="1796">
        <v>1</v>
      </c>
      <c r="F1750" s="1797">
        <v>2</v>
      </c>
      <c r="G1750" s="1999" t="s">
        <v>6238</v>
      </c>
      <c r="H1750" s="1794">
        <v>1</v>
      </c>
      <c r="I1750" s="1794">
        <v>1</v>
      </c>
      <c r="J1750" s="2000">
        <v>2</v>
      </c>
      <c r="K1750" s="1798"/>
      <c r="L1750" s="1792">
        <v>13157010703</v>
      </c>
      <c r="M1750" s="1793">
        <v>1</v>
      </c>
      <c r="N1750" s="1793">
        <v>1</v>
      </c>
      <c r="O1750" s="1794">
        <v>2</v>
      </c>
    </row>
    <row r="1751" spans="3:15">
      <c r="C1751" s="1799" t="s">
        <v>6239</v>
      </c>
      <c r="D1751" s="1796">
        <v>0</v>
      </c>
      <c r="E1751" s="1796">
        <v>0</v>
      </c>
      <c r="F1751" s="1797">
        <v>0</v>
      </c>
      <c r="G1751" s="1999" t="s">
        <v>6239</v>
      </c>
      <c r="H1751" s="1794">
        <v>0</v>
      </c>
      <c r="I1751" s="1794">
        <v>0</v>
      </c>
      <c r="J1751" s="2000">
        <v>0</v>
      </c>
      <c r="K1751" s="1798"/>
      <c r="L1751" s="1792">
        <v>13159010100</v>
      </c>
      <c r="M1751" s="1793">
        <v>0</v>
      </c>
      <c r="N1751" s="1793">
        <v>0</v>
      </c>
      <c r="O1751" s="1794">
        <v>0</v>
      </c>
    </row>
    <row r="1752" spans="3:15">
      <c r="C1752" s="1799" t="s">
        <v>6240</v>
      </c>
      <c r="D1752" s="1796">
        <v>1</v>
      </c>
      <c r="E1752" s="1796">
        <v>1</v>
      </c>
      <c r="F1752" s="1797">
        <v>2</v>
      </c>
      <c r="G1752" s="1999" t="s">
        <v>6240</v>
      </c>
      <c r="H1752" s="1794">
        <v>0</v>
      </c>
      <c r="I1752" s="1794">
        <v>0</v>
      </c>
      <c r="J1752" s="2000">
        <v>0</v>
      </c>
      <c r="K1752" s="1798"/>
      <c r="L1752" s="1792">
        <v>13159010200</v>
      </c>
      <c r="M1752" s="1793">
        <v>1</v>
      </c>
      <c r="N1752" s="1793">
        <v>1</v>
      </c>
      <c r="O1752" s="1794">
        <v>2</v>
      </c>
    </row>
    <row r="1753" spans="3:15">
      <c r="C1753" s="1799" t="s">
        <v>6241</v>
      </c>
      <c r="D1753" s="1796">
        <v>0</v>
      </c>
      <c r="E1753" s="1796">
        <v>0</v>
      </c>
      <c r="F1753" s="1797">
        <v>0</v>
      </c>
      <c r="G1753" s="1999" t="s">
        <v>6241</v>
      </c>
      <c r="H1753" s="1794">
        <v>0</v>
      </c>
      <c r="I1753" s="1794">
        <v>0</v>
      </c>
      <c r="J1753" s="2000">
        <v>0</v>
      </c>
      <c r="K1753" s="1798"/>
      <c r="L1753" s="1792">
        <v>13159010500</v>
      </c>
      <c r="M1753" s="1793">
        <v>0</v>
      </c>
      <c r="N1753" s="1793">
        <v>0</v>
      </c>
      <c r="O1753" s="1794">
        <v>0</v>
      </c>
    </row>
    <row r="1754" spans="3:15">
      <c r="C1754" s="1799" t="s">
        <v>6242</v>
      </c>
      <c r="D1754" s="1796">
        <v>0</v>
      </c>
      <c r="E1754" s="1796">
        <v>0</v>
      </c>
      <c r="F1754" s="1797">
        <v>0</v>
      </c>
      <c r="G1754" s="1999" t="s">
        <v>6242</v>
      </c>
      <c r="H1754" s="1794">
        <v>0</v>
      </c>
      <c r="I1754" s="1794">
        <v>0</v>
      </c>
      <c r="J1754" s="2000">
        <v>0</v>
      </c>
      <c r="K1754" s="1798"/>
      <c r="L1754" s="1792">
        <v>13161960100</v>
      </c>
      <c r="M1754" s="1793">
        <v>0</v>
      </c>
      <c r="N1754" s="1793">
        <v>0</v>
      </c>
      <c r="O1754" s="1794">
        <v>0</v>
      </c>
    </row>
    <row r="1755" spans="3:15">
      <c r="C1755" s="1799" t="s">
        <v>6243</v>
      </c>
      <c r="D1755" s="1796">
        <v>0</v>
      </c>
      <c r="E1755" s="1796">
        <v>0</v>
      </c>
      <c r="F1755" s="1797">
        <v>0</v>
      </c>
      <c r="G1755" s="1999" t="s">
        <v>6243</v>
      </c>
      <c r="H1755" s="1794">
        <v>0</v>
      </c>
      <c r="I1755" s="1794">
        <v>0</v>
      </c>
      <c r="J1755" s="2000">
        <v>0</v>
      </c>
      <c r="K1755" s="1798"/>
      <c r="L1755" s="1792">
        <v>13161960200</v>
      </c>
      <c r="M1755" s="1793">
        <v>0</v>
      </c>
      <c r="N1755" s="1793">
        <v>0</v>
      </c>
      <c r="O1755" s="1794">
        <v>0</v>
      </c>
    </row>
    <row r="1756" spans="3:15">
      <c r="C1756" s="1799" t="s">
        <v>6244</v>
      </c>
      <c r="D1756" s="1796">
        <v>0</v>
      </c>
      <c r="E1756" s="1796">
        <v>0</v>
      </c>
      <c r="F1756" s="1797">
        <v>0</v>
      </c>
      <c r="G1756" s="1999" t="s">
        <v>6244</v>
      </c>
      <c r="H1756" s="1794">
        <v>0</v>
      </c>
      <c r="I1756" s="1794">
        <v>0</v>
      </c>
      <c r="J1756" s="2000">
        <v>0</v>
      </c>
      <c r="K1756" s="1798"/>
      <c r="L1756" s="1792">
        <v>13161960300</v>
      </c>
      <c r="M1756" s="1793">
        <v>0</v>
      </c>
      <c r="N1756" s="1793">
        <v>0</v>
      </c>
      <c r="O1756" s="1794">
        <v>0</v>
      </c>
    </row>
    <row r="1757" spans="3:15">
      <c r="C1757" s="1799" t="s">
        <v>6245</v>
      </c>
      <c r="D1757" s="1796">
        <v>0</v>
      </c>
      <c r="E1757" s="1796">
        <v>0</v>
      </c>
      <c r="F1757" s="1797">
        <v>0</v>
      </c>
      <c r="G1757" s="1999" t="s">
        <v>6245</v>
      </c>
      <c r="H1757" s="1794">
        <v>0</v>
      </c>
      <c r="I1757" s="1794">
        <v>0</v>
      </c>
      <c r="J1757" s="2000">
        <v>0</v>
      </c>
      <c r="K1757" s="1798"/>
      <c r="L1757" s="1792">
        <v>13163960100</v>
      </c>
      <c r="M1757" s="1793">
        <v>0</v>
      </c>
      <c r="N1757" s="1793">
        <v>0</v>
      </c>
      <c r="O1757" s="1794">
        <v>0</v>
      </c>
    </row>
    <row r="1758" spans="3:15">
      <c r="C1758" s="1799" t="s">
        <v>6246</v>
      </c>
      <c r="D1758" s="1796">
        <v>0</v>
      </c>
      <c r="E1758" s="1796">
        <v>0</v>
      </c>
      <c r="F1758" s="1797">
        <v>0</v>
      </c>
      <c r="G1758" s="1999" t="s">
        <v>6246</v>
      </c>
      <c r="H1758" s="1794">
        <v>0</v>
      </c>
      <c r="I1758" s="1794">
        <v>0</v>
      </c>
      <c r="J1758" s="2000">
        <v>0</v>
      </c>
      <c r="K1758" s="1798"/>
      <c r="L1758" s="1792">
        <v>13163960200</v>
      </c>
      <c r="M1758" s="1793">
        <v>0</v>
      </c>
      <c r="N1758" s="1793">
        <v>0</v>
      </c>
      <c r="O1758" s="1794">
        <v>0</v>
      </c>
    </row>
    <row r="1759" spans="3:15">
      <c r="C1759" s="1799" t="s">
        <v>6247</v>
      </c>
      <c r="D1759" s="1796">
        <v>0</v>
      </c>
      <c r="E1759" s="1796">
        <v>0</v>
      </c>
      <c r="F1759" s="1797">
        <v>0</v>
      </c>
      <c r="G1759" s="1999" t="s">
        <v>6247</v>
      </c>
      <c r="H1759" s="1794">
        <v>0</v>
      </c>
      <c r="I1759" s="1794">
        <v>0</v>
      </c>
      <c r="J1759" s="2000">
        <v>0</v>
      </c>
      <c r="K1759" s="1798"/>
      <c r="L1759" s="1792">
        <v>13163960300</v>
      </c>
      <c r="M1759" s="1793">
        <v>0</v>
      </c>
      <c r="N1759" s="1793">
        <v>0</v>
      </c>
      <c r="O1759" s="1794">
        <v>0</v>
      </c>
    </row>
    <row r="1760" spans="3:15">
      <c r="C1760" s="1799" t="s">
        <v>6248</v>
      </c>
      <c r="D1760" s="1796">
        <v>0</v>
      </c>
      <c r="E1760" s="1796">
        <v>0</v>
      </c>
      <c r="F1760" s="1797">
        <v>0</v>
      </c>
      <c r="G1760" s="1999" t="s">
        <v>6248</v>
      </c>
      <c r="H1760" s="1794">
        <v>0</v>
      </c>
      <c r="I1760" s="1794" t="s">
        <v>4483</v>
      </c>
      <c r="J1760" s="2000">
        <v>0</v>
      </c>
      <c r="K1760" s="1798"/>
      <c r="L1760" s="1792">
        <v>13163960400</v>
      </c>
      <c r="M1760" s="1793">
        <v>0</v>
      </c>
      <c r="N1760" s="1793">
        <v>0</v>
      </c>
      <c r="O1760" s="1794">
        <v>0</v>
      </c>
    </row>
    <row r="1761" spans="3:15">
      <c r="C1761" s="1799" t="s">
        <v>6249</v>
      </c>
      <c r="D1761" s="1796">
        <v>0</v>
      </c>
      <c r="E1761" s="1796">
        <v>0</v>
      </c>
      <c r="F1761" s="1797">
        <v>0</v>
      </c>
      <c r="G1761" s="1999" t="s">
        <v>6249</v>
      </c>
      <c r="H1761" s="1794">
        <v>0</v>
      </c>
      <c r="I1761" s="1794">
        <v>0</v>
      </c>
      <c r="J1761" s="2000">
        <v>0</v>
      </c>
      <c r="K1761" s="1798"/>
      <c r="L1761" s="1792">
        <v>13165960100</v>
      </c>
      <c r="M1761" s="1793">
        <v>0</v>
      </c>
      <c r="N1761" s="1793">
        <v>0</v>
      </c>
      <c r="O1761" s="1794">
        <v>0</v>
      </c>
    </row>
    <row r="1762" spans="3:15">
      <c r="C1762" s="1799" t="s">
        <v>6250</v>
      </c>
      <c r="D1762" s="1796">
        <v>0</v>
      </c>
      <c r="E1762" s="1796">
        <v>0</v>
      </c>
      <c r="F1762" s="1797">
        <v>0</v>
      </c>
      <c r="G1762" s="1999" t="s">
        <v>6250</v>
      </c>
      <c r="H1762" s="1794">
        <v>0</v>
      </c>
      <c r="I1762" s="1794">
        <v>0</v>
      </c>
      <c r="J1762" s="2000">
        <v>0</v>
      </c>
      <c r="K1762" s="1798"/>
      <c r="L1762" s="1792">
        <v>13165960200</v>
      </c>
      <c r="M1762" s="1793">
        <v>0</v>
      </c>
      <c r="N1762" s="1793">
        <v>0</v>
      </c>
      <c r="O1762" s="1794">
        <v>0</v>
      </c>
    </row>
    <row r="1763" spans="3:15">
      <c r="C1763" s="1799" t="s">
        <v>6251</v>
      </c>
      <c r="D1763" s="1796">
        <v>0</v>
      </c>
      <c r="E1763" s="1796">
        <v>0</v>
      </c>
      <c r="F1763" s="1797">
        <v>0</v>
      </c>
      <c r="G1763" s="1999" t="s">
        <v>6251</v>
      </c>
      <c r="H1763" s="1794">
        <v>0</v>
      </c>
      <c r="I1763" s="1794">
        <v>1</v>
      </c>
      <c r="J1763" s="2000">
        <v>0</v>
      </c>
      <c r="K1763" s="1798"/>
      <c r="L1763" s="1792">
        <v>13167960100</v>
      </c>
      <c r="M1763" s="1793">
        <v>0</v>
      </c>
      <c r="N1763" s="1793">
        <v>1</v>
      </c>
      <c r="O1763" s="1794">
        <v>0</v>
      </c>
    </row>
    <row r="1764" spans="3:15">
      <c r="C1764" s="1799" t="s">
        <v>6252</v>
      </c>
      <c r="D1764" s="1796">
        <v>0</v>
      </c>
      <c r="E1764" s="1796">
        <v>0</v>
      </c>
      <c r="F1764" s="1797">
        <v>0</v>
      </c>
      <c r="G1764" s="1999" t="s">
        <v>6252</v>
      </c>
      <c r="H1764" s="1794">
        <v>0</v>
      </c>
      <c r="I1764" s="1794">
        <v>0</v>
      </c>
      <c r="J1764" s="2000">
        <v>0</v>
      </c>
      <c r="K1764" s="1798"/>
      <c r="L1764" s="1792">
        <v>13167960200</v>
      </c>
      <c r="M1764" s="1793">
        <v>0</v>
      </c>
      <c r="N1764" s="1793">
        <v>0</v>
      </c>
      <c r="O1764" s="1794">
        <v>0</v>
      </c>
    </row>
    <row r="1765" spans="3:15">
      <c r="C1765" s="1799" t="s">
        <v>6253</v>
      </c>
      <c r="D1765" s="1796">
        <v>0</v>
      </c>
      <c r="E1765" s="1796">
        <v>0</v>
      </c>
      <c r="F1765" s="1797">
        <v>0</v>
      </c>
      <c r="G1765" s="1999" t="s">
        <v>6253</v>
      </c>
      <c r="H1765" s="1794">
        <v>1</v>
      </c>
      <c r="I1765" s="1794">
        <v>1</v>
      </c>
      <c r="J1765" s="2000">
        <v>2</v>
      </c>
      <c r="K1765" s="1798"/>
      <c r="L1765" s="1792">
        <v>13167960300</v>
      </c>
      <c r="M1765" s="1793">
        <v>1</v>
      </c>
      <c r="N1765" s="1793">
        <v>1</v>
      </c>
      <c r="O1765" s="1794">
        <v>2</v>
      </c>
    </row>
    <row r="1766" spans="3:15">
      <c r="C1766" s="1799" t="s">
        <v>6254</v>
      </c>
      <c r="D1766" s="1796">
        <v>1</v>
      </c>
      <c r="E1766" s="1796">
        <v>1</v>
      </c>
      <c r="F1766" s="1797">
        <v>2</v>
      </c>
      <c r="G1766" s="1999" t="s">
        <v>6254</v>
      </c>
      <c r="H1766" s="1794">
        <v>1</v>
      </c>
      <c r="I1766" s="1794">
        <v>1</v>
      </c>
      <c r="J1766" s="2000">
        <v>2</v>
      </c>
      <c r="K1766" s="1798"/>
      <c r="L1766" s="1792">
        <v>13169030101</v>
      </c>
      <c r="M1766" s="1793">
        <v>1</v>
      </c>
      <c r="N1766" s="1793">
        <v>1</v>
      </c>
      <c r="O1766" s="1794">
        <v>2</v>
      </c>
    </row>
    <row r="1767" spans="3:15">
      <c r="C1767" s="1799" t="s">
        <v>6255</v>
      </c>
      <c r="D1767" s="1796">
        <v>1</v>
      </c>
      <c r="E1767" s="1796">
        <v>1</v>
      </c>
      <c r="F1767" s="1797">
        <v>2</v>
      </c>
      <c r="G1767" s="1999" t="s">
        <v>6255</v>
      </c>
      <c r="H1767" s="1794">
        <v>1</v>
      </c>
      <c r="I1767" s="1794">
        <v>0</v>
      </c>
      <c r="J1767" s="2000">
        <v>1</v>
      </c>
      <c r="K1767" s="1798"/>
      <c r="L1767" s="1792">
        <v>13169030103</v>
      </c>
      <c r="M1767" s="1793">
        <v>1</v>
      </c>
      <c r="N1767" s="1793">
        <v>1</v>
      </c>
      <c r="O1767" s="1794">
        <v>2</v>
      </c>
    </row>
    <row r="1768" spans="3:15">
      <c r="C1768" s="1799" t="s">
        <v>6256</v>
      </c>
      <c r="D1768" s="1796">
        <v>0</v>
      </c>
      <c r="E1768" s="1796">
        <v>0</v>
      </c>
      <c r="F1768" s="1797">
        <v>0</v>
      </c>
      <c r="G1768" s="1999" t="s">
        <v>6256</v>
      </c>
      <c r="H1768" s="1794">
        <v>0</v>
      </c>
      <c r="I1768" s="1794">
        <v>0</v>
      </c>
      <c r="J1768" s="2000">
        <v>0</v>
      </c>
      <c r="K1768" s="1798"/>
      <c r="L1768" s="1792">
        <v>13169030104</v>
      </c>
      <c r="M1768" s="1793">
        <v>0</v>
      </c>
      <c r="N1768" s="1793">
        <v>0</v>
      </c>
      <c r="O1768" s="1794">
        <v>0</v>
      </c>
    </row>
    <row r="1769" spans="3:15">
      <c r="C1769" s="1799" t="s">
        <v>6257</v>
      </c>
      <c r="D1769" s="1796">
        <v>0</v>
      </c>
      <c r="E1769" s="1796">
        <v>0</v>
      </c>
      <c r="F1769" s="1797">
        <v>0</v>
      </c>
      <c r="G1769" s="1999" t="s">
        <v>6257</v>
      </c>
      <c r="H1769" s="1794">
        <v>0</v>
      </c>
      <c r="I1769" s="1794">
        <v>0</v>
      </c>
      <c r="J1769" s="2000">
        <v>0</v>
      </c>
      <c r="K1769" s="1798"/>
      <c r="L1769" s="1792">
        <v>13169030200</v>
      </c>
      <c r="M1769" s="1793">
        <v>0</v>
      </c>
      <c r="N1769" s="1793">
        <v>0</v>
      </c>
      <c r="O1769" s="1794">
        <v>0</v>
      </c>
    </row>
    <row r="1770" spans="3:15">
      <c r="C1770" s="1799" t="s">
        <v>6258</v>
      </c>
      <c r="D1770" s="1796">
        <v>1</v>
      </c>
      <c r="E1770" s="1796">
        <v>1</v>
      </c>
      <c r="F1770" s="1797">
        <v>2</v>
      </c>
      <c r="G1770" s="1999" t="s">
        <v>6258</v>
      </c>
      <c r="H1770" s="1794">
        <v>1</v>
      </c>
      <c r="I1770" s="1794">
        <v>1</v>
      </c>
      <c r="J1770" s="2000">
        <v>2</v>
      </c>
      <c r="K1770" s="1798"/>
      <c r="L1770" s="1792">
        <v>13169030301</v>
      </c>
      <c r="M1770" s="1793">
        <v>1</v>
      </c>
      <c r="N1770" s="1793">
        <v>1</v>
      </c>
      <c r="O1770" s="1794">
        <v>2</v>
      </c>
    </row>
    <row r="1771" spans="3:15">
      <c r="C1771" s="1799" t="s">
        <v>6259</v>
      </c>
      <c r="D1771" s="1796">
        <v>0</v>
      </c>
      <c r="E1771" s="1796">
        <v>1</v>
      </c>
      <c r="F1771" s="1797">
        <v>1</v>
      </c>
      <c r="G1771" s="1999" t="s">
        <v>6259</v>
      </c>
      <c r="H1771" s="1794">
        <v>0</v>
      </c>
      <c r="I1771" s="1794">
        <v>0</v>
      </c>
      <c r="J1771" s="2000">
        <v>0</v>
      </c>
      <c r="K1771" s="1798"/>
      <c r="L1771" s="1792">
        <v>13169030302</v>
      </c>
      <c r="M1771" s="1793">
        <v>0</v>
      </c>
      <c r="N1771" s="1793">
        <v>1</v>
      </c>
      <c r="O1771" s="1794">
        <v>1</v>
      </c>
    </row>
    <row r="1772" spans="3:15">
      <c r="C1772" s="1799" t="s">
        <v>6260</v>
      </c>
      <c r="D1772" s="1796">
        <v>0</v>
      </c>
      <c r="E1772" s="1796">
        <v>0</v>
      </c>
      <c r="F1772" s="1797">
        <v>0</v>
      </c>
      <c r="G1772" s="1999" t="s">
        <v>6260</v>
      </c>
      <c r="H1772" s="1794">
        <v>0</v>
      </c>
      <c r="I1772" s="1794">
        <v>0</v>
      </c>
      <c r="J1772" s="2000">
        <v>0</v>
      </c>
      <c r="K1772" s="1798"/>
      <c r="L1772" s="1792">
        <v>13171970100</v>
      </c>
      <c r="M1772" s="1793">
        <v>0</v>
      </c>
      <c r="N1772" s="1793">
        <v>0</v>
      </c>
      <c r="O1772" s="1794">
        <v>0</v>
      </c>
    </row>
    <row r="1773" spans="3:15">
      <c r="C1773" s="1799" t="s">
        <v>6261</v>
      </c>
      <c r="D1773" s="1796">
        <v>0</v>
      </c>
      <c r="E1773" s="1796">
        <v>0</v>
      </c>
      <c r="F1773" s="1797">
        <v>0</v>
      </c>
      <c r="G1773" s="1999" t="s">
        <v>6261</v>
      </c>
      <c r="H1773" s="1794">
        <v>0</v>
      </c>
      <c r="I1773" s="1794">
        <v>0</v>
      </c>
      <c r="J1773" s="2000">
        <v>0</v>
      </c>
      <c r="K1773" s="1798"/>
      <c r="L1773" s="1792">
        <v>13171970200</v>
      </c>
      <c r="M1773" s="1793">
        <v>0</v>
      </c>
      <c r="N1773" s="1793">
        <v>0</v>
      </c>
      <c r="O1773" s="1794">
        <v>0</v>
      </c>
    </row>
    <row r="1774" spans="3:15">
      <c r="C1774" s="1799" t="s">
        <v>6262</v>
      </c>
      <c r="D1774" s="1796">
        <v>0</v>
      </c>
      <c r="E1774" s="1796">
        <v>0</v>
      </c>
      <c r="F1774" s="1797">
        <v>0</v>
      </c>
      <c r="G1774" s="1999" t="s">
        <v>6262</v>
      </c>
      <c r="H1774" s="1794">
        <v>0</v>
      </c>
      <c r="I1774" s="1794">
        <v>0</v>
      </c>
      <c r="J1774" s="2000">
        <v>0</v>
      </c>
      <c r="K1774" s="1798"/>
      <c r="L1774" s="1792">
        <v>13171970300</v>
      </c>
      <c r="M1774" s="1793">
        <v>0</v>
      </c>
      <c r="N1774" s="1793">
        <v>0</v>
      </c>
      <c r="O1774" s="1794">
        <v>0</v>
      </c>
    </row>
    <row r="1775" spans="3:15">
      <c r="C1775" s="1799" t="s">
        <v>6263</v>
      </c>
      <c r="D1775" s="1796">
        <v>0</v>
      </c>
      <c r="E1775" s="1796">
        <v>0</v>
      </c>
      <c r="F1775" s="1797">
        <v>0</v>
      </c>
      <c r="G1775" s="1999" t="s">
        <v>6263</v>
      </c>
      <c r="H1775" s="1794">
        <v>0</v>
      </c>
      <c r="I1775" s="1794">
        <v>0</v>
      </c>
      <c r="J1775" s="2000">
        <v>0</v>
      </c>
      <c r="K1775" s="1798"/>
      <c r="L1775" s="1792">
        <v>13173950100</v>
      </c>
      <c r="M1775" s="1793">
        <v>0</v>
      </c>
      <c r="N1775" s="1793">
        <v>0</v>
      </c>
      <c r="O1775" s="1794">
        <v>0</v>
      </c>
    </row>
    <row r="1776" spans="3:15">
      <c r="C1776" s="1799" t="s">
        <v>6264</v>
      </c>
      <c r="D1776" s="1796">
        <v>0</v>
      </c>
      <c r="E1776" s="1796">
        <v>0</v>
      </c>
      <c r="F1776" s="1797">
        <v>0</v>
      </c>
      <c r="G1776" s="1999" t="s">
        <v>6264</v>
      </c>
      <c r="H1776" s="1794">
        <v>0</v>
      </c>
      <c r="I1776" s="1794">
        <v>0</v>
      </c>
      <c r="J1776" s="2000">
        <v>0</v>
      </c>
      <c r="K1776" s="1798"/>
      <c r="L1776" s="1792">
        <v>13173950200</v>
      </c>
      <c r="M1776" s="1793">
        <v>0</v>
      </c>
      <c r="N1776" s="1793">
        <v>0</v>
      </c>
      <c r="O1776" s="1794">
        <v>0</v>
      </c>
    </row>
    <row r="1777" spans="3:15">
      <c r="C1777" s="1799" t="s">
        <v>6265</v>
      </c>
      <c r="D1777" s="1796">
        <v>0</v>
      </c>
      <c r="E1777" s="1796">
        <v>0</v>
      </c>
      <c r="F1777" s="1797">
        <v>0</v>
      </c>
      <c r="G1777" s="1999" t="s">
        <v>6265</v>
      </c>
      <c r="H1777" s="1794">
        <v>0</v>
      </c>
      <c r="I1777" s="1794">
        <v>0</v>
      </c>
      <c r="J1777" s="2000">
        <v>0</v>
      </c>
      <c r="K1777" s="1798"/>
      <c r="L1777" s="1792">
        <v>13175950100</v>
      </c>
      <c r="M1777" s="1793">
        <v>0</v>
      </c>
      <c r="N1777" s="1793">
        <v>0</v>
      </c>
      <c r="O1777" s="1794">
        <v>0</v>
      </c>
    </row>
    <row r="1778" spans="3:15">
      <c r="C1778" s="1799" t="s">
        <v>6266</v>
      </c>
      <c r="D1778" s="1796">
        <v>0</v>
      </c>
      <c r="E1778" s="1796">
        <v>1</v>
      </c>
      <c r="F1778" s="1797">
        <v>1</v>
      </c>
      <c r="G1778" s="1999" t="s">
        <v>6266</v>
      </c>
      <c r="H1778" s="1794">
        <v>1</v>
      </c>
      <c r="I1778" s="1794">
        <v>1</v>
      </c>
      <c r="J1778" s="2000">
        <v>2</v>
      </c>
      <c r="K1778" s="1798"/>
      <c r="L1778" s="1792">
        <v>13175950201</v>
      </c>
      <c r="M1778" s="1793">
        <v>1</v>
      </c>
      <c r="N1778" s="1793">
        <v>1</v>
      </c>
      <c r="O1778" s="1794">
        <v>2</v>
      </c>
    </row>
    <row r="1779" spans="3:15">
      <c r="C1779" s="1799" t="s">
        <v>6267</v>
      </c>
      <c r="D1779" s="1796">
        <v>1</v>
      </c>
      <c r="E1779" s="1796">
        <v>1</v>
      </c>
      <c r="F1779" s="1797">
        <v>2</v>
      </c>
      <c r="G1779" s="1999" t="s">
        <v>6267</v>
      </c>
      <c r="H1779" s="1794">
        <v>1</v>
      </c>
      <c r="I1779" s="1794">
        <v>1</v>
      </c>
      <c r="J1779" s="2000">
        <v>2</v>
      </c>
      <c r="K1779" s="1798"/>
      <c r="L1779" s="1792">
        <v>13175950202</v>
      </c>
      <c r="M1779" s="1793">
        <v>1</v>
      </c>
      <c r="N1779" s="1793">
        <v>1</v>
      </c>
      <c r="O1779" s="1794">
        <v>2</v>
      </c>
    </row>
    <row r="1780" spans="3:15">
      <c r="C1780" s="1799" t="s">
        <v>6268</v>
      </c>
      <c r="D1780" s="1796">
        <v>0</v>
      </c>
      <c r="E1780" s="1796">
        <v>0</v>
      </c>
      <c r="F1780" s="1797">
        <v>0</v>
      </c>
      <c r="G1780" s="1999" t="s">
        <v>6268</v>
      </c>
      <c r="H1780" s="1794">
        <v>0</v>
      </c>
      <c r="I1780" s="1794">
        <v>0</v>
      </c>
      <c r="J1780" s="2000">
        <v>0</v>
      </c>
      <c r="K1780" s="1798"/>
      <c r="L1780" s="1792">
        <v>13175950300</v>
      </c>
      <c r="M1780" s="1793">
        <v>0</v>
      </c>
      <c r="N1780" s="1793">
        <v>0</v>
      </c>
      <c r="O1780" s="1794">
        <v>0</v>
      </c>
    </row>
    <row r="1781" spans="3:15">
      <c r="C1781" s="1799" t="s">
        <v>6269</v>
      </c>
      <c r="D1781" s="1796">
        <v>0</v>
      </c>
      <c r="E1781" s="1796">
        <v>0</v>
      </c>
      <c r="F1781" s="1797">
        <v>0</v>
      </c>
      <c r="G1781" s="1999" t="s">
        <v>6269</v>
      </c>
      <c r="H1781" s="1794">
        <v>0</v>
      </c>
      <c r="I1781" s="1794">
        <v>0</v>
      </c>
      <c r="J1781" s="2000">
        <v>0</v>
      </c>
      <c r="K1781" s="1798"/>
      <c r="L1781" s="1792">
        <v>13175950400</v>
      </c>
      <c r="M1781" s="1793">
        <v>0</v>
      </c>
      <c r="N1781" s="1793">
        <v>0</v>
      </c>
      <c r="O1781" s="1794">
        <v>0</v>
      </c>
    </row>
    <row r="1782" spans="3:15">
      <c r="C1782" s="1799" t="s">
        <v>6270</v>
      </c>
      <c r="D1782" s="1796">
        <v>0</v>
      </c>
      <c r="E1782" s="1796">
        <v>0</v>
      </c>
      <c r="F1782" s="1797">
        <v>0</v>
      </c>
      <c r="G1782" s="1999" t="s">
        <v>6270</v>
      </c>
      <c r="H1782" s="1794">
        <v>0</v>
      </c>
      <c r="I1782" s="1794">
        <v>0</v>
      </c>
      <c r="J1782" s="2000">
        <v>0</v>
      </c>
      <c r="K1782" s="1798"/>
      <c r="L1782" s="1792">
        <v>13175950500</v>
      </c>
      <c r="M1782" s="1793">
        <v>0</v>
      </c>
      <c r="N1782" s="1793">
        <v>0</v>
      </c>
      <c r="O1782" s="1794">
        <v>0</v>
      </c>
    </row>
    <row r="1783" spans="3:15">
      <c r="C1783" s="1799" t="s">
        <v>6271</v>
      </c>
      <c r="D1783" s="1796">
        <v>1</v>
      </c>
      <c r="E1783" s="1796">
        <v>0</v>
      </c>
      <c r="F1783" s="1797">
        <v>1</v>
      </c>
      <c r="G1783" s="1999" t="s">
        <v>6271</v>
      </c>
      <c r="H1783" s="1794">
        <v>0</v>
      </c>
      <c r="I1783" s="1794">
        <v>1</v>
      </c>
      <c r="J1783" s="2000">
        <v>1</v>
      </c>
      <c r="K1783" s="1798"/>
      <c r="L1783" s="1792">
        <v>13175950600</v>
      </c>
      <c r="M1783" s="1793">
        <v>1</v>
      </c>
      <c r="N1783" s="1793">
        <v>1</v>
      </c>
      <c r="O1783" s="1794">
        <v>1</v>
      </c>
    </row>
    <row r="1784" spans="3:15">
      <c r="C1784" s="1799" t="s">
        <v>6272</v>
      </c>
      <c r="D1784" s="1796">
        <v>0</v>
      </c>
      <c r="E1784" s="1796">
        <v>0</v>
      </c>
      <c r="F1784" s="1797">
        <v>0</v>
      </c>
      <c r="G1784" s="1999" t="s">
        <v>6272</v>
      </c>
      <c r="H1784" s="1794">
        <v>0</v>
      </c>
      <c r="I1784" s="1794">
        <v>1</v>
      </c>
      <c r="J1784" s="2000">
        <v>1</v>
      </c>
      <c r="K1784" s="1798"/>
      <c r="L1784" s="1792">
        <v>13175950700</v>
      </c>
      <c r="M1784" s="1793">
        <v>0</v>
      </c>
      <c r="N1784" s="1793">
        <v>1</v>
      </c>
      <c r="O1784" s="1794">
        <v>1</v>
      </c>
    </row>
    <row r="1785" spans="3:15">
      <c r="C1785" s="1799" t="s">
        <v>6273</v>
      </c>
      <c r="D1785" s="1796">
        <v>0</v>
      </c>
      <c r="E1785" s="1796">
        <v>0</v>
      </c>
      <c r="F1785" s="1797">
        <v>0</v>
      </c>
      <c r="G1785" s="1999" t="s">
        <v>6273</v>
      </c>
      <c r="H1785" s="1794">
        <v>0</v>
      </c>
      <c r="I1785" s="1794">
        <v>0</v>
      </c>
      <c r="J1785" s="2000">
        <v>0</v>
      </c>
      <c r="K1785" s="1798"/>
      <c r="L1785" s="1792">
        <v>13175950800</v>
      </c>
      <c r="M1785" s="1793">
        <v>0</v>
      </c>
      <c r="N1785" s="1793">
        <v>0</v>
      </c>
      <c r="O1785" s="1794">
        <v>0</v>
      </c>
    </row>
    <row r="1786" spans="3:15">
      <c r="C1786" s="1799" t="s">
        <v>6274</v>
      </c>
      <c r="D1786" s="1796">
        <v>0</v>
      </c>
      <c r="E1786" s="1796">
        <v>0</v>
      </c>
      <c r="F1786" s="1797">
        <v>0</v>
      </c>
      <c r="G1786" s="1999" t="s">
        <v>6274</v>
      </c>
      <c r="H1786" s="1794">
        <v>0</v>
      </c>
      <c r="I1786" s="1794">
        <v>0</v>
      </c>
      <c r="J1786" s="2000">
        <v>0</v>
      </c>
      <c r="K1786" s="1798"/>
      <c r="L1786" s="1792">
        <v>13175950900</v>
      </c>
      <c r="M1786" s="1793">
        <v>0</v>
      </c>
      <c r="N1786" s="1793">
        <v>0</v>
      </c>
      <c r="O1786" s="1794">
        <v>0</v>
      </c>
    </row>
    <row r="1787" spans="3:15">
      <c r="C1787" s="1799" t="s">
        <v>6275</v>
      </c>
      <c r="D1787" s="1796">
        <v>0</v>
      </c>
      <c r="E1787" s="1796">
        <v>0</v>
      </c>
      <c r="F1787" s="1797">
        <v>0</v>
      </c>
      <c r="G1787" s="1999" t="s">
        <v>6275</v>
      </c>
      <c r="H1787" s="1794">
        <v>0</v>
      </c>
      <c r="I1787" s="1794">
        <v>0</v>
      </c>
      <c r="J1787" s="2000">
        <v>0</v>
      </c>
      <c r="K1787" s="1798"/>
      <c r="L1787" s="1792">
        <v>13175951000</v>
      </c>
      <c r="M1787" s="1793">
        <v>0</v>
      </c>
      <c r="N1787" s="1793">
        <v>0</v>
      </c>
      <c r="O1787" s="1794">
        <v>0</v>
      </c>
    </row>
    <row r="1788" spans="3:15">
      <c r="C1788" s="1799" t="s">
        <v>6276</v>
      </c>
      <c r="D1788" s="1796">
        <v>0</v>
      </c>
      <c r="E1788" s="1796">
        <v>0</v>
      </c>
      <c r="F1788" s="1797">
        <v>0</v>
      </c>
      <c r="G1788" s="1999" t="s">
        <v>6276</v>
      </c>
      <c r="H1788" s="1794">
        <v>0</v>
      </c>
      <c r="I1788" s="1794">
        <v>0</v>
      </c>
      <c r="J1788" s="2000">
        <v>0</v>
      </c>
      <c r="K1788" s="1798"/>
      <c r="L1788" s="1792">
        <v>13175951100</v>
      </c>
      <c r="M1788" s="1793">
        <v>0</v>
      </c>
      <c r="N1788" s="1793">
        <v>0</v>
      </c>
      <c r="O1788" s="1794">
        <v>0</v>
      </c>
    </row>
    <row r="1789" spans="3:15">
      <c r="C1789" s="1799" t="s">
        <v>6277</v>
      </c>
      <c r="D1789" s="1796">
        <v>0</v>
      </c>
      <c r="E1789" s="1796">
        <v>0</v>
      </c>
      <c r="F1789" s="1797">
        <v>0</v>
      </c>
      <c r="G1789" s="1999" t="s">
        <v>6277</v>
      </c>
      <c r="H1789" s="1794">
        <v>0</v>
      </c>
      <c r="I1789" s="1794" t="s">
        <v>4483</v>
      </c>
      <c r="J1789" s="2000">
        <v>0</v>
      </c>
      <c r="K1789" s="1798"/>
      <c r="L1789" s="1792">
        <v>13175951400</v>
      </c>
      <c r="M1789" s="1793">
        <v>0</v>
      </c>
      <c r="N1789" s="1793">
        <v>0</v>
      </c>
      <c r="O1789" s="1794">
        <v>0</v>
      </c>
    </row>
    <row r="1790" spans="3:15">
      <c r="C1790" s="1799" t="s">
        <v>6278</v>
      </c>
      <c r="D1790" s="1796">
        <v>1</v>
      </c>
      <c r="E1790" s="1796">
        <v>1</v>
      </c>
      <c r="F1790" s="1797">
        <v>2</v>
      </c>
      <c r="G1790" s="1999" t="s">
        <v>6278</v>
      </c>
      <c r="H1790" s="1794">
        <v>0</v>
      </c>
      <c r="I1790" s="1794">
        <v>1</v>
      </c>
      <c r="J1790" s="2000">
        <v>1</v>
      </c>
      <c r="K1790" s="1798"/>
      <c r="L1790" s="1792">
        <v>13177020100</v>
      </c>
      <c r="M1790" s="1793">
        <v>1</v>
      </c>
      <c r="N1790" s="1793">
        <v>1</v>
      </c>
      <c r="O1790" s="1794">
        <v>2</v>
      </c>
    </row>
    <row r="1791" spans="3:15">
      <c r="C1791" s="1799" t="s">
        <v>6279</v>
      </c>
      <c r="D1791" s="1796">
        <v>0</v>
      </c>
      <c r="E1791" s="1796">
        <v>0</v>
      </c>
      <c r="F1791" s="1797">
        <v>0</v>
      </c>
      <c r="G1791" s="1999" t="s">
        <v>6279</v>
      </c>
      <c r="H1791" s="1794">
        <v>0</v>
      </c>
      <c r="I1791" s="1794" t="s">
        <v>4483</v>
      </c>
      <c r="J1791" s="2000">
        <v>0</v>
      </c>
      <c r="K1791" s="1798"/>
      <c r="L1791" s="1792">
        <v>13177020200</v>
      </c>
      <c r="M1791" s="1793">
        <v>0</v>
      </c>
      <c r="N1791" s="1793">
        <v>0</v>
      </c>
      <c r="O1791" s="1794">
        <v>0</v>
      </c>
    </row>
    <row r="1792" spans="3:15">
      <c r="C1792" s="1799" t="s">
        <v>6280</v>
      </c>
      <c r="D1792" s="1796">
        <v>0</v>
      </c>
      <c r="E1792" s="1796">
        <v>1</v>
      </c>
      <c r="F1792" s="1797">
        <v>1</v>
      </c>
      <c r="G1792" s="1999" t="s">
        <v>6280</v>
      </c>
      <c r="H1792" s="1794">
        <v>0</v>
      </c>
      <c r="I1792" s="1794">
        <v>0</v>
      </c>
      <c r="J1792" s="2000">
        <v>0</v>
      </c>
      <c r="K1792" s="1798"/>
      <c r="L1792" s="1792">
        <v>13177020300</v>
      </c>
      <c r="M1792" s="1793">
        <v>0</v>
      </c>
      <c r="N1792" s="1793">
        <v>1</v>
      </c>
      <c r="O1792" s="1794">
        <v>1</v>
      </c>
    </row>
    <row r="1793" spans="3:15">
      <c r="C1793" s="1799" t="s">
        <v>6281</v>
      </c>
      <c r="D1793" s="1796">
        <v>1</v>
      </c>
      <c r="E1793" s="1796">
        <v>1</v>
      </c>
      <c r="F1793" s="1797">
        <v>2</v>
      </c>
      <c r="G1793" s="1999" t="s">
        <v>6281</v>
      </c>
      <c r="H1793" s="1794">
        <v>1</v>
      </c>
      <c r="I1793" s="1794">
        <v>0</v>
      </c>
      <c r="J1793" s="2000">
        <v>1</v>
      </c>
      <c r="K1793" s="1798"/>
      <c r="L1793" s="1792">
        <v>13177020402</v>
      </c>
      <c r="M1793" s="1793">
        <v>1</v>
      </c>
      <c r="N1793" s="1793">
        <v>1</v>
      </c>
      <c r="O1793" s="1794">
        <v>2</v>
      </c>
    </row>
    <row r="1794" spans="3:15">
      <c r="C1794" s="1799" t="s">
        <v>6282</v>
      </c>
      <c r="D1794" s="1796">
        <v>1</v>
      </c>
      <c r="E1794" s="1796">
        <v>1</v>
      </c>
      <c r="F1794" s="1797">
        <v>2</v>
      </c>
      <c r="G1794" s="1999" t="s">
        <v>6282</v>
      </c>
      <c r="H1794" s="1794">
        <v>1</v>
      </c>
      <c r="I1794" s="1794">
        <v>1</v>
      </c>
      <c r="J1794" s="2000">
        <v>2</v>
      </c>
      <c r="K1794" s="1798"/>
      <c r="L1794" s="1792">
        <v>13177020403</v>
      </c>
      <c r="M1794" s="1793">
        <v>1</v>
      </c>
      <c r="N1794" s="1793">
        <v>1</v>
      </c>
      <c r="O1794" s="1794">
        <v>2</v>
      </c>
    </row>
    <row r="1795" spans="3:15">
      <c r="C1795" s="1799" t="s">
        <v>6283</v>
      </c>
      <c r="D1795" s="1796">
        <v>0</v>
      </c>
      <c r="E1795" s="1796">
        <v>1</v>
      </c>
      <c r="F1795" s="1797">
        <v>1</v>
      </c>
      <c r="G1795" s="1999" t="s">
        <v>6283</v>
      </c>
      <c r="H1795" s="1794">
        <v>0</v>
      </c>
      <c r="I1795" s="1794" t="s">
        <v>4483</v>
      </c>
      <c r="J1795" s="2000">
        <v>0</v>
      </c>
      <c r="K1795" s="1798"/>
      <c r="L1795" s="1792">
        <v>13179010101</v>
      </c>
      <c r="M1795" s="1793">
        <v>0</v>
      </c>
      <c r="N1795" s="1793">
        <v>1</v>
      </c>
      <c r="O1795" s="1794">
        <v>1</v>
      </c>
    </row>
    <row r="1796" spans="3:15">
      <c r="C1796" s="1799" t="s">
        <v>6284</v>
      </c>
      <c r="D1796" s="1796">
        <v>1</v>
      </c>
      <c r="E1796" s="1796">
        <v>1</v>
      </c>
      <c r="F1796" s="1797">
        <v>2</v>
      </c>
      <c r="G1796" s="1999" t="s">
        <v>6284</v>
      </c>
      <c r="H1796" s="1794">
        <v>1</v>
      </c>
      <c r="I1796" s="1794" t="s">
        <v>4483</v>
      </c>
      <c r="J1796" s="2000">
        <v>1</v>
      </c>
      <c r="K1796" s="1798"/>
      <c r="L1796" s="1792">
        <v>13179010102</v>
      </c>
      <c r="M1796" s="1793">
        <v>1</v>
      </c>
      <c r="N1796" s="1793">
        <v>1</v>
      </c>
      <c r="O1796" s="1794">
        <v>2</v>
      </c>
    </row>
    <row r="1797" spans="3:15">
      <c r="C1797" s="1799" t="s">
        <v>6285</v>
      </c>
      <c r="D1797" s="1796">
        <v>0</v>
      </c>
      <c r="E1797" s="1796">
        <v>1</v>
      </c>
      <c r="F1797" s="1797">
        <v>1</v>
      </c>
      <c r="G1797" s="1999" t="s">
        <v>6285</v>
      </c>
      <c r="H1797" s="1794">
        <v>0</v>
      </c>
      <c r="I1797" s="1794" t="s">
        <v>4483</v>
      </c>
      <c r="J1797" s="2000">
        <v>0</v>
      </c>
      <c r="K1797" s="1798"/>
      <c r="L1797" s="1792">
        <v>13179010103</v>
      </c>
      <c r="M1797" s="1793">
        <v>0</v>
      </c>
      <c r="N1797" s="1793">
        <v>1</v>
      </c>
      <c r="O1797" s="1794">
        <v>1</v>
      </c>
    </row>
    <row r="1798" spans="3:15">
      <c r="C1798" s="1799" t="s">
        <v>6286</v>
      </c>
      <c r="D1798" s="1796">
        <v>0</v>
      </c>
      <c r="E1798" s="1796">
        <v>1</v>
      </c>
      <c r="F1798" s="1797">
        <v>1</v>
      </c>
      <c r="G1798" s="1999" t="s">
        <v>6286</v>
      </c>
      <c r="H1798" s="1794">
        <v>0</v>
      </c>
      <c r="I1798" s="1794">
        <v>1</v>
      </c>
      <c r="J1798" s="2000">
        <v>1</v>
      </c>
      <c r="K1798" s="1798"/>
      <c r="L1798" s="1792">
        <v>13179010202</v>
      </c>
      <c r="M1798" s="1793">
        <v>0</v>
      </c>
      <c r="N1798" s="1793">
        <v>1</v>
      </c>
      <c r="O1798" s="1794">
        <v>1</v>
      </c>
    </row>
    <row r="1799" spans="3:15">
      <c r="C1799" s="1799" t="s">
        <v>6287</v>
      </c>
      <c r="D1799" s="1796">
        <v>0</v>
      </c>
      <c r="E1799" s="1796">
        <v>0</v>
      </c>
      <c r="F1799" s="1797">
        <v>0</v>
      </c>
      <c r="G1799" s="1999" t="s">
        <v>6287</v>
      </c>
      <c r="H1799" s="1794">
        <v>0</v>
      </c>
      <c r="I1799" s="1794">
        <v>0</v>
      </c>
      <c r="J1799" s="2000">
        <v>0</v>
      </c>
      <c r="K1799" s="1798"/>
      <c r="L1799" s="1792">
        <v>13179010204</v>
      </c>
      <c r="M1799" s="1793">
        <v>0</v>
      </c>
      <c r="N1799" s="1793">
        <v>0</v>
      </c>
      <c r="O1799" s="1794">
        <v>0</v>
      </c>
    </row>
    <row r="1800" spans="3:15">
      <c r="C1800" s="1799" t="s">
        <v>6288</v>
      </c>
      <c r="D1800" s="1796">
        <v>0</v>
      </c>
      <c r="E1800" s="1796">
        <v>1</v>
      </c>
      <c r="F1800" s="1797">
        <v>1</v>
      </c>
      <c r="G1800" s="1999" t="s">
        <v>6288</v>
      </c>
      <c r="H1800" s="1794">
        <v>0</v>
      </c>
      <c r="I1800" s="1794">
        <v>0</v>
      </c>
      <c r="J1800" s="2000">
        <v>0</v>
      </c>
      <c r="K1800" s="1798"/>
      <c r="L1800" s="1792">
        <v>13179010205</v>
      </c>
      <c r="M1800" s="1793">
        <v>0</v>
      </c>
      <c r="N1800" s="1793">
        <v>1</v>
      </c>
      <c r="O1800" s="1794">
        <v>1</v>
      </c>
    </row>
    <row r="1801" spans="3:15">
      <c r="C1801" s="1799" t="s">
        <v>6289</v>
      </c>
      <c r="D1801" s="1796">
        <v>0</v>
      </c>
      <c r="E1801" s="1796">
        <v>1</v>
      </c>
      <c r="F1801" s="1797">
        <v>1</v>
      </c>
      <c r="G1801" s="1999" t="s">
        <v>6289</v>
      </c>
      <c r="H1801" s="1794">
        <v>0</v>
      </c>
      <c r="I1801" s="1794">
        <v>1</v>
      </c>
      <c r="J1801" s="2000">
        <v>1</v>
      </c>
      <c r="K1801" s="1798"/>
      <c r="L1801" s="1792">
        <v>13179010206</v>
      </c>
      <c r="M1801" s="1793">
        <v>0</v>
      </c>
      <c r="N1801" s="1793">
        <v>1</v>
      </c>
      <c r="O1801" s="1794">
        <v>1</v>
      </c>
    </row>
    <row r="1802" spans="3:15">
      <c r="C1802" s="1799" t="s">
        <v>6290</v>
      </c>
      <c r="D1802" s="1796">
        <v>0</v>
      </c>
      <c r="E1802" s="1796">
        <v>0</v>
      </c>
      <c r="F1802" s="1797">
        <v>0</v>
      </c>
      <c r="G1802" s="1999" t="s">
        <v>6290</v>
      </c>
      <c r="H1802" s="1794">
        <v>0</v>
      </c>
      <c r="I1802" s="1794">
        <v>0</v>
      </c>
      <c r="J1802" s="2000">
        <v>0</v>
      </c>
      <c r="K1802" s="1798"/>
      <c r="L1802" s="1792">
        <v>13179010207</v>
      </c>
      <c r="M1802" s="1793">
        <v>0</v>
      </c>
      <c r="N1802" s="1793">
        <v>0</v>
      </c>
      <c r="O1802" s="1794">
        <v>0</v>
      </c>
    </row>
    <row r="1803" spans="3:15">
      <c r="C1803" s="1799" t="s">
        <v>6291</v>
      </c>
      <c r="D1803" s="1796">
        <v>0</v>
      </c>
      <c r="E1803" s="1796">
        <v>1</v>
      </c>
      <c r="F1803" s="1797">
        <v>1</v>
      </c>
      <c r="G1803" s="1999" t="s">
        <v>6291</v>
      </c>
      <c r="H1803" s="1794">
        <v>0</v>
      </c>
      <c r="I1803" s="1794" t="s">
        <v>4483</v>
      </c>
      <c r="J1803" s="2000">
        <v>0</v>
      </c>
      <c r="K1803" s="1798"/>
      <c r="L1803" s="1792">
        <v>13179010208</v>
      </c>
      <c r="M1803" s="1793">
        <v>0</v>
      </c>
      <c r="N1803" s="1793">
        <v>1</v>
      </c>
      <c r="O1803" s="1794">
        <v>1</v>
      </c>
    </row>
    <row r="1804" spans="3:15">
      <c r="C1804" s="1799" t="s">
        <v>6292</v>
      </c>
      <c r="D1804" s="1796">
        <v>0</v>
      </c>
      <c r="E1804" s="1796">
        <v>1</v>
      </c>
      <c r="F1804" s="1797">
        <v>1</v>
      </c>
      <c r="G1804" s="1999" t="s">
        <v>6292</v>
      </c>
      <c r="H1804" s="1794">
        <v>0</v>
      </c>
      <c r="I1804" s="1794">
        <v>1</v>
      </c>
      <c r="J1804" s="2000">
        <v>1</v>
      </c>
      <c r="K1804" s="1798"/>
      <c r="L1804" s="1792">
        <v>13179010300</v>
      </c>
      <c r="M1804" s="1793">
        <v>0</v>
      </c>
      <c r="N1804" s="1793">
        <v>1</v>
      </c>
      <c r="O1804" s="1794">
        <v>1</v>
      </c>
    </row>
    <row r="1805" spans="3:15">
      <c r="C1805" s="1799" t="s">
        <v>6293</v>
      </c>
      <c r="D1805" s="1796">
        <v>0</v>
      </c>
      <c r="E1805" s="1796">
        <v>0</v>
      </c>
      <c r="F1805" s="1797">
        <v>0</v>
      </c>
      <c r="G1805" s="1999" t="s">
        <v>6293</v>
      </c>
      <c r="H1805" s="1794">
        <v>0</v>
      </c>
      <c r="I1805" s="1794">
        <v>0</v>
      </c>
      <c r="J1805" s="2000">
        <v>0</v>
      </c>
      <c r="K1805" s="1798"/>
      <c r="L1805" s="1792">
        <v>13179010400</v>
      </c>
      <c r="M1805" s="1793">
        <v>0</v>
      </c>
      <c r="N1805" s="1793">
        <v>0</v>
      </c>
      <c r="O1805" s="1794">
        <v>0</v>
      </c>
    </row>
    <row r="1806" spans="3:15">
      <c r="C1806" s="1799" t="s">
        <v>6294</v>
      </c>
      <c r="D1806" s="1796">
        <v>1</v>
      </c>
      <c r="E1806" s="1796">
        <v>1</v>
      </c>
      <c r="F1806" s="1797">
        <v>2</v>
      </c>
      <c r="G1806" s="1999" t="s">
        <v>6294</v>
      </c>
      <c r="H1806" s="1794">
        <v>0</v>
      </c>
      <c r="I1806" s="1794">
        <v>0</v>
      </c>
      <c r="J1806" s="2000">
        <v>0</v>
      </c>
      <c r="K1806" s="1798"/>
      <c r="L1806" s="1792">
        <v>13179010501</v>
      </c>
      <c r="M1806" s="1793">
        <v>1</v>
      </c>
      <c r="N1806" s="1793">
        <v>1</v>
      </c>
      <c r="O1806" s="1794">
        <v>2</v>
      </c>
    </row>
    <row r="1807" spans="3:15">
      <c r="C1807" s="1799" t="s">
        <v>6295</v>
      </c>
      <c r="D1807" s="1796">
        <v>0</v>
      </c>
      <c r="E1807" s="1796">
        <v>0</v>
      </c>
      <c r="F1807" s="1797">
        <v>0</v>
      </c>
      <c r="G1807" s="1999" t="s">
        <v>6295</v>
      </c>
      <c r="H1807" s="1794">
        <v>0</v>
      </c>
      <c r="I1807" s="1794">
        <v>0</v>
      </c>
      <c r="J1807" s="2000">
        <v>0</v>
      </c>
      <c r="K1807" s="1798"/>
      <c r="L1807" s="1792">
        <v>13179010502</v>
      </c>
      <c r="M1807" s="1793">
        <v>0</v>
      </c>
      <c r="N1807" s="1793">
        <v>0</v>
      </c>
      <c r="O1807" s="1794">
        <v>0</v>
      </c>
    </row>
    <row r="1808" spans="3:15">
      <c r="C1808" s="1799" t="s">
        <v>6296</v>
      </c>
      <c r="D1808" s="1796">
        <v>0</v>
      </c>
      <c r="E1808" s="1796">
        <v>0</v>
      </c>
      <c r="F1808" s="1797">
        <v>0</v>
      </c>
      <c r="G1808" s="1999" t="s">
        <v>6296</v>
      </c>
      <c r="H1808" s="1794">
        <v>0</v>
      </c>
      <c r="I1808" s="1794">
        <v>0</v>
      </c>
      <c r="J1808" s="2000">
        <v>0</v>
      </c>
      <c r="K1808" s="1798"/>
      <c r="L1808" s="1792">
        <v>13179010600</v>
      </c>
      <c r="M1808" s="1793">
        <v>0</v>
      </c>
      <c r="N1808" s="1793">
        <v>0</v>
      </c>
      <c r="O1808" s="1794">
        <v>0</v>
      </c>
    </row>
    <row r="1809" spans="3:15">
      <c r="C1809" s="1799" t="s">
        <v>6297</v>
      </c>
      <c r="D1809" s="1796" t="s">
        <v>4483</v>
      </c>
      <c r="E1809" s="1796" t="s">
        <v>4483</v>
      </c>
      <c r="F1809" s="1797">
        <v>0</v>
      </c>
      <c r="G1809" s="1999" t="s">
        <v>6297</v>
      </c>
      <c r="H1809" s="1794" t="s">
        <v>4483</v>
      </c>
      <c r="I1809" s="1794" t="s">
        <v>4483</v>
      </c>
      <c r="J1809" s="2000">
        <v>0</v>
      </c>
      <c r="K1809" s="1798"/>
      <c r="L1809" s="1792">
        <v>13179990000</v>
      </c>
      <c r="M1809" s="1793">
        <v>0</v>
      </c>
      <c r="N1809" s="1793">
        <v>0</v>
      </c>
      <c r="O1809" s="1794">
        <v>0</v>
      </c>
    </row>
    <row r="1810" spans="3:15">
      <c r="C1810" s="1799" t="s">
        <v>6298</v>
      </c>
      <c r="D1810" s="1796">
        <v>0</v>
      </c>
      <c r="E1810" s="1796">
        <v>0</v>
      </c>
      <c r="F1810" s="1797">
        <v>0</v>
      </c>
      <c r="G1810" s="1999" t="s">
        <v>6298</v>
      </c>
      <c r="H1810" s="1794">
        <v>0</v>
      </c>
      <c r="I1810" s="1794">
        <v>1</v>
      </c>
      <c r="J1810" s="2000">
        <v>1</v>
      </c>
      <c r="K1810" s="1798"/>
      <c r="L1810" s="1792">
        <v>13181970100</v>
      </c>
      <c r="M1810" s="1793">
        <v>0</v>
      </c>
      <c r="N1810" s="1793">
        <v>1</v>
      </c>
      <c r="O1810" s="1794">
        <v>1</v>
      </c>
    </row>
    <row r="1811" spans="3:15">
      <c r="C1811" s="1799" t="s">
        <v>6299</v>
      </c>
      <c r="D1811" s="1796">
        <v>0</v>
      </c>
      <c r="E1811" s="1796">
        <v>0</v>
      </c>
      <c r="F1811" s="1797">
        <v>0</v>
      </c>
      <c r="G1811" s="1999" t="s">
        <v>6299</v>
      </c>
      <c r="H1811" s="1794">
        <v>0</v>
      </c>
      <c r="I1811" s="1794">
        <v>0</v>
      </c>
      <c r="J1811" s="2000">
        <v>0</v>
      </c>
      <c r="K1811" s="1798"/>
      <c r="L1811" s="1792">
        <v>13181970200</v>
      </c>
      <c r="M1811" s="1793">
        <v>0</v>
      </c>
      <c r="N1811" s="1793">
        <v>0</v>
      </c>
      <c r="O1811" s="1794">
        <v>0</v>
      </c>
    </row>
    <row r="1812" spans="3:15">
      <c r="C1812" s="1799" t="s">
        <v>6300</v>
      </c>
      <c r="D1812" s="1796">
        <v>0</v>
      </c>
      <c r="E1812" s="1796">
        <v>0</v>
      </c>
      <c r="F1812" s="1797">
        <v>0</v>
      </c>
      <c r="G1812" s="1999" t="s">
        <v>6300</v>
      </c>
      <c r="H1812" s="1794">
        <v>0</v>
      </c>
      <c r="I1812" s="1794">
        <v>0</v>
      </c>
      <c r="J1812" s="2000">
        <v>0</v>
      </c>
      <c r="K1812" s="1798"/>
      <c r="L1812" s="1792">
        <v>13183970100</v>
      </c>
      <c r="M1812" s="1793">
        <v>0</v>
      </c>
      <c r="N1812" s="1793">
        <v>0</v>
      </c>
      <c r="O1812" s="1794">
        <v>0</v>
      </c>
    </row>
    <row r="1813" spans="3:15">
      <c r="C1813" s="1799" t="s">
        <v>6301</v>
      </c>
      <c r="D1813" s="1796">
        <v>0</v>
      </c>
      <c r="E1813" s="1796">
        <v>0</v>
      </c>
      <c r="F1813" s="1797">
        <v>0</v>
      </c>
      <c r="G1813" s="1999" t="s">
        <v>6301</v>
      </c>
      <c r="H1813" s="1794">
        <v>0</v>
      </c>
      <c r="I1813" s="1794">
        <v>1</v>
      </c>
      <c r="J1813" s="2000">
        <v>1</v>
      </c>
      <c r="K1813" s="1798"/>
      <c r="L1813" s="1792">
        <v>13183970200</v>
      </c>
      <c r="M1813" s="1793">
        <v>0</v>
      </c>
      <c r="N1813" s="1793">
        <v>1</v>
      </c>
      <c r="O1813" s="1794">
        <v>1</v>
      </c>
    </row>
    <row r="1814" spans="3:15">
      <c r="C1814" s="1799" t="s">
        <v>6302</v>
      </c>
      <c r="D1814" s="1796" t="s">
        <v>4483</v>
      </c>
      <c r="E1814" s="1796" t="s">
        <v>4483</v>
      </c>
      <c r="F1814" s="1797">
        <v>0</v>
      </c>
      <c r="G1814" s="1999" t="s">
        <v>6302</v>
      </c>
      <c r="H1814" s="1794" t="s">
        <v>4483</v>
      </c>
      <c r="I1814" s="1794" t="s">
        <v>4483</v>
      </c>
      <c r="J1814" s="2000">
        <v>0</v>
      </c>
      <c r="K1814" s="1798"/>
      <c r="L1814" s="1792">
        <v>13183980000</v>
      </c>
      <c r="M1814" s="1793">
        <v>0</v>
      </c>
      <c r="N1814" s="1793">
        <v>0</v>
      </c>
      <c r="O1814" s="1794">
        <v>0</v>
      </c>
    </row>
    <row r="1815" spans="3:15">
      <c r="C1815" s="1799" t="s">
        <v>6303</v>
      </c>
      <c r="D1815" s="1796">
        <v>0</v>
      </c>
      <c r="E1815" s="1796">
        <v>1</v>
      </c>
      <c r="F1815" s="1797">
        <v>1</v>
      </c>
      <c r="G1815" s="1999" t="s">
        <v>6303</v>
      </c>
      <c r="H1815" s="1794">
        <v>0</v>
      </c>
      <c r="I1815" s="1794">
        <v>0</v>
      </c>
      <c r="J1815" s="2000">
        <v>0</v>
      </c>
      <c r="K1815" s="1798"/>
      <c r="L1815" s="1792">
        <v>13185010101</v>
      </c>
      <c r="M1815" s="1793">
        <v>0</v>
      </c>
      <c r="N1815" s="1793">
        <v>1</v>
      </c>
      <c r="O1815" s="1794">
        <v>1</v>
      </c>
    </row>
    <row r="1816" spans="3:15">
      <c r="C1816" s="1799" t="s">
        <v>6304</v>
      </c>
      <c r="D1816" s="1796">
        <v>0</v>
      </c>
      <c r="E1816" s="1796">
        <v>1</v>
      </c>
      <c r="F1816" s="1797">
        <v>1</v>
      </c>
      <c r="G1816" s="1999" t="s">
        <v>6304</v>
      </c>
      <c r="H1816" s="1794">
        <v>0</v>
      </c>
      <c r="I1816" s="1794">
        <v>1</v>
      </c>
      <c r="J1816" s="2000">
        <v>1</v>
      </c>
      <c r="K1816" s="1798"/>
      <c r="L1816" s="1792">
        <v>13185010102</v>
      </c>
      <c r="M1816" s="1793">
        <v>0</v>
      </c>
      <c r="N1816" s="1793">
        <v>1</v>
      </c>
      <c r="O1816" s="1794">
        <v>1</v>
      </c>
    </row>
    <row r="1817" spans="3:15">
      <c r="C1817" s="1799" t="s">
        <v>6305</v>
      </c>
      <c r="D1817" s="1796">
        <v>1</v>
      </c>
      <c r="E1817" s="1796">
        <v>1</v>
      </c>
      <c r="F1817" s="1797">
        <v>2</v>
      </c>
      <c r="G1817" s="1999" t="s">
        <v>6305</v>
      </c>
      <c r="H1817" s="1794">
        <v>1</v>
      </c>
      <c r="I1817" s="1794">
        <v>1</v>
      </c>
      <c r="J1817" s="2000">
        <v>2</v>
      </c>
      <c r="K1817" s="1798"/>
      <c r="L1817" s="1792">
        <v>13185010103</v>
      </c>
      <c r="M1817" s="1793">
        <v>1</v>
      </c>
      <c r="N1817" s="1793">
        <v>1</v>
      </c>
      <c r="O1817" s="1794">
        <v>2</v>
      </c>
    </row>
    <row r="1818" spans="3:15">
      <c r="C1818" s="1799" t="s">
        <v>6306</v>
      </c>
      <c r="D1818" s="1796">
        <v>0</v>
      </c>
      <c r="E1818" s="1796">
        <v>1</v>
      </c>
      <c r="F1818" s="1797">
        <v>1</v>
      </c>
      <c r="G1818" s="1999" t="s">
        <v>6306</v>
      </c>
      <c r="H1818" s="1794">
        <v>0</v>
      </c>
      <c r="I1818" s="1794">
        <v>1</v>
      </c>
      <c r="J1818" s="2000">
        <v>1</v>
      </c>
      <c r="K1818" s="1798"/>
      <c r="L1818" s="1792">
        <v>13185010201</v>
      </c>
      <c r="M1818" s="1793">
        <v>0</v>
      </c>
      <c r="N1818" s="1793">
        <v>1</v>
      </c>
      <c r="O1818" s="1794">
        <v>1</v>
      </c>
    </row>
    <row r="1819" spans="3:15">
      <c r="C1819" s="1799" t="s">
        <v>6307</v>
      </c>
      <c r="D1819" s="1796">
        <v>1</v>
      </c>
      <c r="E1819" s="1796">
        <v>1</v>
      </c>
      <c r="F1819" s="1797">
        <v>2</v>
      </c>
      <c r="G1819" s="1999" t="s">
        <v>6307</v>
      </c>
      <c r="H1819" s="1794">
        <v>1</v>
      </c>
      <c r="I1819" s="1794">
        <v>1</v>
      </c>
      <c r="J1819" s="2000">
        <v>2</v>
      </c>
      <c r="K1819" s="1798"/>
      <c r="L1819" s="1792">
        <v>13185010202</v>
      </c>
      <c r="M1819" s="1793">
        <v>1</v>
      </c>
      <c r="N1819" s="1793">
        <v>1</v>
      </c>
      <c r="O1819" s="1794">
        <v>2</v>
      </c>
    </row>
    <row r="1820" spans="3:15">
      <c r="C1820" s="1799" t="s">
        <v>6308</v>
      </c>
      <c r="D1820" s="1796">
        <v>1</v>
      </c>
      <c r="E1820" s="1796">
        <v>1</v>
      </c>
      <c r="F1820" s="1797">
        <v>2</v>
      </c>
      <c r="G1820" s="1999" t="s">
        <v>6308</v>
      </c>
      <c r="H1820" s="1794">
        <v>1</v>
      </c>
      <c r="I1820" s="1794">
        <v>1</v>
      </c>
      <c r="J1820" s="2000">
        <v>2</v>
      </c>
      <c r="K1820" s="1798"/>
      <c r="L1820" s="1792">
        <v>13185010301</v>
      </c>
      <c r="M1820" s="1793">
        <v>1</v>
      </c>
      <c r="N1820" s="1793">
        <v>1</v>
      </c>
      <c r="O1820" s="1794">
        <v>2</v>
      </c>
    </row>
    <row r="1821" spans="3:15">
      <c r="C1821" s="1799" t="s">
        <v>6309</v>
      </c>
      <c r="D1821" s="1796">
        <v>1</v>
      </c>
      <c r="E1821" s="1796">
        <v>1</v>
      </c>
      <c r="F1821" s="1797">
        <v>2</v>
      </c>
      <c r="G1821" s="1999" t="s">
        <v>6309</v>
      </c>
      <c r="H1821" s="1794">
        <v>1</v>
      </c>
      <c r="I1821" s="1794">
        <v>1</v>
      </c>
      <c r="J1821" s="2000">
        <v>2</v>
      </c>
      <c r="K1821" s="1798"/>
      <c r="L1821" s="1792">
        <v>13185010302</v>
      </c>
      <c r="M1821" s="1793">
        <v>1</v>
      </c>
      <c r="N1821" s="1793">
        <v>1</v>
      </c>
      <c r="O1821" s="1794">
        <v>2</v>
      </c>
    </row>
    <row r="1822" spans="3:15">
      <c r="C1822" s="1799" t="s">
        <v>6310</v>
      </c>
      <c r="D1822" s="1796">
        <v>1</v>
      </c>
      <c r="E1822" s="1796">
        <v>1</v>
      </c>
      <c r="F1822" s="1797">
        <v>2</v>
      </c>
      <c r="G1822" s="1999" t="s">
        <v>6310</v>
      </c>
      <c r="H1822" s="1794">
        <v>1</v>
      </c>
      <c r="I1822" s="1794">
        <v>1</v>
      </c>
      <c r="J1822" s="2000">
        <v>2</v>
      </c>
      <c r="K1822" s="1798"/>
      <c r="L1822" s="1792">
        <v>13185010401</v>
      </c>
      <c r="M1822" s="1793">
        <v>1</v>
      </c>
      <c r="N1822" s="1793">
        <v>1</v>
      </c>
      <c r="O1822" s="1794">
        <v>2</v>
      </c>
    </row>
    <row r="1823" spans="3:15">
      <c r="C1823" s="1799" t="s">
        <v>6311</v>
      </c>
      <c r="D1823" s="1796">
        <v>0</v>
      </c>
      <c r="E1823" s="1796">
        <v>0</v>
      </c>
      <c r="F1823" s="1797">
        <v>0</v>
      </c>
      <c r="G1823" s="1999" t="s">
        <v>6311</v>
      </c>
      <c r="H1823" s="1794">
        <v>0</v>
      </c>
      <c r="I1823" s="1794">
        <v>0</v>
      </c>
      <c r="J1823" s="2000">
        <v>0</v>
      </c>
      <c r="K1823" s="1798"/>
      <c r="L1823" s="1792">
        <v>13185010402</v>
      </c>
      <c r="M1823" s="1793">
        <v>0</v>
      </c>
      <c r="N1823" s="1793">
        <v>0</v>
      </c>
      <c r="O1823" s="1794">
        <v>0</v>
      </c>
    </row>
    <row r="1824" spans="3:15">
      <c r="C1824" s="1799" t="s">
        <v>6312</v>
      </c>
      <c r="D1824" s="1796">
        <v>0</v>
      </c>
      <c r="E1824" s="1796">
        <v>0</v>
      </c>
      <c r="F1824" s="1797">
        <v>0</v>
      </c>
      <c r="G1824" s="1999" t="s">
        <v>6312</v>
      </c>
      <c r="H1824" s="1794">
        <v>0</v>
      </c>
      <c r="I1824" s="1794">
        <v>0</v>
      </c>
      <c r="J1824" s="2000">
        <v>0</v>
      </c>
      <c r="K1824" s="1798"/>
      <c r="L1824" s="1792">
        <v>13185010500</v>
      </c>
      <c r="M1824" s="1793">
        <v>0</v>
      </c>
      <c r="N1824" s="1793">
        <v>0</v>
      </c>
      <c r="O1824" s="1794">
        <v>0</v>
      </c>
    </row>
    <row r="1825" spans="3:15">
      <c r="C1825" s="1799" t="s">
        <v>6313</v>
      </c>
      <c r="D1825" s="1796">
        <v>0</v>
      </c>
      <c r="E1825" s="1796">
        <v>0</v>
      </c>
      <c r="F1825" s="1797">
        <v>0</v>
      </c>
      <c r="G1825" s="1999" t="s">
        <v>6313</v>
      </c>
      <c r="H1825" s="1794">
        <v>0</v>
      </c>
      <c r="I1825" s="1794">
        <v>1</v>
      </c>
      <c r="J1825" s="2000">
        <v>1</v>
      </c>
      <c r="K1825" s="1798"/>
      <c r="L1825" s="1792">
        <v>13185010601</v>
      </c>
      <c r="M1825" s="1793">
        <v>0</v>
      </c>
      <c r="N1825" s="1793">
        <v>1</v>
      </c>
      <c r="O1825" s="1794">
        <v>1</v>
      </c>
    </row>
    <row r="1826" spans="3:15">
      <c r="C1826" s="1799" t="s">
        <v>6314</v>
      </c>
      <c r="D1826" s="1796">
        <v>1</v>
      </c>
      <c r="E1826" s="1796">
        <v>1</v>
      </c>
      <c r="F1826" s="1797">
        <v>2</v>
      </c>
      <c r="G1826" s="1999" t="s">
        <v>6314</v>
      </c>
      <c r="H1826" s="1794">
        <v>1</v>
      </c>
      <c r="I1826" s="1794">
        <v>1</v>
      </c>
      <c r="J1826" s="2000">
        <v>2</v>
      </c>
      <c r="K1826" s="1798"/>
      <c r="L1826" s="1792">
        <v>13185010604</v>
      </c>
      <c r="M1826" s="1793">
        <v>1</v>
      </c>
      <c r="N1826" s="1793">
        <v>1</v>
      </c>
      <c r="O1826" s="1794">
        <v>2</v>
      </c>
    </row>
    <row r="1827" spans="3:15">
      <c r="C1827" s="1799" t="s">
        <v>6315</v>
      </c>
      <c r="D1827" s="1796">
        <v>0</v>
      </c>
      <c r="E1827" s="1796">
        <v>0</v>
      </c>
      <c r="F1827" s="1797">
        <v>0</v>
      </c>
      <c r="G1827" s="1999" t="s">
        <v>6315</v>
      </c>
      <c r="H1827" s="1794">
        <v>0</v>
      </c>
      <c r="I1827" s="1794">
        <v>0</v>
      </c>
      <c r="J1827" s="2000">
        <v>0</v>
      </c>
      <c r="K1827" s="1798"/>
      <c r="L1827" s="1792">
        <v>13185010700</v>
      </c>
      <c r="M1827" s="1793">
        <v>0</v>
      </c>
      <c r="N1827" s="1793">
        <v>0</v>
      </c>
      <c r="O1827" s="1794">
        <v>0</v>
      </c>
    </row>
    <row r="1828" spans="3:15">
      <c r="C1828" s="1799" t="s">
        <v>6316</v>
      </c>
      <c r="D1828" s="1796">
        <v>0</v>
      </c>
      <c r="E1828" s="1796">
        <v>0</v>
      </c>
      <c r="F1828" s="1797">
        <v>0</v>
      </c>
      <c r="G1828" s="1999" t="s">
        <v>6316</v>
      </c>
      <c r="H1828" s="1794">
        <v>0</v>
      </c>
      <c r="I1828" s="1794">
        <v>0</v>
      </c>
      <c r="J1828" s="2000">
        <v>0</v>
      </c>
      <c r="K1828" s="1798"/>
      <c r="L1828" s="1792">
        <v>13185010800</v>
      </c>
      <c r="M1828" s="1793">
        <v>0</v>
      </c>
      <c r="N1828" s="1793">
        <v>0</v>
      </c>
      <c r="O1828" s="1794">
        <v>0</v>
      </c>
    </row>
    <row r="1829" spans="3:15">
      <c r="C1829" s="1799" t="s">
        <v>6317</v>
      </c>
      <c r="D1829" s="1796">
        <v>0</v>
      </c>
      <c r="E1829" s="1796">
        <v>0</v>
      </c>
      <c r="F1829" s="1797">
        <v>0</v>
      </c>
      <c r="G1829" s="1999" t="s">
        <v>6317</v>
      </c>
      <c r="H1829" s="1794">
        <v>0</v>
      </c>
      <c r="I1829" s="1794">
        <v>0</v>
      </c>
      <c r="J1829" s="2000">
        <v>0</v>
      </c>
      <c r="K1829" s="1798"/>
      <c r="L1829" s="1792">
        <v>13185010900</v>
      </c>
      <c r="M1829" s="1793">
        <v>0</v>
      </c>
      <c r="N1829" s="1793">
        <v>0</v>
      </c>
      <c r="O1829" s="1794">
        <v>0</v>
      </c>
    </row>
    <row r="1830" spans="3:15">
      <c r="C1830" s="1799" t="s">
        <v>6318</v>
      </c>
      <c r="D1830" s="1796">
        <v>0</v>
      </c>
      <c r="E1830" s="1796">
        <v>0</v>
      </c>
      <c r="F1830" s="1797">
        <v>0</v>
      </c>
      <c r="G1830" s="1999" t="s">
        <v>6318</v>
      </c>
      <c r="H1830" s="1794">
        <v>0</v>
      </c>
      <c r="I1830" s="1794">
        <v>0</v>
      </c>
      <c r="J1830" s="2000">
        <v>0</v>
      </c>
      <c r="K1830" s="1798"/>
      <c r="L1830" s="1792">
        <v>13185011000</v>
      </c>
      <c r="M1830" s="1793">
        <v>0</v>
      </c>
      <c r="N1830" s="1793">
        <v>0</v>
      </c>
      <c r="O1830" s="1794">
        <v>0</v>
      </c>
    </row>
    <row r="1831" spans="3:15">
      <c r="C1831" s="1799" t="s">
        <v>6319</v>
      </c>
      <c r="D1831" s="1796">
        <v>0</v>
      </c>
      <c r="E1831" s="1796">
        <v>0</v>
      </c>
      <c r="F1831" s="1797">
        <v>0</v>
      </c>
      <c r="G1831" s="1999" t="s">
        <v>6319</v>
      </c>
      <c r="H1831" s="1794">
        <v>0</v>
      </c>
      <c r="I1831" s="1794">
        <v>1</v>
      </c>
      <c r="J1831" s="2000">
        <v>1</v>
      </c>
      <c r="K1831" s="1798"/>
      <c r="L1831" s="1792">
        <v>13185011100</v>
      </c>
      <c r="M1831" s="1793">
        <v>0</v>
      </c>
      <c r="N1831" s="1793">
        <v>1</v>
      </c>
      <c r="O1831" s="1794">
        <v>1</v>
      </c>
    </row>
    <row r="1832" spans="3:15">
      <c r="C1832" s="1799" t="s">
        <v>6320</v>
      </c>
      <c r="D1832" s="1796">
        <v>0</v>
      </c>
      <c r="E1832" s="1796">
        <v>0</v>
      </c>
      <c r="F1832" s="1797">
        <v>0</v>
      </c>
      <c r="G1832" s="1999" t="s">
        <v>6320</v>
      </c>
      <c r="H1832" s="1794">
        <v>0</v>
      </c>
      <c r="I1832" s="1794">
        <v>0</v>
      </c>
      <c r="J1832" s="2000">
        <v>0</v>
      </c>
      <c r="K1832" s="1798"/>
      <c r="L1832" s="1792">
        <v>13185011200</v>
      </c>
      <c r="M1832" s="1793">
        <v>0</v>
      </c>
      <c r="N1832" s="1793">
        <v>0</v>
      </c>
      <c r="O1832" s="1794">
        <v>0</v>
      </c>
    </row>
    <row r="1833" spans="3:15">
      <c r="C1833" s="1799" t="s">
        <v>6321</v>
      </c>
      <c r="D1833" s="1796">
        <v>0</v>
      </c>
      <c r="E1833" s="1796">
        <v>0</v>
      </c>
      <c r="F1833" s="1797">
        <v>0</v>
      </c>
      <c r="G1833" s="1999" t="s">
        <v>6321</v>
      </c>
      <c r="H1833" s="1794">
        <v>0</v>
      </c>
      <c r="I1833" s="1794">
        <v>0</v>
      </c>
      <c r="J1833" s="2000">
        <v>0</v>
      </c>
      <c r="K1833" s="1798"/>
      <c r="L1833" s="1792">
        <v>13185011301</v>
      </c>
      <c r="M1833" s="1793">
        <v>0</v>
      </c>
      <c r="N1833" s="1793">
        <v>0</v>
      </c>
      <c r="O1833" s="1794">
        <v>0</v>
      </c>
    </row>
    <row r="1834" spans="3:15">
      <c r="C1834" s="1799" t="s">
        <v>6322</v>
      </c>
      <c r="D1834" s="1796">
        <v>0</v>
      </c>
      <c r="E1834" s="1796">
        <v>0</v>
      </c>
      <c r="F1834" s="1797">
        <v>0</v>
      </c>
      <c r="G1834" s="1999" t="s">
        <v>6322</v>
      </c>
      <c r="H1834" s="1794">
        <v>0</v>
      </c>
      <c r="I1834" s="1794">
        <v>0</v>
      </c>
      <c r="J1834" s="2000">
        <v>0</v>
      </c>
      <c r="K1834" s="1798"/>
      <c r="L1834" s="1792">
        <v>13185011302</v>
      </c>
      <c r="M1834" s="1793">
        <v>0</v>
      </c>
      <c r="N1834" s="1793">
        <v>0</v>
      </c>
      <c r="O1834" s="1794">
        <v>0</v>
      </c>
    </row>
    <row r="1835" spans="3:15">
      <c r="C1835" s="1799" t="s">
        <v>6323</v>
      </c>
      <c r="D1835" s="1796">
        <v>0</v>
      </c>
      <c r="E1835" s="1796">
        <v>0</v>
      </c>
      <c r="F1835" s="1797">
        <v>0</v>
      </c>
      <c r="G1835" s="1999" t="s">
        <v>6323</v>
      </c>
      <c r="H1835" s="1794">
        <v>0</v>
      </c>
      <c r="I1835" s="1794">
        <v>1</v>
      </c>
      <c r="J1835" s="2000">
        <v>1</v>
      </c>
      <c r="K1835" s="1798"/>
      <c r="L1835" s="1792">
        <v>13185011401</v>
      </c>
      <c r="M1835" s="1793">
        <v>0</v>
      </c>
      <c r="N1835" s="1793">
        <v>1</v>
      </c>
      <c r="O1835" s="1794">
        <v>1</v>
      </c>
    </row>
    <row r="1836" spans="3:15">
      <c r="C1836" s="1799" t="s">
        <v>6324</v>
      </c>
      <c r="D1836" s="1796">
        <v>0</v>
      </c>
      <c r="E1836" s="1796">
        <v>0</v>
      </c>
      <c r="F1836" s="1797">
        <v>0</v>
      </c>
      <c r="G1836" s="1999" t="s">
        <v>6324</v>
      </c>
      <c r="H1836" s="1794">
        <v>0</v>
      </c>
      <c r="I1836" s="1794">
        <v>0</v>
      </c>
      <c r="J1836" s="2000">
        <v>0</v>
      </c>
      <c r="K1836" s="1798"/>
      <c r="L1836" s="1792">
        <v>13185011402</v>
      </c>
      <c r="M1836" s="1793">
        <v>0</v>
      </c>
      <c r="N1836" s="1793">
        <v>0</v>
      </c>
      <c r="O1836" s="1794">
        <v>0</v>
      </c>
    </row>
    <row r="1837" spans="3:15">
      <c r="C1837" s="1799" t="s">
        <v>6325</v>
      </c>
      <c r="D1837" s="1796">
        <v>0</v>
      </c>
      <c r="E1837" s="1796">
        <v>0</v>
      </c>
      <c r="F1837" s="1797">
        <v>0</v>
      </c>
      <c r="G1837" s="1999" t="s">
        <v>6325</v>
      </c>
      <c r="H1837" s="1794">
        <v>0</v>
      </c>
      <c r="I1837" s="1794">
        <v>0</v>
      </c>
      <c r="J1837" s="2000">
        <v>0</v>
      </c>
      <c r="K1837" s="1798"/>
      <c r="L1837" s="1792">
        <v>13185011403</v>
      </c>
      <c r="M1837" s="1793">
        <v>0</v>
      </c>
      <c r="N1837" s="1793">
        <v>0</v>
      </c>
      <c r="O1837" s="1794">
        <v>0</v>
      </c>
    </row>
    <row r="1838" spans="3:15">
      <c r="C1838" s="1799" t="s">
        <v>6326</v>
      </c>
      <c r="D1838" s="1796">
        <v>0</v>
      </c>
      <c r="E1838" s="1796">
        <v>0</v>
      </c>
      <c r="F1838" s="1797">
        <v>0</v>
      </c>
      <c r="G1838" s="1999" t="s">
        <v>6326</v>
      </c>
      <c r="H1838" s="1794">
        <v>0</v>
      </c>
      <c r="I1838" s="1794">
        <v>0</v>
      </c>
      <c r="J1838" s="2000">
        <v>0</v>
      </c>
      <c r="K1838" s="1798"/>
      <c r="L1838" s="1792">
        <v>13185011500</v>
      </c>
      <c r="M1838" s="1793">
        <v>0</v>
      </c>
      <c r="N1838" s="1793">
        <v>0</v>
      </c>
      <c r="O1838" s="1794">
        <v>0</v>
      </c>
    </row>
    <row r="1839" spans="3:15">
      <c r="C1839" s="1799" t="s">
        <v>6327</v>
      </c>
      <c r="D1839" s="1796">
        <v>0</v>
      </c>
      <c r="E1839" s="1796">
        <v>1</v>
      </c>
      <c r="F1839" s="1797">
        <v>1</v>
      </c>
      <c r="G1839" s="1999" t="s">
        <v>6327</v>
      </c>
      <c r="H1839" s="1794">
        <v>0</v>
      </c>
      <c r="I1839" s="1794">
        <v>0</v>
      </c>
      <c r="J1839" s="2000">
        <v>0</v>
      </c>
      <c r="K1839" s="1798"/>
      <c r="L1839" s="1792">
        <v>13185011600</v>
      </c>
      <c r="M1839" s="1793">
        <v>0</v>
      </c>
      <c r="N1839" s="1793">
        <v>1</v>
      </c>
      <c r="O1839" s="1794">
        <v>1</v>
      </c>
    </row>
    <row r="1840" spans="3:15">
      <c r="C1840" s="1799" t="s">
        <v>6328</v>
      </c>
      <c r="D1840" s="1796">
        <v>0</v>
      </c>
      <c r="E1840" s="1796">
        <v>0</v>
      </c>
      <c r="F1840" s="1797">
        <v>0</v>
      </c>
      <c r="G1840" s="1999" t="s">
        <v>6328</v>
      </c>
      <c r="H1840" s="1794">
        <v>1</v>
      </c>
      <c r="I1840" s="1794">
        <v>0</v>
      </c>
      <c r="J1840" s="2000">
        <v>1</v>
      </c>
      <c r="K1840" s="1798"/>
      <c r="L1840" s="1792">
        <v>13187960101</v>
      </c>
      <c r="M1840" s="1793">
        <v>1</v>
      </c>
      <c r="N1840" s="1793">
        <v>0</v>
      </c>
      <c r="O1840" s="1794">
        <v>1</v>
      </c>
    </row>
    <row r="1841" spans="3:15">
      <c r="C1841" s="1799" t="s">
        <v>6329</v>
      </c>
      <c r="D1841" s="1796">
        <v>1</v>
      </c>
      <c r="E1841" s="1796">
        <v>1</v>
      </c>
      <c r="F1841" s="1797">
        <v>2</v>
      </c>
      <c r="G1841" s="1999" t="s">
        <v>6329</v>
      </c>
      <c r="H1841" s="1794">
        <v>1</v>
      </c>
      <c r="I1841" s="1794">
        <v>1</v>
      </c>
      <c r="J1841" s="2000">
        <v>2</v>
      </c>
      <c r="K1841" s="1798"/>
      <c r="L1841" s="1792">
        <v>13187960102</v>
      </c>
      <c r="M1841" s="1793">
        <v>1</v>
      </c>
      <c r="N1841" s="1793">
        <v>1</v>
      </c>
      <c r="O1841" s="1794">
        <v>2</v>
      </c>
    </row>
    <row r="1842" spans="3:15">
      <c r="C1842" s="1799" t="s">
        <v>6330</v>
      </c>
      <c r="D1842" s="1796">
        <v>0</v>
      </c>
      <c r="E1842" s="1796">
        <v>1</v>
      </c>
      <c r="F1842" s="1797">
        <v>1</v>
      </c>
      <c r="G1842" s="1999" t="s">
        <v>6330</v>
      </c>
      <c r="H1842" s="1794">
        <v>0</v>
      </c>
      <c r="I1842" s="1794">
        <v>1</v>
      </c>
      <c r="J1842" s="2000">
        <v>1</v>
      </c>
      <c r="K1842" s="1798"/>
      <c r="L1842" s="1792">
        <v>13187960201</v>
      </c>
      <c r="M1842" s="1793">
        <v>0</v>
      </c>
      <c r="N1842" s="1793">
        <v>1</v>
      </c>
      <c r="O1842" s="1794">
        <v>1</v>
      </c>
    </row>
    <row r="1843" spans="3:15">
      <c r="C1843" s="1799" t="s">
        <v>6331</v>
      </c>
      <c r="D1843" s="1796">
        <v>0</v>
      </c>
      <c r="E1843" s="1796">
        <v>0</v>
      </c>
      <c r="F1843" s="1797">
        <v>0</v>
      </c>
      <c r="G1843" s="1999" t="s">
        <v>6331</v>
      </c>
      <c r="H1843" s="1794">
        <v>0</v>
      </c>
      <c r="I1843" s="1794">
        <v>0</v>
      </c>
      <c r="J1843" s="2000">
        <v>0</v>
      </c>
      <c r="K1843" s="1798"/>
      <c r="L1843" s="1792">
        <v>13187960202</v>
      </c>
      <c r="M1843" s="1793">
        <v>0</v>
      </c>
      <c r="N1843" s="1793">
        <v>0</v>
      </c>
      <c r="O1843" s="1794">
        <v>0</v>
      </c>
    </row>
    <row r="1844" spans="3:15">
      <c r="C1844" s="1799" t="s">
        <v>6332</v>
      </c>
      <c r="D1844" s="1796">
        <v>1</v>
      </c>
      <c r="E1844" s="1796">
        <v>1</v>
      </c>
      <c r="F1844" s="1797">
        <v>2</v>
      </c>
      <c r="G1844" s="1999" t="s">
        <v>6332</v>
      </c>
      <c r="H1844" s="1794">
        <v>1</v>
      </c>
      <c r="I1844" s="1794">
        <v>0</v>
      </c>
      <c r="J1844" s="2000">
        <v>1</v>
      </c>
      <c r="K1844" s="1798"/>
      <c r="L1844" s="1792">
        <v>13189950100</v>
      </c>
      <c r="M1844" s="1793">
        <v>1</v>
      </c>
      <c r="N1844" s="1793">
        <v>1</v>
      </c>
      <c r="O1844" s="1794">
        <v>2</v>
      </c>
    </row>
    <row r="1845" spans="3:15">
      <c r="C1845" s="1799" t="s">
        <v>6333</v>
      </c>
      <c r="D1845" s="1796">
        <v>0</v>
      </c>
      <c r="E1845" s="1796">
        <v>0</v>
      </c>
      <c r="F1845" s="1797">
        <v>0</v>
      </c>
      <c r="G1845" s="1999" t="s">
        <v>6333</v>
      </c>
      <c r="H1845" s="1794">
        <v>0</v>
      </c>
      <c r="I1845" s="1794">
        <v>0</v>
      </c>
      <c r="J1845" s="2000">
        <v>0</v>
      </c>
      <c r="K1845" s="1798"/>
      <c r="L1845" s="1792">
        <v>13189950200</v>
      </c>
      <c r="M1845" s="1793">
        <v>0</v>
      </c>
      <c r="N1845" s="1793">
        <v>0</v>
      </c>
      <c r="O1845" s="1794">
        <v>0</v>
      </c>
    </row>
    <row r="1846" spans="3:15">
      <c r="C1846" s="1799" t="s">
        <v>6334</v>
      </c>
      <c r="D1846" s="1796">
        <v>0</v>
      </c>
      <c r="E1846" s="1796">
        <v>0</v>
      </c>
      <c r="F1846" s="1797">
        <v>0</v>
      </c>
      <c r="G1846" s="1999" t="s">
        <v>6334</v>
      </c>
      <c r="H1846" s="1794">
        <v>0</v>
      </c>
      <c r="I1846" s="1794">
        <v>0</v>
      </c>
      <c r="J1846" s="2000">
        <v>0</v>
      </c>
      <c r="K1846" s="1798"/>
      <c r="L1846" s="1792">
        <v>13189950300</v>
      </c>
      <c r="M1846" s="1793">
        <v>0</v>
      </c>
      <c r="N1846" s="1793">
        <v>0</v>
      </c>
      <c r="O1846" s="1794">
        <v>0</v>
      </c>
    </row>
    <row r="1847" spans="3:15">
      <c r="C1847" s="1799" t="s">
        <v>6335</v>
      </c>
      <c r="D1847" s="1796">
        <v>0</v>
      </c>
      <c r="E1847" s="1796">
        <v>0</v>
      </c>
      <c r="F1847" s="1797">
        <v>0</v>
      </c>
      <c r="G1847" s="1999" t="s">
        <v>6335</v>
      </c>
      <c r="H1847" s="1794">
        <v>0</v>
      </c>
      <c r="I1847" s="1794">
        <v>0</v>
      </c>
      <c r="J1847" s="2000">
        <v>0</v>
      </c>
      <c r="K1847" s="1798"/>
      <c r="L1847" s="1792">
        <v>13189950400</v>
      </c>
      <c r="M1847" s="1793">
        <v>0</v>
      </c>
      <c r="N1847" s="1793">
        <v>0</v>
      </c>
      <c r="O1847" s="1794">
        <v>0</v>
      </c>
    </row>
    <row r="1848" spans="3:15">
      <c r="C1848" s="1799" t="s">
        <v>6336</v>
      </c>
      <c r="D1848" s="1796">
        <v>0</v>
      </c>
      <c r="E1848" s="1796">
        <v>0</v>
      </c>
      <c r="F1848" s="1797">
        <v>0</v>
      </c>
      <c r="G1848" s="1999" t="s">
        <v>6336</v>
      </c>
      <c r="H1848" s="1794">
        <v>0</v>
      </c>
      <c r="I1848" s="1794">
        <v>0</v>
      </c>
      <c r="J1848" s="2000">
        <v>0</v>
      </c>
      <c r="K1848" s="1798"/>
      <c r="L1848" s="1792">
        <v>13189950500</v>
      </c>
      <c r="M1848" s="1793">
        <v>0</v>
      </c>
      <c r="N1848" s="1793">
        <v>0</v>
      </c>
      <c r="O1848" s="1794">
        <v>0</v>
      </c>
    </row>
    <row r="1849" spans="3:15">
      <c r="C1849" s="1799" t="s">
        <v>6337</v>
      </c>
      <c r="D1849" s="1796">
        <v>0</v>
      </c>
      <c r="E1849" s="1796">
        <v>0</v>
      </c>
      <c r="F1849" s="1797">
        <v>0</v>
      </c>
      <c r="G1849" s="1999" t="s">
        <v>6337</v>
      </c>
      <c r="H1849" s="1794">
        <v>0</v>
      </c>
      <c r="I1849" s="1794">
        <v>1</v>
      </c>
      <c r="J1849" s="2000">
        <v>1</v>
      </c>
      <c r="K1849" s="1798"/>
      <c r="L1849" s="1792">
        <v>13191110100</v>
      </c>
      <c r="M1849" s="1793">
        <v>0</v>
      </c>
      <c r="N1849" s="1793">
        <v>1</v>
      </c>
      <c r="O1849" s="1794">
        <v>1</v>
      </c>
    </row>
    <row r="1850" spans="3:15">
      <c r="C1850" s="1799" t="s">
        <v>6338</v>
      </c>
      <c r="D1850" s="1796">
        <v>0</v>
      </c>
      <c r="E1850" s="1796">
        <v>0</v>
      </c>
      <c r="F1850" s="1797">
        <v>0</v>
      </c>
      <c r="G1850" s="1999" t="s">
        <v>6338</v>
      </c>
      <c r="H1850" s="1794">
        <v>0</v>
      </c>
      <c r="I1850" s="1794">
        <v>0</v>
      </c>
      <c r="J1850" s="2000">
        <v>0</v>
      </c>
      <c r="K1850" s="1798"/>
      <c r="L1850" s="1792">
        <v>13191110200</v>
      </c>
      <c r="M1850" s="1793">
        <v>0</v>
      </c>
      <c r="N1850" s="1793">
        <v>0</v>
      </c>
      <c r="O1850" s="1794">
        <v>0</v>
      </c>
    </row>
    <row r="1851" spans="3:15">
      <c r="C1851" s="1799" t="s">
        <v>6339</v>
      </c>
      <c r="D1851" s="1796">
        <v>0</v>
      </c>
      <c r="E1851" s="1796">
        <v>0</v>
      </c>
      <c r="F1851" s="1797">
        <v>0</v>
      </c>
      <c r="G1851" s="1999" t="s">
        <v>6339</v>
      </c>
      <c r="H1851" s="1794">
        <v>0</v>
      </c>
      <c r="I1851" s="1794">
        <v>0</v>
      </c>
      <c r="J1851" s="2000">
        <v>0</v>
      </c>
      <c r="K1851" s="1798"/>
      <c r="L1851" s="1792">
        <v>13191110300</v>
      </c>
      <c r="M1851" s="1793">
        <v>0</v>
      </c>
      <c r="N1851" s="1793">
        <v>0</v>
      </c>
      <c r="O1851" s="1794">
        <v>0</v>
      </c>
    </row>
    <row r="1852" spans="3:15">
      <c r="C1852" s="1799" t="s">
        <v>6340</v>
      </c>
      <c r="D1852" s="1796" t="s">
        <v>4483</v>
      </c>
      <c r="E1852" s="1796" t="s">
        <v>4483</v>
      </c>
      <c r="F1852" s="1797">
        <v>0</v>
      </c>
      <c r="G1852" s="1999" t="s">
        <v>6340</v>
      </c>
      <c r="H1852" s="1794" t="s">
        <v>4483</v>
      </c>
      <c r="I1852" s="1794" t="s">
        <v>4483</v>
      </c>
      <c r="J1852" s="2000">
        <v>0</v>
      </c>
      <c r="K1852" s="1798"/>
      <c r="L1852" s="1792">
        <v>13191980000</v>
      </c>
      <c r="M1852" s="1793">
        <v>0</v>
      </c>
      <c r="N1852" s="1793">
        <v>0</v>
      </c>
      <c r="O1852" s="1794">
        <v>0</v>
      </c>
    </row>
    <row r="1853" spans="3:15">
      <c r="C1853" s="1799" t="s">
        <v>6341</v>
      </c>
      <c r="D1853" s="1796" t="s">
        <v>4483</v>
      </c>
      <c r="E1853" s="1796" t="s">
        <v>4483</v>
      </c>
      <c r="F1853" s="1797">
        <v>0</v>
      </c>
      <c r="G1853" s="1999" t="s">
        <v>6341</v>
      </c>
      <c r="H1853" s="1794" t="s">
        <v>4483</v>
      </c>
      <c r="I1853" s="1794" t="s">
        <v>4483</v>
      </c>
      <c r="J1853" s="2000">
        <v>0</v>
      </c>
      <c r="K1853" s="1798"/>
      <c r="L1853" s="1792">
        <v>13191990000</v>
      </c>
      <c r="M1853" s="1793">
        <v>0</v>
      </c>
      <c r="N1853" s="1793">
        <v>0</v>
      </c>
      <c r="O1853" s="1794">
        <v>0</v>
      </c>
    </row>
    <row r="1854" spans="3:15">
      <c r="C1854" s="1799" t="s">
        <v>6342</v>
      </c>
      <c r="D1854" s="1796">
        <v>0</v>
      </c>
      <c r="E1854" s="1796">
        <v>0</v>
      </c>
      <c r="F1854" s="1797">
        <v>0</v>
      </c>
      <c r="G1854" s="1999" t="s">
        <v>6342</v>
      </c>
      <c r="H1854" s="1794">
        <v>0</v>
      </c>
      <c r="I1854" s="1794" t="s">
        <v>4483</v>
      </c>
      <c r="J1854" s="2000">
        <v>0</v>
      </c>
      <c r="K1854" s="1798"/>
      <c r="L1854" s="1792">
        <v>13193000100</v>
      </c>
      <c r="M1854" s="1793">
        <v>0</v>
      </c>
      <c r="N1854" s="1793">
        <v>0</v>
      </c>
      <c r="O1854" s="1794">
        <v>0</v>
      </c>
    </row>
    <row r="1855" spans="3:15">
      <c r="C1855" s="1799" t="s">
        <v>6343</v>
      </c>
      <c r="D1855" s="1796">
        <v>0</v>
      </c>
      <c r="E1855" s="1796">
        <v>0</v>
      </c>
      <c r="F1855" s="1797">
        <v>0</v>
      </c>
      <c r="G1855" s="1999" t="s">
        <v>6343</v>
      </c>
      <c r="H1855" s="1794">
        <v>0</v>
      </c>
      <c r="I1855" s="1794">
        <v>0</v>
      </c>
      <c r="J1855" s="2000">
        <v>0</v>
      </c>
      <c r="K1855" s="1798"/>
      <c r="L1855" s="1792">
        <v>13193000200</v>
      </c>
      <c r="M1855" s="1793">
        <v>0</v>
      </c>
      <c r="N1855" s="1793">
        <v>0</v>
      </c>
      <c r="O1855" s="1794">
        <v>0</v>
      </c>
    </row>
    <row r="1856" spans="3:15">
      <c r="C1856" s="1799" t="s">
        <v>6344</v>
      </c>
      <c r="D1856" s="1796">
        <v>0</v>
      </c>
      <c r="E1856" s="1796">
        <v>0</v>
      </c>
      <c r="F1856" s="1797">
        <v>0</v>
      </c>
      <c r="G1856" s="1999" t="s">
        <v>6344</v>
      </c>
      <c r="H1856" s="1794">
        <v>0</v>
      </c>
      <c r="I1856" s="1794">
        <v>1</v>
      </c>
      <c r="J1856" s="2000">
        <v>1</v>
      </c>
      <c r="K1856" s="1798"/>
      <c r="L1856" s="1792">
        <v>13193000300</v>
      </c>
      <c r="M1856" s="1793">
        <v>0</v>
      </c>
      <c r="N1856" s="1793">
        <v>1</v>
      </c>
      <c r="O1856" s="1794">
        <v>1</v>
      </c>
    </row>
    <row r="1857" spans="3:15">
      <c r="C1857" s="1799" t="s">
        <v>6345</v>
      </c>
      <c r="D1857" s="1796">
        <v>0</v>
      </c>
      <c r="E1857" s="1796">
        <v>0</v>
      </c>
      <c r="F1857" s="1797">
        <v>0</v>
      </c>
      <c r="G1857" s="1999" t="s">
        <v>6345</v>
      </c>
      <c r="H1857" s="1794">
        <v>0</v>
      </c>
      <c r="I1857" s="1794">
        <v>0</v>
      </c>
      <c r="J1857" s="2000">
        <v>0</v>
      </c>
      <c r="K1857" s="1798"/>
      <c r="L1857" s="1792">
        <v>13193000400</v>
      </c>
      <c r="M1857" s="1793">
        <v>0</v>
      </c>
      <c r="N1857" s="1793">
        <v>0</v>
      </c>
      <c r="O1857" s="1794">
        <v>0</v>
      </c>
    </row>
    <row r="1858" spans="3:15">
      <c r="C1858" s="1799" t="s">
        <v>6346</v>
      </c>
      <c r="D1858" s="1796">
        <v>0</v>
      </c>
      <c r="E1858" s="1796">
        <v>0</v>
      </c>
      <c r="F1858" s="1797">
        <v>0</v>
      </c>
      <c r="G1858" s="1999" t="s">
        <v>6346</v>
      </c>
      <c r="H1858" s="1794">
        <v>0</v>
      </c>
      <c r="I1858" s="1794">
        <v>0</v>
      </c>
      <c r="J1858" s="2000">
        <v>0</v>
      </c>
      <c r="K1858" s="1798"/>
      <c r="L1858" s="1792">
        <v>13195020100</v>
      </c>
      <c r="M1858" s="1793">
        <v>0</v>
      </c>
      <c r="N1858" s="1793">
        <v>0</v>
      </c>
      <c r="O1858" s="1794">
        <v>0</v>
      </c>
    </row>
    <row r="1859" spans="3:15">
      <c r="C1859" s="1799" t="s">
        <v>6347</v>
      </c>
      <c r="D1859" s="1796">
        <v>0</v>
      </c>
      <c r="E1859" s="1796">
        <v>0</v>
      </c>
      <c r="F1859" s="1797">
        <v>0</v>
      </c>
      <c r="G1859" s="1999" t="s">
        <v>6347</v>
      </c>
      <c r="H1859" s="1794">
        <v>0</v>
      </c>
      <c r="I1859" s="1794">
        <v>0</v>
      </c>
      <c r="J1859" s="2000">
        <v>0</v>
      </c>
      <c r="K1859" s="1798"/>
      <c r="L1859" s="1792">
        <v>13195020200</v>
      </c>
      <c r="M1859" s="1793">
        <v>0</v>
      </c>
      <c r="N1859" s="1793">
        <v>0</v>
      </c>
      <c r="O1859" s="1794">
        <v>0</v>
      </c>
    </row>
    <row r="1860" spans="3:15">
      <c r="C1860" s="1799" t="s">
        <v>6348</v>
      </c>
      <c r="D1860" s="1796">
        <v>0</v>
      </c>
      <c r="E1860" s="1796">
        <v>0</v>
      </c>
      <c r="F1860" s="1797">
        <v>0</v>
      </c>
      <c r="G1860" s="1999" t="s">
        <v>6348</v>
      </c>
      <c r="H1860" s="1794">
        <v>0</v>
      </c>
      <c r="I1860" s="1794">
        <v>0</v>
      </c>
      <c r="J1860" s="2000">
        <v>0</v>
      </c>
      <c r="K1860" s="1798"/>
      <c r="L1860" s="1792">
        <v>13195020300</v>
      </c>
      <c r="M1860" s="1793">
        <v>0</v>
      </c>
      <c r="N1860" s="1793">
        <v>0</v>
      </c>
      <c r="O1860" s="1794">
        <v>0</v>
      </c>
    </row>
    <row r="1861" spans="3:15">
      <c r="C1861" s="1799" t="s">
        <v>6349</v>
      </c>
      <c r="D1861" s="1796">
        <v>1</v>
      </c>
      <c r="E1861" s="1796">
        <v>1</v>
      </c>
      <c r="F1861" s="1797">
        <v>2</v>
      </c>
      <c r="G1861" s="1999" t="s">
        <v>6349</v>
      </c>
      <c r="H1861" s="1794">
        <v>0</v>
      </c>
      <c r="I1861" s="1794">
        <v>0</v>
      </c>
      <c r="J1861" s="2000">
        <v>0</v>
      </c>
      <c r="K1861" s="1798"/>
      <c r="L1861" s="1792">
        <v>13195020400</v>
      </c>
      <c r="M1861" s="1793">
        <v>1</v>
      </c>
      <c r="N1861" s="1793">
        <v>1</v>
      </c>
      <c r="O1861" s="1794">
        <v>2</v>
      </c>
    </row>
    <row r="1862" spans="3:15">
      <c r="C1862" s="1799" t="s">
        <v>6350</v>
      </c>
      <c r="D1862" s="1796">
        <v>0</v>
      </c>
      <c r="E1862" s="1796">
        <v>1</v>
      </c>
      <c r="F1862" s="1797">
        <v>1</v>
      </c>
      <c r="G1862" s="1999" t="s">
        <v>6350</v>
      </c>
      <c r="H1862" s="1794">
        <v>0</v>
      </c>
      <c r="I1862" s="1794">
        <v>0</v>
      </c>
      <c r="J1862" s="2000">
        <v>0</v>
      </c>
      <c r="K1862" s="1798"/>
      <c r="L1862" s="1792">
        <v>13195020500</v>
      </c>
      <c r="M1862" s="1793">
        <v>0</v>
      </c>
      <c r="N1862" s="1793">
        <v>1</v>
      </c>
      <c r="O1862" s="1794">
        <v>1</v>
      </c>
    </row>
    <row r="1863" spans="3:15">
      <c r="C1863" s="1799" t="s">
        <v>6351</v>
      </c>
      <c r="D1863" s="1796">
        <v>1</v>
      </c>
      <c r="E1863" s="1796">
        <v>0</v>
      </c>
      <c r="F1863" s="1797">
        <v>1</v>
      </c>
      <c r="G1863" s="1999" t="s">
        <v>6351</v>
      </c>
      <c r="H1863" s="1794">
        <v>0</v>
      </c>
      <c r="I1863" s="1794">
        <v>0</v>
      </c>
      <c r="J1863" s="2000">
        <v>0</v>
      </c>
      <c r="K1863" s="1798"/>
      <c r="L1863" s="1792">
        <v>13195020600</v>
      </c>
      <c r="M1863" s="1793">
        <v>1</v>
      </c>
      <c r="N1863" s="1793">
        <v>0</v>
      </c>
      <c r="O1863" s="1794">
        <v>1</v>
      </c>
    </row>
    <row r="1864" spans="3:15">
      <c r="C1864" s="1799" t="s">
        <v>6352</v>
      </c>
      <c r="D1864" s="1796">
        <v>0</v>
      </c>
      <c r="E1864" s="1796">
        <v>0</v>
      </c>
      <c r="F1864" s="1797">
        <v>0</v>
      </c>
      <c r="G1864" s="1999" t="s">
        <v>6352</v>
      </c>
      <c r="H1864" s="1794">
        <v>0</v>
      </c>
      <c r="I1864" s="1794">
        <v>0</v>
      </c>
      <c r="J1864" s="2000">
        <v>0</v>
      </c>
      <c r="K1864" s="1798"/>
      <c r="L1864" s="1792">
        <v>13197920100</v>
      </c>
      <c r="M1864" s="1793">
        <v>0</v>
      </c>
      <c r="N1864" s="1793">
        <v>0</v>
      </c>
      <c r="O1864" s="1794">
        <v>0</v>
      </c>
    </row>
    <row r="1865" spans="3:15">
      <c r="C1865" s="1799" t="s">
        <v>6353</v>
      </c>
      <c r="D1865" s="1796">
        <v>0</v>
      </c>
      <c r="E1865" s="1796">
        <v>0</v>
      </c>
      <c r="F1865" s="1797">
        <v>0</v>
      </c>
      <c r="G1865" s="1999" t="s">
        <v>6353</v>
      </c>
      <c r="H1865" s="1794">
        <v>0</v>
      </c>
      <c r="I1865" s="1794">
        <v>0</v>
      </c>
      <c r="J1865" s="2000">
        <v>0</v>
      </c>
      <c r="K1865" s="1798"/>
      <c r="L1865" s="1792">
        <v>13197920200</v>
      </c>
      <c r="M1865" s="1793">
        <v>0</v>
      </c>
      <c r="N1865" s="1793">
        <v>0</v>
      </c>
      <c r="O1865" s="1794">
        <v>0</v>
      </c>
    </row>
    <row r="1866" spans="3:15">
      <c r="C1866" s="1799" t="s">
        <v>6354</v>
      </c>
      <c r="D1866" s="1796">
        <v>0</v>
      </c>
      <c r="E1866" s="1796">
        <v>0</v>
      </c>
      <c r="F1866" s="1797">
        <v>0</v>
      </c>
      <c r="G1866" s="1999" t="s">
        <v>6354</v>
      </c>
      <c r="H1866" s="1794">
        <v>0</v>
      </c>
      <c r="I1866" s="1794">
        <v>0</v>
      </c>
      <c r="J1866" s="2000">
        <v>0</v>
      </c>
      <c r="K1866" s="1798"/>
      <c r="L1866" s="1792">
        <v>13199970500</v>
      </c>
      <c r="M1866" s="1793">
        <v>0</v>
      </c>
      <c r="N1866" s="1793">
        <v>0</v>
      </c>
      <c r="O1866" s="1794">
        <v>0</v>
      </c>
    </row>
    <row r="1867" spans="3:15">
      <c r="C1867" s="1799" t="s">
        <v>6355</v>
      </c>
      <c r="D1867" s="1796">
        <v>0</v>
      </c>
      <c r="E1867" s="1796">
        <v>0</v>
      </c>
      <c r="F1867" s="1797">
        <v>0</v>
      </c>
      <c r="G1867" s="1999" t="s">
        <v>6355</v>
      </c>
      <c r="H1867" s="1794">
        <v>0</v>
      </c>
      <c r="I1867" s="1794">
        <v>0</v>
      </c>
      <c r="J1867" s="2000">
        <v>0</v>
      </c>
      <c r="K1867" s="1798"/>
      <c r="L1867" s="1792">
        <v>13199970600</v>
      </c>
      <c r="M1867" s="1793">
        <v>0</v>
      </c>
      <c r="N1867" s="1793">
        <v>0</v>
      </c>
      <c r="O1867" s="1794">
        <v>0</v>
      </c>
    </row>
    <row r="1868" spans="3:15">
      <c r="C1868" s="1799" t="s">
        <v>6356</v>
      </c>
      <c r="D1868" s="1796">
        <v>0</v>
      </c>
      <c r="E1868" s="1796">
        <v>0</v>
      </c>
      <c r="F1868" s="1797">
        <v>0</v>
      </c>
      <c r="G1868" s="1999" t="s">
        <v>6356</v>
      </c>
      <c r="H1868" s="1794">
        <v>0</v>
      </c>
      <c r="I1868" s="1794">
        <v>0</v>
      </c>
      <c r="J1868" s="2000">
        <v>0</v>
      </c>
      <c r="K1868" s="1798"/>
      <c r="L1868" s="1792">
        <v>13199970700</v>
      </c>
      <c r="M1868" s="1793">
        <v>0</v>
      </c>
      <c r="N1868" s="1793">
        <v>0</v>
      </c>
      <c r="O1868" s="1794">
        <v>0</v>
      </c>
    </row>
    <row r="1869" spans="3:15">
      <c r="C1869" s="1799" t="s">
        <v>6357</v>
      </c>
      <c r="D1869" s="1796">
        <v>0</v>
      </c>
      <c r="E1869" s="1796">
        <v>0</v>
      </c>
      <c r="F1869" s="1797">
        <v>0</v>
      </c>
      <c r="G1869" s="1999" t="s">
        <v>6357</v>
      </c>
      <c r="H1869" s="1794">
        <v>0</v>
      </c>
      <c r="I1869" s="1794">
        <v>0</v>
      </c>
      <c r="J1869" s="2000">
        <v>0</v>
      </c>
      <c r="K1869" s="1798"/>
      <c r="L1869" s="1792">
        <v>13199970800</v>
      </c>
      <c r="M1869" s="1793">
        <v>0</v>
      </c>
      <c r="N1869" s="1793">
        <v>0</v>
      </c>
      <c r="O1869" s="1794">
        <v>0</v>
      </c>
    </row>
    <row r="1870" spans="3:15">
      <c r="C1870" s="1799" t="s">
        <v>6358</v>
      </c>
      <c r="D1870" s="1796">
        <v>0</v>
      </c>
      <c r="E1870" s="1796">
        <v>0</v>
      </c>
      <c r="F1870" s="1797">
        <v>0</v>
      </c>
      <c r="G1870" s="1999" t="s">
        <v>6358</v>
      </c>
      <c r="H1870" s="1794">
        <v>0</v>
      </c>
      <c r="I1870" s="1794">
        <v>0</v>
      </c>
      <c r="J1870" s="2000">
        <v>0</v>
      </c>
      <c r="K1870" s="1798"/>
      <c r="L1870" s="1792">
        <v>13201950100</v>
      </c>
      <c r="M1870" s="1793">
        <v>0</v>
      </c>
      <c r="N1870" s="1793">
        <v>0</v>
      </c>
      <c r="O1870" s="1794">
        <v>0</v>
      </c>
    </row>
    <row r="1871" spans="3:15">
      <c r="C1871" s="1799" t="s">
        <v>6359</v>
      </c>
      <c r="D1871" s="1796">
        <v>0</v>
      </c>
      <c r="E1871" s="1796">
        <v>0</v>
      </c>
      <c r="F1871" s="1797">
        <v>0</v>
      </c>
      <c r="G1871" s="1999" t="s">
        <v>6359</v>
      </c>
      <c r="H1871" s="1794">
        <v>0</v>
      </c>
      <c r="I1871" s="1794">
        <v>0</v>
      </c>
      <c r="J1871" s="2000">
        <v>0</v>
      </c>
      <c r="K1871" s="1798"/>
      <c r="L1871" s="1792">
        <v>13201950200</v>
      </c>
      <c r="M1871" s="1793">
        <v>0</v>
      </c>
      <c r="N1871" s="1793">
        <v>0</v>
      </c>
      <c r="O1871" s="1794">
        <v>0</v>
      </c>
    </row>
    <row r="1872" spans="3:15">
      <c r="C1872" s="1799" t="s">
        <v>6360</v>
      </c>
      <c r="D1872" s="1796">
        <v>1</v>
      </c>
      <c r="E1872" s="1796">
        <v>0</v>
      </c>
      <c r="F1872" s="1797">
        <v>1</v>
      </c>
      <c r="G1872" s="1999" t="s">
        <v>6360</v>
      </c>
      <c r="H1872" s="1794">
        <v>1</v>
      </c>
      <c r="I1872" s="1794">
        <v>1</v>
      </c>
      <c r="J1872" s="2000">
        <v>2</v>
      </c>
      <c r="K1872" s="1798"/>
      <c r="L1872" s="1792">
        <v>13201950300</v>
      </c>
      <c r="M1872" s="1793">
        <v>1</v>
      </c>
      <c r="N1872" s="1793">
        <v>1</v>
      </c>
      <c r="O1872" s="1794">
        <v>2</v>
      </c>
    </row>
    <row r="1873" spans="3:15">
      <c r="C1873" s="1799" t="s">
        <v>6361</v>
      </c>
      <c r="D1873" s="1796">
        <v>0</v>
      </c>
      <c r="E1873" s="1796">
        <v>0</v>
      </c>
      <c r="F1873" s="1797">
        <v>0</v>
      </c>
      <c r="G1873" s="1999" t="s">
        <v>6361</v>
      </c>
      <c r="H1873" s="1794">
        <v>0</v>
      </c>
      <c r="I1873" s="1794">
        <v>0</v>
      </c>
      <c r="J1873" s="2000">
        <v>0</v>
      </c>
      <c r="K1873" s="1798"/>
      <c r="L1873" s="1792">
        <v>13205090100</v>
      </c>
      <c r="M1873" s="1793">
        <v>0</v>
      </c>
      <c r="N1873" s="1793">
        <v>0</v>
      </c>
      <c r="O1873" s="1794">
        <v>0</v>
      </c>
    </row>
    <row r="1874" spans="3:15">
      <c r="C1874" s="1799" t="s">
        <v>6362</v>
      </c>
      <c r="D1874" s="1796">
        <v>0</v>
      </c>
      <c r="E1874" s="1796">
        <v>0</v>
      </c>
      <c r="F1874" s="1797">
        <v>0</v>
      </c>
      <c r="G1874" s="1999" t="s">
        <v>6362</v>
      </c>
      <c r="H1874" s="1794">
        <v>0</v>
      </c>
      <c r="I1874" s="1794">
        <v>0</v>
      </c>
      <c r="J1874" s="2000">
        <v>0</v>
      </c>
      <c r="K1874" s="1798"/>
      <c r="L1874" s="1792">
        <v>13205090200</v>
      </c>
      <c r="M1874" s="1793">
        <v>0</v>
      </c>
      <c r="N1874" s="1793">
        <v>0</v>
      </c>
      <c r="O1874" s="1794">
        <v>0</v>
      </c>
    </row>
    <row r="1875" spans="3:15">
      <c r="C1875" s="1799" t="s">
        <v>6363</v>
      </c>
      <c r="D1875" s="1796">
        <v>0</v>
      </c>
      <c r="E1875" s="1796">
        <v>0</v>
      </c>
      <c r="F1875" s="1797">
        <v>0</v>
      </c>
      <c r="G1875" s="1999" t="s">
        <v>6363</v>
      </c>
      <c r="H1875" s="1794">
        <v>0</v>
      </c>
      <c r="I1875" s="1794">
        <v>0</v>
      </c>
      <c r="J1875" s="2000">
        <v>0</v>
      </c>
      <c r="K1875" s="1798"/>
      <c r="L1875" s="1792">
        <v>13205090300</v>
      </c>
      <c r="M1875" s="1793">
        <v>0</v>
      </c>
      <c r="N1875" s="1793">
        <v>0</v>
      </c>
      <c r="O1875" s="1794">
        <v>0</v>
      </c>
    </row>
    <row r="1876" spans="3:15">
      <c r="C1876" s="1799" t="s">
        <v>6364</v>
      </c>
      <c r="D1876" s="1796">
        <v>0</v>
      </c>
      <c r="E1876" s="1796">
        <v>0</v>
      </c>
      <c r="F1876" s="1797">
        <v>0</v>
      </c>
      <c r="G1876" s="1999" t="s">
        <v>6364</v>
      </c>
      <c r="H1876" s="1794">
        <v>0</v>
      </c>
      <c r="I1876" s="1794">
        <v>0</v>
      </c>
      <c r="J1876" s="2000">
        <v>0</v>
      </c>
      <c r="K1876" s="1798"/>
      <c r="L1876" s="1792">
        <v>13205090400</v>
      </c>
      <c r="M1876" s="1793">
        <v>0</v>
      </c>
      <c r="N1876" s="1793">
        <v>0</v>
      </c>
      <c r="O1876" s="1794">
        <v>0</v>
      </c>
    </row>
    <row r="1877" spans="3:15">
      <c r="C1877" s="1799" t="s">
        <v>6365</v>
      </c>
      <c r="D1877" s="1796">
        <v>0</v>
      </c>
      <c r="E1877" s="1796">
        <v>0</v>
      </c>
      <c r="F1877" s="1797">
        <v>0</v>
      </c>
      <c r="G1877" s="1999" t="s">
        <v>6365</v>
      </c>
      <c r="H1877" s="1794">
        <v>0</v>
      </c>
      <c r="I1877" s="1794">
        <v>0</v>
      </c>
      <c r="J1877" s="2000">
        <v>0</v>
      </c>
      <c r="K1877" s="1798"/>
      <c r="L1877" s="1792">
        <v>13205090500</v>
      </c>
      <c r="M1877" s="1793">
        <v>0</v>
      </c>
      <c r="N1877" s="1793">
        <v>0</v>
      </c>
      <c r="O1877" s="1794">
        <v>0</v>
      </c>
    </row>
    <row r="1878" spans="3:15">
      <c r="C1878" s="1799" t="s">
        <v>6366</v>
      </c>
      <c r="D1878" s="1796">
        <v>0</v>
      </c>
      <c r="E1878" s="1796">
        <v>0</v>
      </c>
      <c r="F1878" s="1797">
        <v>0</v>
      </c>
      <c r="G1878" s="1999" t="s">
        <v>6366</v>
      </c>
      <c r="H1878" s="1794">
        <v>0</v>
      </c>
      <c r="I1878" s="1794">
        <v>0</v>
      </c>
      <c r="J1878" s="2000">
        <v>0</v>
      </c>
      <c r="K1878" s="1798"/>
      <c r="L1878" s="1792">
        <v>13207050101</v>
      </c>
      <c r="M1878" s="1793">
        <v>0</v>
      </c>
      <c r="N1878" s="1793">
        <v>0</v>
      </c>
      <c r="O1878" s="1794">
        <v>0</v>
      </c>
    </row>
    <row r="1879" spans="3:15">
      <c r="C1879" s="1799" t="s">
        <v>6367</v>
      </c>
      <c r="D1879" s="1796">
        <v>0</v>
      </c>
      <c r="E1879" s="1796">
        <v>0</v>
      </c>
      <c r="F1879" s="1797">
        <v>0</v>
      </c>
      <c r="G1879" s="1999" t="s">
        <v>6367</v>
      </c>
      <c r="H1879" s="1794">
        <v>0</v>
      </c>
      <c r="I1879" s="1794">
        <v>0</v>
      </c>
      <c r="J1879" s="2000">
        <v>0</v>
      </c>
      <c r="K1879" s="1798"/>
      <c r="L1879" s="1792">
        <v>13207050102</v>
      </c>
      <c r="M1879" s="1793">
        <v>0</v>
      </c>
      <c r="N1879" s="1793">
        <v>0</v>
      </c>
      <c r="O1879" s="1794">
        <v>0</v>
      </c>
    </row>
    <row r="1880" spans="3:15">
      <c r="C1880" s="1799" t="s">
        <v>6368</v>
      </c>
      <c r="D1880" s="1796">
        <v>0</v>
      </c>
      <c r="E1880" s="1796">
        <v>0</v>
      </c>
      <c r="F1880" s="1797">
        <v>0</v>
      </c>
      <c r="G1880" s="1999" t="s">
        <v>6368</v>
      </c>
      <c r="H1880" s="1794">
        <v>0</v>
      </c>
      <c r="I1880" s="1794">
        <v>0</v>
      </c>
      <c r="J1880" s="2000">
        <v>0</v>
      </c>
      <c r="K1880" s="1798"/>
      <c r="L1880" s="1792">
        <v>13207050200</v>
      </c>
      <c r="M1880" s="1793">
        <v>0</v>
      </c>
      <c r="N1880" s="1793">
        <v>0</v>
      </c>
      <c r="O1880" s="1794">
        <v>0</v>
      </c>
    </row>
    <row r="1881" spans="3:15">
      <c r="C1881" s="1799" t="s">
        <v>6369</v>
      </c>
      <c r="D1881" s="1796">
        <v>0</v>
      </c>
      <c r="E1881" s="1796">
        <v>1</v>
      </c>
      <c r="F1881" s="1797">
        <v>1</v>
      </c>
      <c r="G1881" s="1999" t="s">
        <v>6369</v>
      </c>
      <c r="H1881" s="1794">
        <v>0</v>
      </c>
      <c r="I1881" s="1794">
        <v>1</v>
      </c>
      <c r="J1881" s="2000">
        <v>1</v>
      </c>
      <c r="K1881" s="1798"/>
      <c r="L1881" s="1792">
        <v>13207050301</v>
      </c>
      <c r="M1881" s="1793">
        <v>0</v>
      </c>
      <c r="N1881" s="1793">
        <v>1</v>
      </c>
      <c r="O1881" s="1794">
        <v>1</v>
      </c>
    </row>
    <row r="1882" spans="3:15">
      <c r="C1882" s="1799" t="s">
        <v>6370</v>
      </c>
      <c r="D1882" s="1796">
        <v>1</v>
      </c>
      <c r="E1882" s="1796">
        <v>1</v>
      </c>
      <c r="F1882" s="1797">
        <v>2</v>
      </c>
      <c r="G1882" s="1999" t="s">
        <v>6370</v>
      </c>
      <c r="H1882" s="1794">
        <v>1</v>
      </c>
      <c r="I1882" s="1794">
        <v>1</v>
      </c>
      <c r="J1882" s="2000">
        <v>2</v>
      </c>
      <c r="K1882" s="1798"/>
      <c r="L1882" s="1792">
        <v>13207050302</v>
      </c>
      <c r="M1882" s="1793">
        <v>1</v>
      </c>
      <c r="N1882" s="1793">
        <v>1</v>
      </c>
      <c r="O1882" s="1794">
        <v>2</v>
      </c>
    </row>
    <row r="1883" spans="3:15">
      <c r="C1883" s="1799" t="s">
        <v>6371</v>
      </c>
      <c r="D1883" s="1796">
        <v>0</v>
      </c>
      <c r="E1883" s="1796">
        <v>0</v>
      </c>
      <c r="F1883" s="1797">
        <v>0</v>
      </c>
      <c r="G1883" s="1999" t="s">
        <v>6371</v>
      </c>
      <c r="H1883" s="1794">
        <v>0</v>
      </c>
      <c r="I1883" s="1794">
        <v>0</v>
      </c>
      <c r="J1883" s="2000">
        <v>0</v>
      </c>
      <c r="K1883" s="1798"/>
      <c r="L1883" s="1792">
        <v>13209950100</v>
      </c>
      <c r="M1883" s="1793">
        <v>0</v>
      </c>
      <c r="N1883" s="1793">
        <v>0</v>
      </c>
      <c r="O1883" s="1794">
        <v>0</v>
      </c>
    </row>
    <row r="1884" spans="3:15">
      <c r="C1884" s="1799" t="s">
        <v>6372</v>
      </c>
      <c r="D1884" s="1796">
        <v>0</v>
      </c>
      <c r="E1884" s="1796">
        <v>0</v>
      </c>
      <c r="F1884" s="1797">
        <v>0</v>
      </c>
      <c r="G1884" s="1999" t="s">
        <v>6372</v>
      </c>
      <c r="H1884" s="1794">
        <v>0</v>
      </c>
      <c r="I1884" s="1794">
        <v>1</v>
      </c>
      <c r="J1884" s="2000">
        <v>1</v>
      </c>
      <c r="K1884" s="1798"/>
      <c r="L1884" s="1792">
        <v>13209950200</v>
      </c>
      <c r="M1884" s="1793">
        <v>0</v>
      </c>
      <c r="N1884" s="1793">
        <v>1</v>
      </c>
      <c r="O1884" s="1794">
        <v>1</v>
      </c>
    </row>
    <row r="1885" spans="3:15">
      <c r="C1885" s="1799" t="s">
        <v>6373</v>
      </c>
      <c r="D1885" s="1796">
        <v>0</v>
      </c>
      <c r="E1885" s="1796">
        <v>0</v>
      </c>
      <c r="F1885" s="1797">
        <v>0</v>
      </c>
      <c r="G1885" s="1999" t="s">
        <v>6373</v>
      </c>
      <c r="H1885" s="1794">
        <v>0</v>
      </c>
      <c r="I1885" s="1794">
        <v>0</v>
      </c>
      <c r="J1885" s="2000">
        <v>0</v>
      </c>
      <c r="K1885" s="1798"/>
      <c r="L1885" s="1792">
        <v>13209950300</v>
      </c>
      <c r="M1885" s="1793">
        <v>0</v>
      </c>
      <c r="N1885" s="1793">
        <v>0</v>
      </c>
      <c r="O1885" s="1794">
        <v>0</v>
      </c>
    </row>
    <row r="1886" spans="3:15">
      <c r="C1886" s="1799" t="s">
        <v>6374</v>
      </c>
      <c r="D1886" s="1796">
        <v>1</v>
      </c>
      <c r="E1886" s="1796">
        <v>1</v>
      </c>
      <c r="F1886" s="1797">
        <v>2</v>
      </c>
      <c r="G1886" s="1999" t="s">
        <v>6374</v>
      </c>
      <c r="H1886" s="1794">
        <v>1</v>
      </c>
      <c r="I1886" s="1794">
        <v>1</v>
      </c>
      <c r="J1886" s="2000">
        <v>2</v>
      </c>
      <c r="K1886" s="1798"/>
      <c r="L1886" s="1792">
        <v>13211010100</v>
      </c>
      <c r="M1886" s="1793">
        <v>1</v>
      </c>
      <c r="N1886" s="1793">
        <v>1</v>
      </c>
      <c r="O1886" s="1794">
        <v>2</v>
      </c>
    </row>
    <row r="1887" spans="3:15">
      <c r="C1887" s="1799" t="s">
        <v>6375</v>
      </c>
      <c r="D1887" s="1796">
        <v>0</v>
      </c>
      <c r="E1887" s="1796">
        <v>0</v>
      </c>
      <c r="F1887" s="1797">
        <v>0</v>
      </c>
      <c r="G1887" s="1999" t="s">
        <v>6375</v>
      </c>
      <c r="H1887" s="1794">
        <v>0</v>
      </c>
      <c r="I1887" s="1794">
        <v>0</v>
      </c>
      <c r="J1887" s="2000">
        <v>0</v>
      </c>
      <c r="K1887" s="1798"/>
      <c r="L1887" s="1792">
        <v>13211010200</v>
      </c>
      <c r="M1887" s="1793">
        <v>0</v>
      </c>
      <c r="N1887" s="1793">
        <v>0</v>
      </c>
      <c r="O1887" s="1794">
        <v>0</v>
      </c>
    </row>
    <row r="1888" spans="3:15">
      <c r="C1888" s="1799" t="s">
        <v>6376</v>
      </c>
      <c r="D1888" s="1796">
        <v>1</v>
      </c>
      <c r="E1888" s="1796">
        <v>1</v>
      </c>
      <c r="F1888" s="1797">
        <v>2</v>
      </c>
      <c r="G1888" s="1999" t="s">
        <v>6376</v>
      </c>
      <c r="H1888" s="1794">
        <v>0</v>
      </c>
      <c r="I1888" s="1794">
        <v>1</v>
      </c>
      <c r="J1888" s="2000">
        <v>1</v>
      </c>
      <c r="K1888" s="1798"/>
      <c r="L1888" s="1792">
        <v>13211010300</v>
      </c>
      <c r="M1888" s="1793">
        <v>1</v>
      </c>
      <c r="N1888" s="1793">
        <v>1</v>
      </c>
      <c r="O1888" s="1794">
        <v>2</v>
      </c>
    </row>
    <row r="1889" spans="3:15">
      <c r="C1889" s="1799" t="s">
        <v>6377</v>
      </c>
      <c r="D1889" s="1796">
        <v>1</v>
      </c>
      <c r="E1889" s="1796">
        <v>0</v>
      </c>
      <c r="F1889" s="1797">
        <v>1</v>
      </c>
      <c r="G1889" s="1999" t="s">
        <v>6377</v>
      </c>
      <c r="H1889" s="1794">
        <v>1</v>
      </c>
      <c r="I1889" s="1794">
        <v>0</v>
      </c>
      <c r="J1889" s="2000">
        <v>1</v>
      </c>
      <c r="K1889" s="1798"/>
      <c r="L1889" s="1792">
        <v>13211010400</v>
      </c>
      <c r="M1889" s="1793">
        <v>1</v>
      </c>
      <c r="N1889" s="1793">
        <v>0</v>
      </c>
      <c r="O1889" s="1794">
        <v>1</v>
      </c>
    </row>
    <row r="1890" spans="3:15">
      <c r="C1890" s="1799" t="s">
        <v>6378</v>
      </c>
      <c r="D1890" s="1796">
        <v>1</v>
      </c>
      <c r="E1890" s="1796">
        <v>1</v>
      </c>
      <c r="F1890" s="1797">
        <v>2</v>
      </c>
      <c r="G1890" s="1999" t="s">
        <v>6378</v>
      </c>
      <c r="H1890" s="1794">
        <v>1</v>
      </c>
      <c r="I1890" s="1794">
        <v>0</v>
      </c>
      <c r="J1890" s="2000">
        <v>1</v>
      </c>
      <c r="K1890" s="1798"/>
      <c r="L1890" s="1792">
        <v>13211010500</v>
      </c>
      <c r="M1890" s="1793">
        <v>1</v>
      </c>
      <c r="N1890" s="1793">
        <v>1</v>
      </c>
      <c r="O1890" s="1794">
        <v>2</v>
      </c>
    </row>
    <row r="1891" spans="3:15">
      <c r="C1891" s="1799" t="s">
        <v>6379</v>
      </c>
      <c r="D1891" s="1796">
        <v>0</v>
      </c>
      <c r="E1891" s="1796">
        <v>0</v>
      </c>
      <c r="F1891" s="1797">
        <v>0</v>
      </c>
      <c r="G1891" s="1999" t="s">
        <v>6379</v>
      </c>
      <c r="H1891" s="1794">
        <v>0</v>
      </c>
      <c r="I1891" s="1794">
        <v>0</v>
      </c>
      <c r="J1891" s="2000">
        <v>0</v>
      </c>
      <c r="K1891" s="1798"/>
      <c r="L1891" s="1792">
        <v>13213010100</v>
      </c>
      <c r="M1891" s="1793">
        <v>0</v>
      </c>
      <c r="N1891" s="1793">
        <v>0</v>
      </c>
      <c r="O1891" s="1794">
        <v>0</v>
      </c>
    </row>
    <row r="1892" spans="3:15">
      <c r="C1892" s="1799" t="s">
        <v>6380</v>
      </c>
      <c r="D1892" s="1796">
        <v>0</v>
      </c>
      <c r="E1892" s="1796">
        <v>0</v>
      </c>
      <c r="F1892" s="1797">
        <v>0</v>
      </c>
      <c r="G1892" s="1999" t="s">
        <v>6380</v>
      </c>
      <c r="H1892" s="1794">
        <v>0</v>
      </c>
      <c r="I1892" s="1794">
        <v>0</v>
      </c>
      <c r="J1892" s="2000">
        <v>0</v>
      </c>
      <c r="K1892" s="1798"/>
      <c r="L1892" s="1792">
        <v>13213010201</v>
      </c>
      <c r="M1892" s="1793">
        <v>0</v>
      </c>
      <c r="N1892" s="1793">
        <v>0</v>
      </c>
      <c r="O1892" s="1794">
        <v>0</v>
      </c>
    </row>
    <row r="1893" spans="3:15">
      <c r="C1893" s="1799" t="s">
        <v>6381</v>
      </c>
      <c r="D1893" s="1796">
        <v>0</v>
      </c>
      <c r="E1893" s="1796">
        <v>0</v>
      </c>
      <c r="F1893" s="1797">
        <v>0</v>
      </c>
      <c r="G1893" s="1999" t="s">
        <v>6381</v>
      </c>
      <c r="H1893" s="1794">
        <v>0</v>
      </c>
      <c r="I1893" s="1794">
        <v>0</v>
      </c>
      <c r="J1893" s="2000">
        <v>0</v>
      </c>
      <c r="K1893" s="1798"/>
      <c r="L1893" s="1792">
        <v>13213010202</v>
      </c>
      <c r="M1893" s="1793">
        <v>0</v>
      </c>
      <c r="N1893" s="1793">
        <v>0</v>
      </c>
      <c r="O1893" s="1794">
        <v>0</v>
      </c>
    </row>
    <row r="1894" spans="3:15">
      <c r="C1894" s="1799" t="s">
        <v>6382</v>
      </c>
      <c r="D1894" s="1796">
        <v>0</v>
      </c>
      <c r="E1894" s="1796">
        <v>0</v>
      </c>
      <c r="F1894" s="1797">
        <v>0</v>
      </c>
      <c r="G1894" s="1999" t="s">
        <v>6382</v>
      </c>
      <c r="H1894" s="1794">
        <v>0</v>
      </c>
      <c r="I1894" s="1794">
        <v>0</v>
      </c>
      <c r="J1894" s="2000">
        <v>0</v>
      </c>
      <c r="K1894" s="1798"/>
      <c r="L1894" s="1792">
        <v>13213010300</v>
      </c>
      <c r="M1894" s="1793">
        <v>0</v>
      </c>
      <c r="N1894" s="1793">
        <v>0</v>
      </c>
      <c r="O1894" s="1794">
        <v>0</v>
      </c>
    </row>
    <row r="1895" spans="3:15">
      <c r="C1895" s="1799" t="s">
        <v>6383</v>
      </c>
      <c r="D1895" s="1796">
        <v>0</v>
      </c>
      <c r="E1895" s="1796">
        <v>0</v>
      </c>
      <c r="F1895" s="1797">
        <v>0</v>
      </c>
      <c r="G1895" s="1999" t="s">
        <v>6383</v>
      </c>
      <c r="H1895" s="1794">
        <v>0</v>
      </c>
      <c r="I1895" s="1794">
        <v>0</v>
      </c>
      <c r="J1895" s="2000">
        <v>0</v>
      </c>
      <c r="K1895" s="1798"/>
      <c r="L1895" s="1792">
        <v>13213010400</v>
      </c>
      <c r="M1895" s="1793">
        <v>0</v>
      </c>
      <c r="N1895" s="1793">
        <v>0</v>
      </c>
      <c r="O1895" s="1794">
        <v>0</v>
      </c>
    </row>
    <row r="1896" spans="3:15">
      <c r="C1896" s="1799" t="s">
        <v>6384</v>
      </c>
      <c r="D1896" s="1796">
        <v>0</v>
      </c>
      <c r="E1896" s="1796">
        <v>0</v>
      </c>
      <c r="F1896" s="1797">
        <v>0</v>
      </c>
      <c r="G1896" s="1999" t="s">
        <v>6384</v>
      </c>
      <c r="H1896" s="1794">
        <v>0</v>
      </c>
      <c r="I1896" s="1794">
        <v>0</v>
      </c>
      <c r="J1896" s="2000">
        <v>0</v>
      </c>
      <c r="K1896" s="1798"/>
      <c r="L1896" s="1792">
        <v>13213010500</v>
      </c>
      <c r="M1896" s="1793">
        <v>0</v>
      </c>
      <c r="N1896" s="1793">
        <v>0</v>
      </c>
      <c r="O1896" s="1794">
        <v>0</v>
      </c>
    </row>
    <row r="1897" spans="3:15">
      <c r="C1897" s="1799" t="s">
        <v>6385</v>
      </c>
      <c r="D1897" s="1796">
        <v>0</v>
      </c>
      <c r="E1897" s="1796">
        <v>0</v>
      </c>
      <c r="F1897" s="1797">
        <v>0</v>
      </c>
      <c r="G1897" s="1999" t="s">
        <v>6385</v>
      </c>
      <c r="H1897" s="1794">
        <v>0</v>
      </c>
      <c r="I1897" s="1794">
        <v>0</v>
      </c>
      <c r="J1897" s="2000">
        <v>0</v>
      </c>
      <c r="K1897" s="1798"/>
      <c r="L1897" s="1792">
        <v>13213010600</v>
      </c>
      <c r="M1897" s="1793">
        <v>0</v>
      </c>
      <c r="N1897" s="1793">
        <v>0</v>
      </c>
      <c r="O1897" s="1794">
        <v>0</v>
      </c>
    </row>
    <row r="1898" spans="3:15">
      <c r="C1898" s="1799" t="s">
        <v>6386</v>
      </c>
      <c r="D1898" s="1796">
        <v>0</v>
      </c>
      <c r="E1898" s="1796">
        <v>0</v>
      </c>
      <c r="F1898" s="1797">
        <v>0</v>
      </c>
      <c r="G1898" s="1999" t="s">
        <v>6386</v>
      </c>
      <c r="H1898" s="1794">
        <v>0</v>
      </c>
      <c r="I1898" s="1794">
        <v>0</v>
      </c>
      <c r="J1898" s="2000">
        <v>0</v>
      </c>
      <c r="K1898" s="1798"/>
      <c r="L1898" s="1792">
        <v>13213010700</v>
      </c>
      <c r="M1898" s="1793">
        <v>0</v>
      </c>
      <c r="N1898" s="1793">
        <v>0</v>
      </c>
      <c r="O1898" s="1794">
        <v>0</v>
      </c>
    </row>
    <row r="1899" spans="3:15">
      <c r="C1899" s="1799" t="s">
        <v>6387</v>
      </c>
      <c r="D1899" s="1796">
        <v>0</v>
      </c>
      <c r="E1899" s="1796">
        <v>1</v>
      </c>
      <c r="F1899" s="1797">
        <v>1</v>
      </c>
      <c r="G1899" s="1999" t="s">
        <v>6387</v>
      </c>
      <c r="H1899" s="1794">
        <v>0</v>
      </c>
      <c r="I1899" s="1794">
        <v>1</v>
      </c>
      <c r="J1899" s="2000">
        <v>1</v>
      </c>
      <c r="K1899" s="1798"/>
      <c r="L1899" s="1792">
        <v>13215000200</v>
      </c>
      <c r="M1899" s="1793">
        <v>0</v>
      </c>
      <c r="N1899" s="1793">
        <v>1</v>
      </c>
      <c r="O1899" s="1794">
        <v>1</v>
      </c>
    </row>
    <row r="1900" spans="3:15">
      <c r="C1900" s="1799" t="s">
        <v>6388</v>
      </c>
      <c r="D1900" s="1796">
        <v>0</v>
      </c>
      <c r="E1900" s="1796">
        <v>0</v>
      </c>
      <c r="F1900" s="1797">
        <v>0</v>
      </c>
      <c r="G1900" s="1999" t="s">
        <v>6388</v>
      </c>
      <c r="H1900" s="1794">
        <v>0</v>
      </c>
      <c r="I1900" s="1794">
        <v>0</v>
      </c>
      <c r="J1900" s="2000">
        <v>0</v>
      </c>
      <c r="K1900" s="1798"/>
      <c r="L1900" s="1792">
        <v>13215000300</v>
      </c>
      <c r="M1900" s="1793">
        <v>0</v>
      </c>
      <c r="N1900" s="1793">
        <v>0</v>
      </c>
      <c r="O1900" s="1794">
        <v>0</v>
      </c>
    </row>
    <row r="1901" spans="3:15">
      <c r="C1901" s="1799" t="s">
        <v>6389</v>
      </c>
      <c r="D1901" s="1796">
        <v>0</v>
      </c>
      <c r="E1901" s="1796">
        <v>0</v>
      </c>
      <c r="F1901" s="1797">
        <v>0</v>
      </c>
      <c r="G1901" s="1999" t="s">
        <v>6389</v>
      </c>
      <c r="H1901" s="1794">
        <v>0</v>
      </c>
      <c r="I1901" s="1794">
        <v>0</v>
      </c>
      <c r="J1901" s="2000">
        <v>0</v>
      </c>
      <c r="K1901" s="1798"/>
      <c r="L1901" s="1792">
        <v>13215000400</v>
      </c>
      <c r="M1901" s="1793">
        <v>0</v>
      </c>
      <c r="N1901" s="1793">
        <v>0</v>
      </c>
      <c r="O1901" s="1794">
        <v>0</v>
      </c>
    </row>
    <row r="1902" spans="3:15">
      <c r="C1902" s="1799" t="s">
        <v>6390</v>
      </c>
      <c r="D1902" s="1796">
        <v>0</v>
      </c>
      <c r="E1902" s="1796">
        <v>0</v>
      </c>
      <c r="F1902" s="1797">
        <v>0</v>
      </c>
      <c r="G1902" s="1999" t="s">
        <v>6390</v>
      </c>
      <c r="H1902" s="1794">
        <v>0</v>
      </c>
      <c r="I1902" s="1794">
        <v>0</v>
      </c>
      <c r="J1902" s="2000">
        <v>0</v>
      </c>
      <c r="K1902" s="1798"/>
      <c r="L1902" s="1792">
        <v>13215000800</v>
      </c>
      <c r="M1902" s="1793">
        <v>0</v>
      </c>
      <c r="N1902" s="1793">
        <v>0</v>
      </c>
      <c r="O1902" s="1794">
        <v>0</v>
      </c>
    </row>
    <row r="1903" spans="3:15">
      <c r="C1903" s="1799" t="s">
        <v>6391</v>
      </c>
      <c r="D1903" s="1796">
        <v>0</v>
      </c>
      <c r="E1903" s="1796">
        <v>0</v>
      </c>
      <c r="F1903" s="1797">
        <v>0</v>
      </c>
      <c r="G1903" s="1999" t="s">
        <v>6391</v>
      </c>
      <c r="H1903" s="1794">
        <v>0</v>
      </c>
      <c r="I1903" s="1794">
        <v>0</v>
      </c>
      <c r="J1903" s="2000">
        <v>0</v>
      </c>
      <c r="K1903" s="1798"/>
      <c r="L1903" s="1792">
        <v>13215000900</v>
      </c>
      <c r="M1903" s="1793">
        <v>0</v>
      </c>
      <c r="N1903" s="1793">
        <v>0</v>
      </c>
      <c r="O1903" s="1794">
        <v>0</v>
      </c>
    </row>
    <row r="1904" spans="3:15">
      <c r="C1904" s="1799" t="s">
        <v>6392</v>
      </c>
      <c r="D1904" s="1796">
        <v>0</v>
      </c>
      <c r="E1904" s="1796">
        <v>0</v>
      </c>
      <c r="F1904" s="1797">
        <v>0</v>
      </c>
      <c r="G1904" s="1999" t="s">
        <v>6392</v>
      </c>
      <c r="H1904" s="1794">
        <v>0</v>
      </c>
      <c r="I1904" s="1794">
        <v>0</v>
      </c>
      <c r="J1904" s="2000">
        <v>0</v>
      </c>
      <c r="K1904" s="1798"/>
      <c r="L1904" s="1792">
        <v>13215001000</v>
      </c>
      <c r="M1904" s="1793">
        <v>0</v>
      </c>
      <c r="N1904" s="1793">
        <v>0</v>
      </c>
      <c r="O1904" s="1794">
        <v>0</v>
      </c>
    </row>
    <row r="1905" spans="3:15">
      <c r="C1905" s="1799" t="s">
        <v>6393</v>
      </c>
      <c r="D1905" s="1796">
        <v>1</v>
      </c>
      <c r="E1905" s="1796">
        <v>1</v>
      </c>
      <c r="F1905" s="1797">
        <v>2</v>
      </c>
      <c r="G1905" s="1999" t="s">
        <v>6393</v>
      </c>
      <c r="H1905" s="1794">
        <v>1</v>
      </c>
      <c r="I1905" s="1794">
        <v>1</v>
      </c>
      <c r="J1905" s="2000">
        <v>2</v>
      </c>
      <c r="K1905" s="1798"/>
      <c r="L1905" s="1792">
        <v>13215001100</v>
      </c>
      <c r="M1905" s="1793">
        <v>1</v>
      </c>
      <c r="N1905" s="1793">
        <v>1</v>
      </c>
      <c r="O1905" s="1794">
        <v>2</v>
      </c>
    </row>
    <row r="1906" spans="3:15">
      <c r="C1906" s="1799" t="s">
        <v>6394</v>
      </c>
      <c r="D1906" s="1796">
        <v>1</v>
      </c>
      <c r="E1906" s="1796">
        <v>1</v>
      </c>
      <c r="F1906" s="1797">
        <v>2</v>
      </c>
      <c r="G1906" s="1999" t="s">
        <v>6394</v>
      </c>
      <c r="H1906" s="1794">
        <v>1</v>
      </c>
      <c r="I1906" s="1794">
        <v>1</v>
      </c>
      <c r="J1906" s="2000">
        <v>2</v>
      </c>
      <c r="K1906" s="1798"/>
      <c r="L1906" s="1792">
        <v>13215001200</v>
      </c>
      <c r="M1906" s="1793">
        <v>1</v>
      </c>
      <c r="N1906" s="1793">
        <v>1</v>
      </c>
      <c r="O1906" s="1794">
        <v>2</v>
      </c>
    </row>
    <row r="1907" spans="3:15">
      <c r="C1907" s="1799" t="s">
        <v>6395</v>
      </c>
      <c r="D1907" s="1796">
        <v>0</v>
      </c>
      <c r="E1907" s="1796">
        <v>0</v>
      </c>
      <c r="F1907" s="1797">
        <v>0</v>
      </c>
      <c r="G1907" s="1999" t="s">
        <v>6395</v>
      </c>
      <c r="H1907" s="1794">
        <v>0</v>
      </c>
      <c r="I1907" s="1794">
        <v>0</v>
      </c>
      <c r="J1907" s="2000">
        <v>0</v>
      </c>
      <c r="K1907" s="1798"/>
      <c r="L1907" s="1792">
        <v>13215001400</v>
      </c>
      <c r="M1907" s="1793">
        <v>0</v>
      </c>
      <c r="N1907" s="1793">
        <v>0</v>
      </c>
      <c r="O1907" s="1794">
        <v>0</v>
      </c>
    </row>
    <row r="1908" spans="3:15">
      <c r="C1908" s="1799" t="s">
        <v>6396</v>
      </c>
      <c r="D1908" s="1796">
        <v>0</v>
      </c>
      <c r="E1908" s="1796">
        <v>0</v>
      </c>
      <c r="F1908" s="1797">
        <v>0</v>
      </c>
      <c r="G1908" s="1999" t="s">
        <v>6396</v>
      </c>
      <c r="H1908" s="1794">
        <v>0</v>
      </c>
      <c r="I1908" s="1794" t="s">
        <v>4483</v>
      </c>
      <c r="J1908" s="2000">
        <v>0</v>
      </c>
      <c r="K1908" s="1798"/>
      <c r="L1908" s="1792">
        <v>13215001600</v>
      </c>
      <c r="M1908" s="1793">
        <v>0</v>
      </c>
      <c r="N1908" s="1793">
        <v>0</v>
      </c>
      <c r="O1908" s="1794">
        <v>0</v>
      </c>
    </row>
    <row r="1909" spans="3:15">
      <c r="C1909" s="1799" t="s">
        <v>6397</v>
      </c>
      <c r="D1909" s="1796">
        <v>0</v>
      </c>
      <c r="E1909" s="1796">
        <v>0</v>
      </c>
      <c r="F1909" s="1797">
        <v>0</v>
      </c>
      <c r="G1909" s="1999" t="s">
        <v>6397</v>
      </c>
      <c r="H1909" s="1794">
        <v>0</v>
      </c>
      <c r="I1909" s="1794">
        <v>0</v>
      </c>
      <c r="J1909" s="2000">
        <v>0</v>
      </c>
      <c r="K1909" s="1798"/>
      <c r="L1909" s="1792">
        <v>13215001800</v>
      </c>
      <c r="M1909" s="1793">
        <v>0</v>
      </c>
      <c r="N1909" s="1793">
        <v>0</v>
      </c>
      <c r="O1909" s="1794">
        <v>0</v>
      </c>
    </row>
    <row r="1910" spans="3:15">
      <c r="C1910" s="1799" t="s">
        <v>6398</v>
      </c>
      <c r="D1910" s="1796">
        <v>0</v>
      </c>
      <c r="E1910" s="1796">
        <v>0</v>
      </c>
      <c r="F1910" s="1797">
        <v>0</v>
      </c>
      <c r="G1910" s="1999" t="s">
        <v>6398</v>
      </c>
      <c r="H1910" s="1794">
        <v>0</v>
      </c>
      <c r="I1910" s="1794">
        <v>0</v>
      </c>
      <c r="J1910" s="2000">
        <v>0</v>
      </c>
      <c r="K1910" s="1798"/>
      <c r="L1910" s="1792">
        <v>13215002000</v>
      </c>
      <c r="M1910" s="1793">
        <v>0</v>
      </c>
      <c r="N1910" s="1793">
        <v>0</v>
      </c>
      <c r="O1910" s="1794">
        <v>0</v>
      </c>
    </row>
    <row r="1911" spans="3:15">
      <c r="C1911" s="1799" t="s">
        <v>6399</v>
      </c>
      <c r="D1911" s="1796">
        <v>0</v>
      </c>
      <c r="E1911" s="1796">
        <v>0</v>
      </c>
      <c r="F1911" s="1797">
        <v>0</v>
      </c>
      <c r="G1911" s="1999" t="s">
        <v>6399</v>
      </c>
      <c r="H1911" s="1794">
        <v>0</v>
      </c>
      <c r="I1911" s="1794">
        <v>0</v>
      </c>
      <c r="J1911" s="2000">
        <v>0</v>
      </c>
      <c r="K1911" s="1798"/>
      <c r="L1911" s="1792">
        <v>13215002100</v>
      </c>
      <c r="M1911" s="1793">
        <v>0</v>
      </c>
      <c r="N1911" s="1793">
        <v>0</v>
      </c>
      <c r="O1911" s="1794">
        <v>0</v>
      </c>
    </row>
    <row r="1912" spans="3:15">
      <c r="C1912" s="1799" t="s">
        <v>6400</v>
      </c>
      <c r="D1912" s="1796">
        <v>0</v>
      </c>
      <c r="E1912" s="1796">
        <v>0</v>
      </c>
      <c r="F1912" s="1797">
        <v>0</v>
      </c>
      <c r="G1912" s="1999" t="s">
        <v>6400</v>
      </c>
      <c r="H1912" s="1794">
        <v>0</v>
      </c>
      <c r="I1912" s="1794">
        <v>0</v>
      </c>
      <c r="J1912" s="2000">
        <v>0</v>
      </c>
      <c r="K1912" s="1798"/>
      <c r="L1912" s="1792">
        <v>13215002200</v>
      </c>
      <c r="M1912" s="1793">
        <v>0</v>
      </c>
      <c r="N1912" s="1793">
        <v>0</v>
      </c>
      <c r="O1912" s="1794">
        <v>0</v>
      </c>
    </row>
    <row r="1913" spans="3:15">
      <c r="C1913" s="1799" t="s">
        <v>6401</v>
      </c>
      <c r="D1913" s="1796">
        <v>0</v>
      </c>
      <c r="E1913" s="1796">
        <v>0</v>
      </c>
      <c r="F1913" s="1797">
        <v>0</v>
      </c>
      <c r="G1913" s="1999" t="s">
        <v>6401</v>
      </c>
      <c r="H1913" s="1794">
        <v>0</v>
      </c>
      <c r="I1913" s="1794">
        <v>0</v>
      </c>
      <c r="J1913" s="2000">
        <v>0</v>
      </c>
      <c r="K1913" s="1798"/>
      <c r="L1913" s="1792">
        <v>13215002300</v>
      </c>
      <c r="M1913" s="1793">
        <v>0</v>
      </c>
      <c r="N1913" s="1793">
        <v>0</v>
      </c>
      <c r="O1913" s="1794">
        <v>0</v>
      </c>
    </row>
    <row r="1914" spans="3:15">
      <c r="C1914" s="1799" t="s">
        <v>6402</v>
      </c>
      <c r="D1914" s="1796">
        <v>0</v>
      </c>
      <c r="E1914" s="1796">
        <v>0</v>
      </c>
      <c r="F1914" s="1797">
        <v>0</v>
      </c>
      <c r="G1914" s="1999" t="s">
        <v>6402</v>
      </c>
      <c r="H1914" s="1794">
        <v>0</v>
      </c>
      <c r="I1914" s="1794">
        <v>0</v>
      </c>
      <c r="J1914" s="2000">
        <v>0</v>
      </c>
      <c r="K1914" s="1798"/>
      <c r="L1914" s="1792">
        <v>13215002400</v>
      </c>
      <c r="M1914" s="1793">
        <v>0</v>
      </c>
      <c r="N1914" s="1793">
        <v>0</v>
      </c>
      <c r="O1914" s="1794">
        <v>0</v>
      </c>
    </row>
    <row r="1915" spans="3:15">
      <c r="C1915" s="1799" t="s">
        <v>6403</v>
      </c>
      <c r="D1915" s="1796">
        <v>0</v>
      </c>
      <c r="E1915" s="1796">
        <v>0</v>
      </c>
      <c r="F1915" s="1797">
        <v>0</v>
      </c>
      <c r="G1915" s="1999" t="s">
        <v>6403</v>
      </c>
      <c r="H1915" s="1794">
        <v>0</v>
      </c>
      <c r="I1915" s="1794">
        <v>0</v>
      </c>
      <c r="J1915" s="2000">
        <v>0</v>
      </c>
      <c r="K1915" s="1798"/>
      <c r="L1915" s="1792">
        <v>13215002500</v>
      </c>
      <c r="M1915" s="1793">
        <v>0</v>
      </c>
      <c r="N1915" s="1793">
        <v>0</v>
      </c>
      <c r="O1915" s="1794">
        <v>0</v>
      </c>
    </row>
    <row r="1916" spans="3:15">
      <c r="C1916" s="1799" t="s">
        <v>6404</v>
      </c>
      <c r="D1916" s="1796">
        <v>0</v>
      </c>
      <c r="E1916" s="1796">
        <v>0</v>
      </c>
      <c r="F1916" s="1797">
        <v>0</v>
      </c>
      <c r="G1916" s="1999" t="s">
        <v>6404</v>
      </c>
      <c r="H1916" s="1794">
        <v>0</v>
      </c>
      <c r="I1916" s="1794">
        <v>0</v>
      </c>
      <c r="J1916" s="2000">
        <v>0</v>
      </c>
      <c r="K1916" s="1798"/>
      <c r="L1916" s="1792">
        <v>13215002700</v>
      </c>
      <c r="M1916" s="1793">
        <v>0</v>
      </c>
      <c r="N1916" s="1793">
        <v>0</v>
      </c>
      <c r="O1916" s="1794">
        <v>0</v>
      </c>
    </row>
    <row r="1917" spans="3:15">
      <c r="C1917" s="1799" t="s">
        <v>6405</v>
      </c>
      <c r="D1917" s="1796">
        <v>0</v>
      </c>
      <c r="E1917" s="1796">
        <v>0</v>
      </c>
      <c r="F1917" s="1797">
        <v>0</v>
      </c>
      <c r="G1917" s="1999" t="s">
        <v>6405</v>
      </c>
      <c r="H1917" s="1794">
        <v>0</v>
      </c>
      <c r="I1917" s="1794">
        <v>0</v>
      </c>
      <c r="J1917" s="2000">
        <v>0</v>
      </c>
      <c r="K1917" s="1798"/>
      <c r="L1917" s="1792">
        <v>13215002800</v>
      </c>
      <c r="M1917" s="1793">
        <v>0</v>
      </c>
      <c r="N1917" s="1793">
        <v>0</v>
      </c>
      <c r="O1917" s="1794">
        <v>0</v>
      </c>
    </row>
    <row r="1918" spans="3:15">
      <c r="C1918" s="1799" t="s">
        <v>6406</v>
      </c>
      <c r="D1918" s="1796">
        <v>0</v>
      </c>
      <c r="E1918" s="1796">
        <v>0</v>
      </c>
      <c r="F1918" s="1797">
        <v>0</v>
      </c>
      <c r="G1918" s="1999" t="s">
        <v>6406</v>
      </c>
      <c r="H1918" s="1794">
        <v>0</v>
      </c>
      <c r="I1918" s="1794">
        <v>0</v>
      </c>
      <c r="J1918" s="2000">
        <v>0</v>
      </c>
      <c r="K1918" s="1798"/>
      <c r="L1918" s="1792">
        <v>13215002901</v>
      </c>
      <c r="M1918" s="1793">
        <v>0</v>
      </c>
      <c r="N1918" s="1793">
        <v>0</v>
      </c>
      <c r="O1918" s="1794">
        <v>0</v>
      </c>
    </row>
    <row r="1919" spans="3:15">
      <c r="C1919" s="1799" t="s">
        <v>6407</v>
      </c>
      <c r="D1919" s="1796">
        <v>0</v>
      </c>
      <c r="E1919" s="1796">
        <v>0</v>
      </c>
      <c r="F1919" s="1797">
        <v>0</v>
      </c>
      <c r="G1919" s="1999" t="s">
        <v>6407</v>
      </c>
      <c r="H1919" s="1794">
        <v>0</v>
      </c>
      <c r="I1919" s="1794">
        <v>0</v>
      </c>
      <c r="J1919" s="2000">
        <v>0</v>
      </c>
      <c r="K1919" s="1798"/>
      <c r="L1919" s="1792">
        <v>13215002902</v>
      </c>
      <c r="M1919" s="1793">
        <v>0</v>
      </c>
      <c r="N1919" s="1793">
        <v>0</v>
      </c>
      <c r="O1919" s="1794">
        <v>0</v>
      </c>
    </row>
    <row r="1920" spans="3:15">
      <c r="C1920" s="1799" t="s">
        <v>6408</v>
      </c>
      <c r="D1920" s="1796">
        <v>0</v>
      </c>
      <c r="E1920" s="1796">
        <v>0</v>
      </c>
      <c r="F1920" s="1797">
        <v>0</v>
      </c>
      <c r="G1920" s="1999" t="s">
        <v>6408</v>
      </c>
      <c r="H1920" s="1794">
        <v>0</v>
      </c>
      <c r="I1920" s="1794" t="s">
        <v>4483</v>
      </c>
      <c r="J1920" s="2000">
        <v>0</v>
      </c>
      <c r="K1920" s="1798"/>
      <c r="L1920" s="1792">
        <v>13215003000</v>
      </c>
      <c r="M1920" s="1793">
        <v>0</v>
      </c>
      <c r="N1920" s="1793">
        <v>0</v>
      </c>
      <c r="O1920" s="1794">
        <v>0</v>
      </c>
    </row>
    <row r="1921" spans="3:15">
      <c r="C1921" s="1799" t="s">
        <v>6409</v>
      </c>
      <c r="D1921" s="1796">
        <v>0</v>
      </c>
      <c r="E1921" s="1796">
        <v>0</v>
      </c>
      <c r="F1921" s="1797">
        <v>0</v>
      </c>
      <c r="G1921" s="1999" t="s">
        <v>6409</v>
      </c>
      <c r="H1921" s="1794">
        <v>0</v>
      </c>
      <c r="I1921" s="1794">
        <v>0</v>
      </c>
      <c r="J1921" s="2000">
        <v>0</v>
      </c>
      <c r="K1921" s="1798"/>
      <c r="L1921" s="1792">
        <v>13215003200</v>
      </c>
      <c r="M1921" s="1793">
        <v>0</v>
      </c>
      <c r="N1921" s="1793">
        <v>0</v>
      </c>
      <c r="O1921" s="1794">
        <v>0</v>
      </c>
    </row>
    <row r="1922" spans="3:15">
      <c r="C1922" s="1799" t="s">
        <v>6410</v>
      </c>
      <c r="D1922" s="1796">
        <v>0</v>
      </c>
      <c r="E1922" s="1796">
        <v>0</v>
      </c>
      <c r="F1922" s="1797">
        <v>0</v>
      </c>
      <c r="G1922" s="1999" t="s">
        <v>6410</v>
      </c>
      <c r="H1922" s="1794">
        <v>0</v>
      </c>
      <c r="I1922" s="1794">
        <v>0</v>
      </c>
      <c r="J1922" s="2000">
        <v>0</v>
      </c>
      <c r="K1922" s="1798"/>
      <c r="L1922" s="1792">
        <v>13215003301</v>
      </c>
      <c r="M1922" s="1793">
        <v>0</v>
      </c>
      <c r="N1922" s="1793">
        <v>0</v>
      </c>
      <c r="O1922" s="1794">
        <v>0</v>
      </c>
    </row>
    <row r="1923" spans="3:15">
      <c r="C1923" s="1799" t="s">
        <v>6411</v>
      </c>
      <c r="D1923" s="1796">
        <v>0</v>
      </c>
      <c r="E1923" s="1796">
        <v>0</v>
      </c>
      <c r="F1923" s="1797">
        <v>0</v>
      </c>
      <c r="G1923" s="1999" t="s">
        <v>6411</v>
      </c>
      <c r="H1923" s="1794">
        <v>0</v>
      </c>
      <c r="I1923" s="1794">
        <v>0</v>
      </c>
      <c r="J1923" s="2000">
        <v>0</v>
      </c>
      <c r="K1923" s="1798"/>
      <c r="L1923" s="1792">
        <v>13215003302</v>
      </c>
      <c r="M1923" s="1793">
        <v>0</v>
      </c>
      <c r="N1923" s="1793">
        <v>0</v>
      </c>
      <c r="O1923" s="1794">
        <v>0</v>
      </c>
    </row>
    <row r="1924" spans="3:15">
      <c r="C1924" s="1799" t="s">
        <v>6412</v>
      </c>
      <c r="D1924" s="1796">
        <v>0</v>
      </c>
      <c r="E1924" s="1796">
        <v>0</v>
      </c>
      <c r="F1924" s="1797">
        <v>0</v>
      </c>
      <c r="G1924" s="1999" t="s">
        <v>6412</v>
      </c>
      <c r="H1924" s="1794">
        <v>0</v>
      </c>
      <c r="I1924" s="1794">
        <v>0</v>
      </c>
      <c r="J1924" s="2000">
        <v>0</v>
      </c>
      <c r="K1924" s="1798"/>
      <c r="L1924" s="1792">
        <v>13215003400</v>
      </c>
      <c r="M1924" s="1793">
        <v>0</v>
      </c>
      <c r="N1924" s="1793">
        <v>0</v>
      </c>
      <c r="O1924" s="1794">
        <v>0</v>
      </c>
    </row>
    <row r="1925" spans="3:15">
      <c r="C1925" s="1799" t="s">
        <v>6413</v>
      </c>
      <c r="D1925" s="1796">
        <v>1</v>
      </c>
      <c r="E1925" s="1796">
        <v>1</v>
      </c>
      <c r="F1925" s="1797">
        <v>2</v>
      </c>
      <c r="G1925" s="1999" t="s">
        <v>6413</v>
      </c>
      <c r="H1925" s="1794">
        <v>1</v>
      </c>
      <c r="I1925" s="1794">
        <v>1</v>
      </c>
      <c r="J1925" s="2000">
        <v>2</v>
      </c>
      <c r="K1925" s="1798"/>
      <c r="L1925" s="1792">
        <v>13215010104</v>
      </c>
      <c r="M1925" s="1793">
        <v>1</v>
      </c>
      <c r="N1925" s="1793">
        <v>1</v>
      </c>
      <c r="O1925" s="1794">
        <v>2</v>
      </c>
    </row>
    <row r="1926" spans="3:15">
      <c r="C1926" s="1799" t="s">
        <v>6414</v>
      </c>
      <c r="D1926" s="1796">
        <v>0</v>
      </c>
      <c r="E1926" s="1796">
        <v>1</v>
      </c>
      <c r="F1926" s="1797">
        <v>1</v>
      </c>
      <c r="G1926" s="1999" t="s">
        <v>6414</v>
      </c>
      <c r="H1926" s="1794">
        <v>0</v>
      </c>
      <c r="I1926" s="1794">
        <v>1</v>
      </c>
      <c r="J1926" s="2000">
        <v>1</v>
      </c>
      <c r="K1926" s="1798"/>
      <c r="L1926" s="1792">
        <v>13215010106</v>
      </c>
      <c r="M1926" s="1793">
        <v>0</v>
      </c>
      <c r="N1926" s="1793">
        <v>1</v>
      </c>
      <c r="O1926" s="1794">
        <v>1</v>
      </c>
    </row>
    <row r="1927" spans="3:15">
      <c r="C1927" s="1799" t="s">
        <v>6415</v>
      </c>
      <c r="D1927" s="1796">
        <v>1</v>
      </c>
      <c r="E1927" s="1796">
        <v>1</v>
      </c>
      <c r="F1927" s="1797">
        <v>2</v>
      </c>
      <c r="G1927" s="1999" t="s">
        <v>6415</v>
      </c>
      <c r="H1927" s="1794">
        <v>1</v>
      </c>
      <c r="I1927" s="1794">
        <v>1</v>
      </c>
      <c r="J1927" s="2000">
        <v>2</v>
      </c>
      <c r="K1927" s="1798"/>
      <c r="L1927" s="1792">
        <v>13215010107</v>
      </c>
      <c r="M1927" s="1793">
        <v>1</v>
      </c>
      <c r="N1927" s="1793">
        <v>1</v>
      </c>
      <c r="O1927" s="1794">
        <v>2</v>
      </c>
    </row>
    <row r="1928" spans="3:15">
      <c r="C1928" s="1799" t="s">
        <v>6416</v>
      </c>
      <c r="D1928" s="1796">
        <v>1</v>
      </c>
      <c r="E1928" s="1796">
        <v>1</v>
      </c>
      <c r="F1928" s="1797">
        <v>2</v>
      </c>
      <c r="G1928" s="1999" t="s">
        <v>6416</v>
      </c>
      <c r="H1928" s="1794">
        <v>1</v>
      </c>
      <c r="I1928" s="1794">
        <v>1</v>
      </c>
      <c r="J1928" s="2000">
        <v>2</v>
      </c>
      <c r="K1928" s="1798"/>
      <c r="L1928" s="1792">
        <v>13215010201</v>
      </c>
      <c r="M1928" s="1793">
        <v>1</v>
      </c>
      <c r="N1928" s="1793">
        <v>1</v>
      </c>
      <c r="O1928" s="1794">
        <v>2</v>
      </c>
    </row>
    <row r="1929" spans="3:15">
      <c r="C1929" s="1799" t="s">
        <v>6417</v>
      </c>
      <c r="D1929" s="1796">
        <v>1</v>
      </c>
      <c r="E1929" s="1796">
        <v>1</v>
      </c>
      <c r="F1929" s="1797">
        <v>2</v>
      </c>
      <c r="G1929" s="1999" t="s">
        <v>6417</v>
      </c>
      <c r="H1929" s="1794">
        <v>1</v>
      </c>
      <c r="I1929" s="1794">
        <v>1</v>
      </c>
      <c r="J1929" s="2000">
        <v>2</v>
      </c>
      <c r="K1929" s="1798"/>
      <c r="L1929" s="1792">
        <v>13215010203</v>
      </c>
      <c r="M1929" s="1793">
        <v>1</v>
      </c>
      <c r="N1929" s="1793">
        <v>1</v>
      </c>
      <c r="O1929" s="1794">
        <v>2</v>
      </c>
    </row>
    <row r="1930" spans="3:15">
      <c r="C1930" s="1799" t="s">
        <v>6418</v>
      </c>
      <c r="D1930" s="1796">
        <v>1</v>
      </c>
      <c r="E1930" s="1796">
        <v>1</v>
      </c>
      <c r="F1930" s="1797">
        <v>2</v>
      </c>
      <c r="G1930" s="1999" t="s">
        <v>6418</v>
      </c>
      <c r="H1930" s="1794">
        <v>1</v>
      </c>
      <c r="I1930" s="1794">
        <v>1</v>
      </c>
      <c r="J1930" s="2000">
        <v>2</v>
      </c>
      <c r="K1930" s="1798"/>
      <c r="L1930" s="1792">
        <v>13215010204</v>
      </c>
      <c r="M1930" s="1793">
        <v>1</v>
      </c>
      <c r="N1930" s="1793">
        <v>1</v>
      </c>
      <c r="O1930" s="1794">
        <v>2</v>
      </c>
    </row>
    <row r="1931" spans="3:15">
      <c r="C1931" s="1799" t="s">
        <v>6419</v>
      </c>
      <c r="D1931" s="1796">
        <v>1</v>
      </c>
      <c r="E1931" s="1796">
        <v>1</v>
      </c>
      <c r="F1931" s="1797">
        <v>2</v>
      </c>
      <c r="G1931" s="1999" t="s">
        <v>6419</v>
      </c>
      <c r="H1931" s="1794">
        <v>1</v>
      </c>
      <c r="I1931" s="1794">
        <v>1</v>
      </c>
      <c r="J1931" s="2000">
        <v>2</v>
      </c>
      <c r="K1931" s="1798"/>
      <c r="L1931" s="1792">
        <v>13215010205</v>
      </c>
      <c r="M1931" s="1793">
        <v>1</v>
      </c>
      <c r="N1931" s="1793">
        <v>1</v>
      </c>
      <c r="O1931" s="1794">
        <v>2</v>
      </c>
    </row>
    <row r="1932" spans="3:15">
      <c r="C1932" s="1799" t="s">
        <v>6420</v>
      </c>
      <c r="D1932" s="1796">
        <v>1</v>
      </c>
      <c r="E1932" s="1796">
        <v>1</v>
      </c>
      <c r="F1932" s="1797">
        <v>2</v>
      </c>
      <c r="G1932" s="1999" t="s">
        <v>6420</v>
      </c>
      <c r="H1932" s="1794">
        <v>1</v>
      </c>
      <c r="I1932" s="1794">
        <v>1</v>
      </c>
      <c r="J1932" s="2000">
        <v>2</v>
      </c>
      <c r="K1932" s="1798"/>
      <c r="L1932" s="1792">
        <v>13215010301</v>
      </c>
      <c r="M1932" s="1793">
        <v>1</v>
      </c>
      <c r="N1932" s="1793">
        <v>1</v>
      </c>
      <c r="O1932" s="1794">
        <v>2</v>
      </c>
    </row>
    <row r="1933" spans="3:15">
      <c r="C1933" s="1799" t="s">
        <v>6421</v>
      </c>
      <c r="D1933" s="1796">
        <v>1</v>
      </c>
      <c r="E1933" s="1796">
        <v>1</v>
      </c>
      <c r="F1933" s="1797">
        <v>2</v>
      </c>
      <c r="G1933" s="1999" t="s">
        <v>6421</v>
      </c>
      <c r="H1933" s="1794">
        <v>1</v>
      </c>
      <c r="I1933" s="1794">
        <v>1</v>
      </c>
      <c r="J1933" s="2000">
        <v>2</v>
      </c>
      <c r="K1933" s="1798"/>
      <c r="L1933" s="1792">
        <v>13215010302</v>
      </c>
      <c r="M1933" s="1793">
        <v>1</v>
      </c>
      <c r="N1933" s="1793">
        <v>1</v>
      </c>
      <c r="O1933" s="1794">
        <v>2</v>
      </c>
    </row>
    <row r="1934" spans="3:15">
      <c r="C1934" s="1799" t="s">
        <v>6422</v>
      </c>
      <c r="D1934" s="1796">
        <v>1</v>
      </c>
      <c r="E1934" s="1796">
        <v>1</v>
      </c>
      <c r="F1934" s="1797">
        <v>2</v>
      </c>
      <c r="G1934" s="1999" t="s">
        <v>6422</v>
      </c>
      <c r="H1934" s="1794">
        <v>1</v>
      </c>
      <c r="I1934" s="1794">
        <v>1</v>
      </c>
      <c r="J1934" s="2000">
        <v>2</v>
      </c>
      <c r="K1934" s="1798"/>
      <c r="L1934" s="1792">
        <v>13215010401</v>
      </c>
      <c r="M1934" s="1793">
        <v>1</v>
      </c>
      <c r="N1934" s="1793">
        <v>1</v>
      </c>
      <c r="O1934" s="1794">
        <v>2</v>
      </c>
    </row>
    <row r="1935" spans="3:15">
      <c r="C1935" s="1799" t="s">
        <v>6423</v>
      </c>
      <c r="D1935" s="1796">
        <v>1</v>
      </c>
      <c r="E1935" s="1796">
        <v>0</v>
      </c>
      <c r="F1935" s="1797">
        <v>1</v>
      </c>
      <c r="G1935" s="1999" t="s">
        <v>6423</v>
      </c>
      <c r="H1935" s="1794">
        <v>1</v>
      </c>
      <c r="I1935" s="1794">
        <v>0</v>
      </c>
      <c r="J1935" s="2000">
        <v>0</v>
      </c>
      <c r="K1935" s="1798"/>
      <c r="L1935" s="1792">
        <v>13215010402</v>
      </c>
      <c r="M1935" s="1793">
        <v>1</v>
      </c>
      <c r="N1935" s="1793">
        <v>0</v>
      </c>
      <c r="O1935" s="1794">
        <v>1</v>
      </c>
    </row>
    <row r="1936" spans="3:15">
      <c r="C1936" s="1799" t="s">
        <v>6424</v>
      </c>
      <c r="D1936" s="1796">
        <v>1</v>
      </c>
      <c r="E1936" s="1796">
        <v>0</v>
      </c>
      <c r="F1936" s="1797">
        <v>1</v>
      </c>
      <c r="G1936" s="1999" t="s">
        <v>6424</v>
      </c>
      <c r="H1936" s="1794">
        <v>0</v>
      </c>
      <c r="I1936" s="1794">
        <v>1</v>
      </c>
      <c r="J1936" s="2000">
        <v>1</v>
      </c>
      <c r="K1936" s="1798"/>
      <c r="L1936" s="1792">
        <v>13215010501</v>
      </c>
      <c r="M1936" s="1793">
        <v>1</v>
      </c>
      <c r="N1936" s="1793">
        <v>1</v>
      </c>
      <c r="O1936" s="1794">
        <v>1</v>
      </c>
    </row>
    <row r="1937" spans="3:15">
      <c r="C1937" s="1799" t="s">
        <v>6425</v>
      </c>
      <c r="D1937" s="1796">
        <v>0</v>
      </c>
      <c r="E1937" s="1796">
        <v>0</v>
      </c>
      <c r="F1937" s="1797">
        <v>0</v>
      </c>
      <c r="G1937" s="1999" t="s">
        <v>6425</v>
      </c>
      <c r="H1937" s="1794">
        <v>0</v>
      </c>
      <c r="I1937" s="1794">
        <v>0</v>
      </c>
      <c r="J1937" s="2000">
        <v>0</v>
      </c>
      <c r="K1937" s="1798"/>
      <c r="L1937" s="1792">
        <v>13215010502</v>
      </c>
      <c r="M1937" s="1793">
        <v>0</v>
      </c>
      <c r="N1937" s="1793">
        <v>0</v>
      </c>
      <c r="O1937" s="1794">
        <v>0</v>
      </c>
    </row>
    <row r="1938" spans="3:15">
      <c r="C1938" s="1799" t="s">
        <v>6426</v>
      </c>
      <c r="D1938" s="1796">
        <v>0</v>
      </c>
      <c r="E1938" s="1796">
        <v>0</v>
      </c>
      <c r="F1938" s="1797">
        <v>0</v>
      </c>
      <c r="G1938" s="1999" t="s">
        <v>6426</v>
      </c>
      <c r="H1938" s="1794">
        <v>0</v>
      </c>
      <c r="I1938" s="1794">
        <v>0</v>
      </c>
      <c r="J1938" s="2000">
        <v>0</v>
      </c>
      <c r="K1938" s="1798"/>
      <c r="L1938" s="1792">
        <v>13215010602</v>
      </c>
      <c r="M1938" s="1793">
        <v>0</v>
      </c>
      <c r="N1938" s="1793">
        <v>0</v>
      </c>
      <c r="O1938" s="1794">
        <v>0</v>
      </c>
    </row>
    <row r="1939" spans="3:15">
      <c r="C1939" s="1799" t="s">
        <v>6427</v>
      </c>
      <c r="D1939" s="1796">
        <v>0</v>
      </c>
      <c r="E1939" s="1796">
        <v>0</v>
      </c>
      <c r="F1939" s="1797">
        <v>0</v>
      </c>
      <c r="G1939" s="1999" t="s">
        <v>6427</v>
      </c>
      <c r="H1939" s="1794">
        <v>0</v>
      </c>
      <c r="I1939" s="1794">
        <v>1</v>
      </c>
      <c r="J1939" s="2000">
        <v>1</v>
      </c>
      <c r="K1939" s="1798"/>
      <c r="L1939" s="1792">
        <v>13215010605</v>
      </c>
      <c r="M1939" s="1793">
        <v>0</v>
      </c>
      <c r="N1939" s="1793">
        <v>1</v>
      </c>
      <c r="O1939" s="1794">
        <v>1</v>
      </c>
    </row>
    <row r="1940" spans="3:15">
      <c r="C1940" s="1799" t="s">
        <v>6428</v>
      </c>
      <c r="D1940" s="1796" t="s">
        <v>4483</v>
      </c>
      <c r="E1940" s="1796">
        <v>0</v>
      </c>
      <c r="F1940" s="1797">
        <v>0</v>
      </c>
      <c r="G1940" s="1999" t="s">
        <v>6428</v>
      </c>
      <c r="H1940" s="1794" t="s">
        <v>4483</v>
      </c>
      <c r="I1940" s="1794" t="s">
        <v>4483</v>
      </c>
      <c r="J1940" s="2000">
        <v>0</v>
      </c>
      <c r="K1940" s="1798"/>
      <c r="L1940" s="1792">
        <v>13215010606</v>
      </c>
      <c r="M1940" s="1793">
        <v>0</v>
      </c>
      <c r="N1940" s="1793">
        <v>0</v>
      </c>
      <c r="O1940" s="1794">
        <v>0</v>
      </c>
    </row>
    <row r="1941" spans="3:15">
      <c r="C1941" s="1799" t="s">
        <v>6429</v>
      </c>
      <c r="D1941" s="1796">
        <v>0</v>
      </c>
      <c r="E1941" s="1796">
        <v>0</v>
      </c>
      <c r="F1941" s="1797">
        <v>0</v>
      </c>
      <c r="G1941" s="1999" t="s">
        <v>6429</v>
      </c>
      <c r="H1941" s="1794">
        <v>0</v>
      </c>
      <c r="I1941" s="1794">
        <v>0</v>
      </c>
      <c r="J1941" s="2000">
        <v>0</v>
      </c>
      <c r="K1941" s="1798"/>
      <c r="L1941" s="1792">
        <v>13215010607</v>
      </c>
      <c r="M1941" s="1793">
        <v>0</v>
      </c>
      <c r="N1941" s="1793">
        <v>0</v>
      </c>
      <c r="O1941" s="1794">
        <v>0</v>
      </c>
    </row>
    <row r="1942" spans="3:15">
      <c r="C1942" s="1799" t="s">
        <v>6430</v>
      </c>
      <c r="D1942" s="1796">
        <v>0</v>
      </c>
      <c r="E1942" s="1796">
        <v>0</v>
      </c>
      <c r="F1942" s="1797">
        <v>0</v>
      </c>
      <c r="G1942" s="1999" t="s">
        <v>6430</v>
      </c>
      <c r="H1942" s="1794">
        <v>0</v>
      </c>
      <c r="I1942" s="1794">
        <v>0</v>
      </c>
      <c r="J1942" s="2000">
        <v>0</v>
      </c>
      <c r="K1942" s="1798"/>
      <c r="L1942" s="1792">
        <v>13215010608</v>
      </c>
      <c r="M1942" s="1793">
        <v>0</v>
      </c>
      <c r="N1942" s="1793">
        <v>0</v>
      </c>
      <c r="O1942" s="1794">
        <v>0</v>
      </c>
    </row>
    <row r="1943" spans="3:15">
      <c r="C1943" s="1799" t="s">
        <v>6431</v>
      </c>
      <c r="D1943" s="1796">
        <v>0</v>
      </c>
      <c r="E1943" s="1796">
        <v>0</v>
      </c>
      <c r="F1943" s="1797">
        <v>0</v>
      </c>
      <c r="G1943" s="1999" t="s">
        <v>6431</v>
      </c>
      <c r="H1943" s="1794">
        <v>0</v>
      </c>
      <c r="I1943" s="1794">
        <v>0</v>
      </c>
      <c r="J1943" s="2000">
        <v>0</v>
      </c>
      <c r="K1943" s="1798"/>
      <c r="L1943" s="1792">
        <v>13215010701</v>
      </c>
      <c r="M1943" s="1793">
        <v>0</v>
      </c>
      <c r="N1943" s="1793">
        <v>0</v>
      </c>
      <c r="O1943" s="1794">
        <v>0</v>
      </c>
    </row>
    <row r="1944" spans="3:15">
      <c r="C1944" s="1799" t="s">
        <v>6432</v>
      </c>
      <c r="D1944" s="1796">
        <v>0</v>
      </c>
      <c r="E1944" s="1796">
        <v>0</v>
      </c>
      <c r="F1944" s="1797">
        <v>0</v>
      </c>
      <c r="G1944" s="1999" t="s">
        <v>6432</v>
      </c>
      <c r="H1944" s="1794">
        <v>1</v>
      </c>
      <c r="I1944" s="1794">
        <v>0</v>
      </c>
      <c r="J1944" s="2000">
        <v>0</v>
      </c>
      <c r="K1944" s="1798"/>
      <c r="L1944" s="1792">
        <v>13215010702</v>
      </c>
      <c r="M1944" s="1793">
        <v>1</v>
      </c>
      <c r="N1944" s="1793">
        <v>0</v>
      </c>
      <c r="O1944" s="1794">
        <v>0</v>
      </c>
    </row>
    <row r="1945" spans="3:15">
      <c r="C1945" s="1799" t="s">
        <v>6433</v>
      </c>
      <c r="D1945" s="1796">
        <v>0</v>
      </c>
      <c r="E1945" s="1796">
        <v>0</v>
      </c>
      <c r="F1945" s="1797">
        <v>0</v>
      </c>
      <c r="G1945" s="1999" t="s">
        <v>6433</v>
      </c>
      <c r="H1945" s="1794">
        <v>0</v>
      </c>
      <c r="I1945" s="1794">
        <v>0</v>
      </c>
      <c r="J1945" s="2000">
        <v>0</v>
      </c>
      <c r="K1945" s="1798"/>
      <c r="L1945" s="1792">
        <v>13215010703</v>
      </c>
      <c r="M1945" s="1793">
        <v>0</v>
      </c>
      <c r="N1945" s="1793">
        <v>0</v>
      </c>
      <c r="O1945" s="1794">
        <v>0</v>
      </c>
    </row>
    <row r="1946" spans="3:15">
      <c r="C1946" s="1799" t="s">
        <v>6434</v>
      </c>
      <c r="D1946" s="1796">
        <v>0</v>
      </c>
      <c r="E1946" s="1796">
        <v>1</v>
      </c>
      <c r="F1946" s="1797">
        <v>1</v>
      </c>
      <c r="G1946" s="1999" t="s">
        <v>6434</v>
      </c>
      <c r="H1946" s="1794">
        <v>0</v>
      </c>
      <c r="I1946" s="1794" t="s">
        <v>4483</v>
      </c>
      <c r="J1946" s="2000">
        <v>0</v>
      </c>
      <c r="K1946" s="1798"/>
      <c r="L1946" s="1792">
        <v>13215010801</v>
      </c>
      <c r="M1946" s="1793">
        <v>0</v>
      </c>
      <c r="N1946" s="1793">
        <v>1</v>
      </c>
      <c r="O1946" s="1794">
        <v>1</v>
      </c>
    </row>
    <row r="1947" spans="3:15">
      <c r="C1947" s="1799" t="s">
        <v>6435</v>
      </c>
      <c r="D1947" s="1796">
        <v>0</v>
      </c>
      <c r="E1947" s="1796">
        <v>1</v>
      </c>
      <c r="F1947" s="1797">
        <v>1</v>
      </c>
      <c r="G1947" s="1999" t="s">
        <v>6435</v>
      </c>
      <c r="H1947" s="1794">
        <v>1</v>
      </c>
      <c r="I1947" s="1794" t="s">
        <v>4483</v>
      </c>
      <c r="J1947" s="2000">
        <v>1</v>
      </c>
      <c r="K1947" s="1798"/>
      <c r="L1947" s="1792">
        <v>13215010802</v>
      </c>
      <c r="M1947" s="1793">
        <v>1</v>
      </c>
      <c r="N1947" s="1793">
        <v>1</v>
      </c>
      <c r="O1947" s="1794">
        <v>1</v>
      </c>
    </row>
    <row r="1948" spans="3:15">
      <c r="C1948" s="1799" t="s">
        <v>6436</v>
      </c>
      <c r="D1948" s="1796">
        <v>0</v>
      </c>
      <c r="E1948" s="1796">
        <v>0</v>
      </c>
      <c r="F1948" s="1797">
        <v>0</v>
      </c>
      <c r="G1948" s="1999" t="s">
        <v>6436</v>
      </c>
      <c r="H1948" s="1794">
        <v>0</v>
      </c>
      <c r="I1948" s="1794">
        <v>0</v>
      </c>
      <c r="J1948" s="2000">
        <v>0</v>
      </c>
      <c r="K1948" s="1798"/>
      <c r="L1948" s="1792">
        <v>13215011100</v>
      </c>
      <c r="M1948" s="1793">
        <v>0</v>
      </c>
      <c r="N1948" s="1793">
        <v>0</v>
      </c>
      <c r="O1948" s="1794">
        <v>0</v>
      </c>
    </row>
    <row r="1949" spans="3:15">
      <c r="C1949" s="1799" t="s">
        <v>6437</v>
      </c>
      <c r="D1949" s="1796">
        <v>0</v>
      </c>
      <c r="E1949" s="1796">
        <v>0</v>
      </c>
      <c r="F1949" s="1797">
        <v>0</v>
      </c>
      <c r="G1949" s="1999" t="s">
        <v>6437</v>
      </c>
      <c r="H1949" s="1794">
        <v>0</v>
      </c>
      <c r="I1949" s="1794">
        <v>0</v>
      </c>
      <c r="J1949" s="2000">
        <v>0</v>
      </c>
      <c r="K1949" s="1798"/>
      <c r="L1949" s="1792">
        <v>13215011200</v>
      </c>
      <c r="M1949" s="1793">
        <v>0</v>
      </c>
      <c r="N1949" s="1793">
        <v>0</v>
      </c>
      <c r="O1949" s="1794">
        <v>0</v>
      </c>
    </row>
    <row r="1950" spans="3:15">
      <c r="C1950" s="1799" t="s">
        <v>6438</v>
      </c>
      <c r="D1950" s="1796">
        <v>0</v>
      </c>
      <c r="E1950" s="1796">
        <v>0</v>
      </c>
      <c r="F1950" s="1797">
        <v>0</v>
      </c>
      <c r="G1950" s="1999" t="s">
        <v>6438</v>
      </c>
      <c r="H1950" s="1794">
        <v>0</v>
      </c>
      <c r="I1950" s="1794">
        <v>0</v>
      </c>
      <c r="J1950" s="2000">
        <v>0</v>
      </c>
      <c r="K1950" s="1798"/>
      <c r="L1950" s="1792">
        <v>13215011400</v>
      </c>
      <c r="M1950" s="1793">
        <v>0</v>
      </c>
      <c r="N1950" s="1793">
        <v>0</v>
      </c>
      <c r="O1950" s="1794">
        <v>0</v>
      </c>
    </row>
    <row r="1951" spans="3:15">
      <c r="C1951" s="1799" t="s">
        <v>6439</v>
      </c>
      <c r="D1951" s="1796">
        <v>0</v>
      </c>
      <c r="E1951" s="1796">
        <v>0</v>
      </c>
      <c r="F1951" s="1797">
        <v>0</v>
      </c>
      <c r="G1951" s="1999" t="s">
        <v>6439</v>
      </c>
      <c r="H1951" s="1794">
        <v>0</v>
      </c>
      <c r="I1951" s="1794">
        <v>0</v>
      </c>
      <c r="J1951" s="2000">
        <v>0</v>
      </c>
      <c r="K1951" s="1798"/>
      <c r="L1951" s="1792">
        <v>13215011500</v>
      </c>
      <c r="M1951" s="1793">
        <v>0</v>
      </c>
      <c r="N1951" s="1793">
        <v>0</v>
      </c>
      <c r="O1951" s="1794">
        <v>0</v>
      </c>
    </row>
    <row r="1952" spans="3:15">
      <c r="C1952" s="1799" t="s">
        <v>6440</v>
      </c>
      <c r="D1952" s="1796">
        <v>0</v>
      </c>
      <c r="E1952" s="1796">
        <v>1</v>
      </c>
      <c r="F1952" s="1797">
        <v>1</v>
      </c>
      <c r="G1952" s="1999" t="s">
        <v>6440</v>
      </c>
      <c r="H1952" s="1794">
        <v>0</v>
      </c>
      <c r="I1952" s="1794">
        <v>1</v>
      </c>
      <c r="J1952" s="2000">
        <v>1</v>
      </c>
      <c r="K1952" s="1798"/>
      <c r="L1952" s="1792">
        <v>13217100100</v>
      </c>
      <c r="M1952" s="1793">
        <v>0</v>
      </c>
      <c r="N1952" s="1793">
        <v>1</v>
      </c>
      <c r="O1952" s="1794">
        <v>1</v>
      </c>
    </row>
    <row r="1953" spans="3:15">
      <c r="C1953" s="1799" t="s">
        <v>6441</v>
      </c>
      <c r="D1953" s="1796">
        <v>1</v>
      </c>
      <c r="E1953" s="1796">
        <v>1</v>
      </c>
      <c r="F1953" s="1797">
        <v>2</v>
      </c>
      <c r="G1953" s="1999" t="s">
        <v>6441</v>
      </c>
      <c r="H1953" s="1794">
        <v>1</v>
      </c>
      <c r="I1953" s="1794">
        <v>1</v>
      </c>
      <c r="J1953" s="2000">
        <v>2</v>
      </c>
      <c r="K1953" s="1798"/>
      <c r="L1953" s="1792">
        <v>13217100201</v>
      </c>
      <c r="M1953" s="1793">
        <v>1</v>
      </c>
      <c r="N1953" s="1793">
        <v>1</v>
      </c>
      <c r="O1953" s="1794">
        <v>2</v>
      </c>
    </row>
    <row r="1954" spans="3:15">
      <c r="C1954" s="1799" t="s">
        <v>6442</v>
      </c>
      <c r="D1954" s="1796">
        <v>1</v>
      </c>
      <c r="E1954" s="1796">
        <v>1</v>
      </c>
      <c r="F1954" s="1797">
        <v>2</v>
      </c>
      <c r="G1954" s="1999" t="s">
        <v>6442</v>
      </c>
      <c r="H1954" s="1794">
        <v>1</v>
      </c>
      <c r="I1954" s="1794">
        <v>1</v>
      </c>
      <c r="J1954" s="2000">
        <v>2</v>
      </c>
      <c r="K1954" s="1798"/>
      <c r="L1954" s="1792">
        <v>13217100202</v>
      </c>
      <c r="M1954" s="1793">
        <v>1</v>
      </c>
      <c r="N1954" s="1793">
        <v>1</v>
      </c>
      <c r="O1954" s="1794">
        <v>2</v>
      </c>
    </row>
    <row r="1955" spans="3:15">
      <c r="C1955" s="1799" t="s">
        <v>6443</v>
      </c>
      <c r="D1955" s="1796">
        <v>0</v>
      </c>
      <c r="E1955" s="1796">
        <v>0</v>
      </c>
      <c r="F1955" s="1797">
        <v>0</v>
      </c>
      <c r="G1955" s="1999" t="s">
        <v>6443</v>
      </c>
      <c r="H1955" s="1794">
        <v>0</v>
      </c>
      <c r="I1955" s="1794">
        <v>1</v>
      </c>
      <c r="J1955" s="2000">
        <v>1</v>
      </c>
      <c r="K1955" s="1798"/>
      <c r="L1955" s="1792">
        <v>13217100300</v>
      </c>
      <c r="M1955" s="1793">
        <v>0</v>
      </c>
      <c r="N1955" s="1793">
        <v>1</v>
      </c>
      <c r="O1955" s="1794">
        <v>1</v>
      </c>
    </row>
    <row r="1956" spans="3:15">
      <c r="C1956" s="1799" t="s">
        <v>6444</v>
      </c>
      <c r="D1956" s="1796">
        <v>0</v>
      </c>
      <c r="E1956" s="1796">
        <v>0</v>
      </c>
      <c r="F1956" s="1797">
        <v>0</v>
      </c>
      <c r="G1956" s="1999" t="s">
        <v>6444</v>
      </c>
      <c r="H1956" s="1794">
        <v>0</v>
      </c>
      <c r="I1956" s="1794">
        <v>0</v>
      </c>
      <c r="J1956" s="2000">
        <v>0</v>
      </c>
      <c r="K1956" s="1798"/>
      <c r="L1956" s="1792">
        <v>13217100400</v>
      </c>
      <c r="M1956" s="1793">
        <v>0</v>
      </c>
      <c r="N1956" s="1793">
        <v>0</v>
      </c>
      <c r="O1956" s="1794">
        <v>0</v>
      </c>
    </row>
    <row r="1957" spans="3:15">
      <c r="C1957" s="1799" t="s">
        <v>6445</v>
      </c>
      <c r="D1957" s="1796">
        <v>0</v>
      </c>
      <c r="E1957" s="1796">
        <v>0</v>
      </c>
      <c r="F1957" s="1797">
        <v>0</v>
      </c>
      <c r="G1957" s="1999" t="s">
        <v>6445</v>
      </c>
      <c r="H1957" s="1794">
        <v>0</v>
      </c>
      <c r="I1957" s="1794">
        <v>1</v>
      </c>
      <c r="J1957" s="2000">
        <v>1</v>
      </c>
      <c r="K1957" s="1798"/>
      <c r="L1957" s="1792">
        <v>13217100501</v>
      </c>
      <c r="M1957" s="1793">
        <v>0</v>
      </c>
      <c r="N1957" s="1793">
        <v>1</v>
      </c>
      <c r="O1957" s="1794">
        <v>1</v>
      </c>
    </row>
    <row r="1958" spans="3:15">
      <c r="C1958" s="1799" t="s">
        <v>6446</v>
      </c>
      <c r="D1958" s="1796">
        <v>0</v>
      </c>
      <c r="E1958" s="1796">
        <v>0</v>
      </c>
      <c r="F1958" s="1797">
        <v>0</v>
      </c>
      <c r="G1958" s="1999" t="s">
        <v>6446</v>
      </c>
      <c r="H1958" s="1794">
        <v>0</v>
      </c>
      <c r="I1958" s="1794">
        <v>0</v>
      </c>
      <c r="J1958" s="2000">
        <v>0</v>
      </c>
      <c r="K1958" s="1798"/>
      <c r="L1958" s="1792">
        <v>13217100502</v>
      </c>
      <c r="M1958" s="1793">
        <v>0</v>
      </c>
      <c r="N1958" s="1793">
        <v>0</v>
      </c>
      <c r="O1958" s="1794">
        <v>0</v>
      </c>
    </row>
    <row r="1959" spans="3:15">
      <c r="C1959" s="1799" t="s">
        <v>6447</v>
      </c>
      <c r="D1959" s="1796">
        <v>0</v>
      </c>
      <c r="E1959" s="1796">
        <v>0</v>
      </c>
      <c r="F1959" s="1797">
        <v>0</v>
      </c>
      <c r="G1959" s="1999" t="s">
        <v>6447</v>
      </c>
      <c r="H1959" s="1794">
        <v>0</v>
      </c>
      <c r="I1959" s="1794">
        <v>0</v>
      </c>
      <c r="J1959" s="2000">
        <v>0</v>
      </c>
      <c r="K1959" s="1798"/>
      <c r="L1959" s="1792">
        <v>13217100600</v>
      </c>
      <c r="M1959" s="1793">
        <v>0</v>
      </c>
      <c r="N1959" s="1793">
        <v>0</v>
      </c>
      <c r="O1959" s="1794">
        <v>0</v>
      </c>
    </row>
    <row r="1960" spans="3:15">
      <c r="C1960" s="1799" t="s">
        <v>6448</v>
      </c>
      <c r="D1960" s="1796">
        <v>0</v>
      </c>
      <c r="E1960" s="1796">
        <v>0</v>
      </c>
      <c r="F1960" s="1797">
        <v>0</v>
      </c>
      <c r="G1960" s="1999" t="s">
        <v>6448</v>
      </c>
      <c r="H1960" s="1794">
        <v>0</v>
      </c>
      <c r="I1960" s="1794">
        <v>0</v>
      </c>
      <c r="J1960" s="2000">
        <v>0</v>
      </c>
      <c r="K1960" s="1798"/>
      <c r="L1960" s="1792">
        <v>13217100700</v>
      </c>
      <c r="M1960" s="1793">
        <v>0</v>
      </c>
      <c r="N1960" s="1793">
        <v>0</v>
      </c>
      <c r="O1960" s="1794">
        <v>0</v>
      </c>
    </row>
    <row r="1961" spans="3:15">
      <c r="C1961" s="1799" t="s">
        <v>6449</v>
      </c>
      <c r="D1961" s="1796">
        <v>0</v>
      </c>
      <c r="E1961" s="1796">
        <v>1</v>
      </c>
      <c r="F1961" s="1797">
        <v>1</v>
      </c>
      <c r="G1961" s="1999" t="s">
        <v>6449</v>
      </c>
      <c r="H1961" s="1794">
        <v>0</v>
      </c>
      <c r="I1961" s="1794">
        <v>0</v>
      </c>
      <c r="J1961" s="2000">
        <v>0</v>
      </c>
      <c r="K1961" s="1798"/>
      <c r="L1961" s="1792">
        <v>13217100800</v>
      </c>
      <c r="M1961" s="1793">
        <v>0</v>
      </c>
      <c r="N1961" s="1793">
        <v>1</v>
      </c>
      <c r="O1961" s="1794">
        <v>1</v>
      </c>
    </row>
    <row r="1962" spans="3:15">
      <c r="C1962" s="1799" t="s">
        <v>6450</v>
      </c>
      <c r="D1962" s="1796">
        <v>0</v>
      </c>
      <c r="E1962" s="1796">
        <v>1</v>
      </c>
      <c r="F1962" s="1797">
        <v>1</v>
      </c>
      <c r="G1962" s="1999" t="s">
        <v>6450</v>
      </c>
      <c r="H1962" s="1794">
        <v>0</v>
      </c>
      <c r="I1962" s="1794">
        <v>1</v>
      </c>
      <c r="J1962" s="2000">
        <v>1</v>
      </c>
      <c r="K1962" s="1798"/>
      <c r="L1962" s="1792">
        <v>13217100901</v>
      </c>
      <c r="M1962" s="1793">
        <v>0</v>
      </c>
      <c r="N1962" s="1793">
        <v>1</v>
      </c>
      <c r="O1962" s="1794">
        <v>1</v>
      </c>
    </row>
    <row r="1963" spans="3:15">
      <c r="C1963" s="1799" t="s">
        <v>6451</v>
      </c>
      <c r="D1963" s="1796">
        <v>0</v>
      </c>
      <c r="E1963" s="1796">
        <v>0</v>
      </c>
      <c r="F1963" s="1797">
        <v>0</v>
      </c>
      <c r="G1963" s="1999" t="s">
        <v>6451</v>
      </c>
      <c r="H1963" s="1794">
        <v>0</v>
      </c>
      <c r="I1963" s="1794">
        <v>0</v>
      </c>
      <c r="J1963" s="2000">
        <v>0</v>
      </c>
      <c r="K1963" s="1798"/>
      <c r="L1963" s="1792">
        <v>13217100902</v>
      </c>
      <c r="M1963" s="1793">
        <v>0</v>
      </c>
      <c r="N1963" s="1793">
        <v>0</v>
      </c>
      <c r="O1963" s="1794">
        <v>0</v>
      </c>
    </row>
    <row r="1964" spans="3:15">
      <c r="C1964" s="1799" t="s">
        <v>6452</v>
      </c>
      <c r="D1964" s="1796">
        <v>0</v>
      </c>
      <c r="E1964" s="1796">
        <v>0</v>
      </c>
      <c r="F1964" s="1797">
        <v>0</v>
      </c>
      <c r="G1964" s="1999" t="s">
        <v>6452</v>
      </c>
      <c r="H1964" s="1794">
        <v>0</v>
      </c>
      <c r="I1964" s="1794">
        <v>0</v>
      </c>
      <c r="J1964" s="2000">
        <v>0</v>
      </c>
      <c r="K1964" s="1798"/>
      <c r="L1964" s="1792">
        <v>13217100903</v>
      </c>
      <c r="M1964" s="1793">
        <v>0</v>
      </c>
      <c r="N1964" s="1793">
        <v>0</v>
      </c>
      <c r="O1964" s="1794">
        <v>0</v>
      </c>
    </row>
    <row r="1965" spans="3:15">
      <c r="C1965" s="1799" t="s">
        <v>6453</v>
      </c>
      <c r="D1965" s="1796">
        <v>1</v>
      </c>
      <c r="E1965" s="1796">
        <v>1</v>
      </c>
      <c r="F1965" s="1797">
        <v>2</v>
      </c>
      <c r="G1965" s="1999" t="s">
        <v>6453</v>
      </c>
      <c r="H1965" s="1794">
        <v>1</v>
      </c>
      <c r="I1965" s="1794">
        <v>1</v>
      </c>
      <c r="J1965" s="2000">
        <v>2</v>
      </c>
      <c r="K1965" s="1798"/>
      <c r="L1965" s="1792">
        <v>13219030100</v>
      </c>
      <c r="M1965" s="1793">
        <v>1</v>
      </c>
      <c r="N1965" s="1793">
        <v>1</v>
      </c>
      <c r="O1965" s="1794">
        <v>2</v>
      </c>
    </row>
    <row r="1966" spans="3:15">
      <c r="C1966" s="1799" t="s">
        <v>6454</v>
      </c>
      <c r="D1966" s="1796">
        <v>1</v>
      </c>
      <c r="E1966" s="1796">
        <v>1</v>
      </c>
      <c r="F1966" s="1797">
        <v>2</v>
      </c>
      <c r="G1966" s="1999" t="s">
        <v>6454</v>
      </c>
      <c r="H1966" s="1794">
        <v>1</v>
      </c>
      <c r="I1966" s="1794">
        <v>1</v>
      </c>
      <c r="J1966" s="2000">
        <v>2</v>
      </c>
      <c r="K1966" s="1798"/>
      <c r="L1966" s="1792">
        <v>13219030200</v>
      </c>
      <c r="M1966" s="1793">
        <v>1</v>
      </c>
      <c r="N1966" s="1793">
        <v>1</v>
      </c>
      <c r="O1966" s="1794">
        <v>2</v>
      </c>
    </row>
    <row r="1967" spans="3:15">
      <c r="C1967" s="1799" t="s">
        <v>6455</v>
      </c>
      <c r="D1967" s="1796">
        <v>1</v>
      </c>
      <c r="E1967" s="1796">
        <v>1</v>
      </c>
      <c r="F1967" s="1797">
        <v>2</v>
      </c>
      <c r="G1967" s="1999" t="s">
        <v>6455</v>
      </c>
      <c r="H1967" s="1794">
        <v>1</v>
      </c>
      <c r="I1967" s="1794">
        <v>1</v>
      </c>
      <c r="J1967" s="2000">
        <v>2</v>
      </c>
      <c r="K1967" s="1798"/>
      <c r="L1967" s="1792">
        <v>13219030300</v>
      </c>
      <c r="M1967" s="1793">
        <v>1</v>
      </c>
      <c r="N1967" s="1793">
        <v>1</v>
      </c>
      <c r="O1967" s="1794">
        <v>2</v>
      </c>
    </row>
    <row r="1968" spans="3:15">
      <c r="C1968" s="1799" t="s">
        <v>6456</v>
      </c>
      <c r="D1968" s="1796">
        <v>1</v>
      </c>
      <c r="E1968" s="1796">
        <v>1</v>
      </c>
      <c r="F1968" s="1797">
        <v>2</v>
      </c>
      <c r="G1968" s="1999" t="s">
        <v>6456</v>
      </c>
      <c r="H1968" s="1794">
        <v>1</v>
      </c>
      <c r="I1968" s="1794">
        <v>1</v>
      </c>
      <c r="J1968" s="2000">
        <v>2</v>
      </c>
      <c r="K1968" s="1798"/>
      <c r="L1968" s="1792">
        <v>13219030400</v>
      </c>
      <c r="M1968" s="1793">
        <v>1</v>
      </c>
      <c r="N1968" s="1793">
        <v>1</v>
      </c>
      <c r="O1968" s="1794">
        <v>2</v>
      </c>
    </row>
    <row r="1969" spans="3:15">
      <c r="C1969" s="1799" t="s">
        <v>6457</v>
      </c>
      <c r="D1969" s="1796">
        <v>1</v>
      </c>
      <c r="E1969" s="1796">
        <v>1</v>
      </c>
      <c r="F1969" s="1797">
        <v>2</v>
      </c>
      <c r="G1969" s="1999" t="s">
        <v>6457</v>
      </c>
      <c r="H1969" s="1794">
        <v>1</v>
      </c>
      <c r="I1969" s="1794">
        <v>1</v>
      </c>
      <c r="J1969" s="2000">
        <v>2</v>
      </c>
      <c r="K1969" s="1798"/>
      <c r="L1969" s="1792">
        <v>13219030500</v>
      </c>
      <c r="M1969" s="1793">
        <v>1</v>
      </c>
      <c r="N1969" s="1793">
        <v>1</v>
      </c>
      <c r="O1969" s="1794">
        <v>2</v>
      </c>
    </row>
    <row r="1970" spans="3:15">
      <c r="C1970" s="1799" t="s">
        <v>6458</v>
      </c>
      <c r="D1970" s="1796">
        <v>1</v>
      </c>
      <c r="E1970" s="1796">
        <v>1</v>
      </c>
      <c r="F1970" s="1797">
        <v>2</v>
      </c>
      <c r="G1970" s="1999" t="s">
        <v>6458</v>
      </c>
      <c r="H1970" s="1794">
        <v>1</v>
      </c>
      <c r="I1970" s="1794">
        <v>1</v>
      </c>
      <c r="J1970" s="2000">
        <v>2</v>
      </c>
      <c r="K1970" s="1798"/>
      <c r="L1970" s="1792">
        <v>13219030600</v>
      </c>
      <c r="M1970" s="1793">
        <v>1</v>
      </c>
      <c r="N1970" s="1793">
        <v>1</v>
      </c>
      <c r="O1970" s="1794">
        <v>2</v>
      </c>
    </row>
    <row r="1971" spans="3:15">
      <c r="C1971" s="1799" t="s">
        <v>6459</v>
      </c>
      <c r="D1971" s="1796">
        <v>0</v>
      </c>
      <c r="E1971" s="1796">
        <v>0</v>
      </c>
      <c r="F1971" s="1797">
        <v>0</v>
      </c>
      <c r="G1971" s="1999" t="s">
        <v>6459</v>
      </c>
      <c r="H1971" s="1794">
        <v>0</v>
      </c>
      <c r="I1971" s="1794">
        <v>0</v>
      </c>
      <c r="J1971" s="2000">
        <v>0</v>
      </c>
      <c r="K1971" s="1798"/>
      <c r="L1971" s="1792">
        <v>13221960100</v>
      </c>
      <c r="M1971" s="1793">
        <v>0</v>
      </c>
      <c r="N1971" s="1793">
        <v>0</v>
      </c>
      <c r="O1971" s="1794">
        <v>0</v>
      </c>
    </row>
    <row r="1972" spans="3:15">
      <c r="C1972" s="1799" t="s">
        <v>6460</v>
      </c>
      <c r="D1972" s="1796">
        <v>1</v>
      </c>
      <c r="E1972" s="1796">
        <v>1</v>
      </c>
      <c r="F1972" s="1797">
        <v>2</v>
      </c>
      <c r="G1972" s="1999" t="s">
        <v>6460</v>
      </c>
      <c r="H1972" s="1794">
        <v>1</v>
      </c>
      <c r="I1972" s="1794">
        <v>1</v>
      </c>
      <c r="J1972" s="2000">
        <v>2</v>
      </c>
      <c r="K1972" s="1798"/>
      <c r="L1972" s="1792">
        <v>13221960201</v>
      </c>
      <c r="M1972" s="1793">
        <v>1</v>
      </c>
      <c r="N1972" s="1793">
        <v>1</v>
      </c>
      <c r="O1972" s="1794">
        <v>2</v>
      </c>
    </row>
    <row r="1973" spans="3:15">
      <c r="C1973" s="1799" t="s">
        <v>6461</v>
      </c>
      <c r="D1973" s="1796">
        <v>0</v>
      </c>
      <c r="E1973" s="1796">
        <v>0</v>
      </c>
      <c r="F1973" s="1797">
        <v>0</v>
      </c>
      <c r="G1973" s="1999" t="s">
        <v>6461</v>
      </c>
      <c r="H1973" s="1794">
        <v>0</v>
      </c>
      <c r="I1973" s="1794">
        <v>1</v>
      </c>
      <c r="J1973" s="2000">
        <v>1</v>
      </c>
      <c r="K1973" s="1798"/>
      <c r="L1973" s="1792">
        <v>13221960202</v>
      </c>
      <c r="M1973" s="1793">
        <v>0</v>
      </c>
      <c r="N1973" s="1793">
        <v>1</v>
      </c>
      <c r="O1973" s="1794">
        <v>1</v>
      </c>
    </row>
    <row r="1974" spans="3:15">
      <c r="C1974" s="1799" t="s">
        <v>6462</v>
      </c>
      <c r="D1974" s="1796">
        <v>0</v>
      </c>
      <c r="E1974" s="1796">
        <v>0</v>
      </c>
      <c r="F1974" s="1797">
        <v>0</v>
      </c>
      <c r="G1974" s="1999" t="s">
        <v>6462</v>
      </c>
      <c r="H1974" s="1794">
        <v>0</v>
      </c>
      <c r="I1974" s="1794">
        <v>0</v>
      </c>
      <c r="J1974" s="2000">
        <v>0</v>
      </c>
      <c r="K1974" s="1798"/>
      <c r="L1974" s="1792">
        <v>13221960300</v>
      </c>
      <c r="M1974" s="1793">
        <v>0</v>
      </c>
      <c r="N1974" s="1793">
        <v>0</v>
      </c>
      <c r="O1974" s="1794">
        <v>0</v>
      </c>
    </row>
    <row r="1975" spans="3:15">
      <c r="C1975" s="1799" t="s">
        <v>6463</v>
      </c>
      <c r="D1975" s="1796">
        <v>1</v>
      </c>
      <c r="E1975" s="1796">
        <v>1</v>
      </c>
      <c r="F1975" s="1797">
        <v>2</v>
      </c>
      <c r="G1975" s="1999" t="s">
        <v>6463</v>
      </c>
      <c r="H1975" s="1794">
        <v>1</v>
      </c>
      <c r="I1975" s="1794">
        <v>1</v>
      </c>
      <c r="J1975" s="2000">
        <v>2</v>
      </c>
      <c r="K1975" s="1798"/>
      <c r="L1975" s="1792">
        <v>13223120101</v>
      </c>
      <c r="M1975" s="1793">
        <v>1</v>
      </c>
      <c r="N1975" s="1793">
        <v>1</v>
      </c>
      <c r="O1975" s="1794">
        <v>2</v>
      </c>
    </row>
    <row r="1976" spans="3:15">
      <c r="C1976" s="1799" t="s">
        <v>6464</v>
      </c>
      <c r="D1976" s="1796">
        <v>1</v>
      </c>
      <c r="E1976" s="1796">
        <v>1</v>
      </c>
      <c r="F1976" s="1797">
        <v>2</v>
      </c>
      <c r="G1976" s="1999" t="s">
        <v>6464</v>
      </c>
      <c r="H1976" s="1794">
        <v>1</v>
      </c>
      <c r="I1976" s="1794">
        <v>1</v>
      </c>
      <c r="J1976" s="2000">
        <v>2</v>
      </c>
      <c r="K1976" s="1798"/>
      <c r="L1976" s="1792">
        <v>13223120102</v>
      </c>
      <c r="M1976" s="1793">
        <v>1</v>
      </c>
      <c r="N1976" s="1793">
        <v>1</v>
      </c>
      <c r="O1976" s="1794">
        <v>2</v>
      </c>
    </row>
    <row r="1977" spans="3:15">
      <c r="C1977" s="1799" t="s">
        <v>6465</v>
      </c>
      <c r="D1977" s="1796">
        <v>1</v>
      </c>
      <c r="E1977" s="1796">
        <v>1</v>
      </c>
      <c r="F1977" s="1797">
        <v>2</v>
      </c>
      <c r="G1977" s="1999" t="s">
        <v>6465</v>
      </c>
      <c r="H1977" s="1794">
        <v>1</v>
      </c>
      <c r="I1977" s="1794" t="s">
        <v>4483</v>
      </c>
      <c r="J1977" s="2000">
        <v>1</v>
      </c>
      <c r="K1977" s="1798"/>
      <c r="L1977" s="1792">
        <v>13223120103</v>
      </c>
      <c r="M1977" s="1793">
        <v>1</v>
      </c>
      <c r="N1977" s="1793">
        <v>1</v>
      </c>
      <c r="O1977" s="1794">
        <v>2</v>
      </c>
    </row>
    <row r="1978" spans="3:15">
      <c r="C1978" s="1799" t="s">
        <v>6466</v>
      </c>
      <c r="D1978" s="1796">
        <v>1</v>
      </c>
      <c r="E1978" s="1796">
        <v>1</v>
      </c>
      <c r="F1978" s="1797">
        <v>2</v>
      </c>
      <c r="G1978" s="1999" t="s">
        <v>6466</v>
      </c>
      <c r="H1978" s="1794">
        <v>1</v>
      </c>
      <c r="I1978" s="1794" t="s">
        <v>4483</v>
      </c>
      <c r="J1978" s="2000">
        <v>1</v>
      </c>
      <c r="K1978" s="1798"/>
      <c r="L1978" s="1792">
        <v>13223120104</v>
      </c>
      <c r="M1978" s="1793">
        <v>1</v>
      </c>
      <c r="N1978" s="1793">
        <v>1</v>
      </c>
      <c r="O1978" s="1794">
        <v>2</v>
      </c>
    </row>
    <row r="1979" spans="3:15">
      <c r="C1979" s="1799" t="s">
        <v>6467</v>
      </c>
      <c r="D1979" s="1796">
        <v>1</v>
      </c>
      <c r="E1979" s="1796">
        <v>1</v>
      </c>
      <c r="F1979" s="1797">
        <v>2</v>
      </c>
      <c r="G1979" s="1999" t="s">
        <v>6467</v>
      </c>
      <c r="H1979" s="1794">
        <v>1</v>
      </c>
      <c r="I1979" s="1794">
        <v>1</v>
      </c>
      <c r="J1979" s="2000">
        <v>2</v>
      </c>
      <c r="K1979" s="1798"/>
      <c r="L1979" s="1792">
        <v>13223120202</v>
      </c>
      <c r="M1979" s="1793">
        <v>1</v>
      </c>
      <c r="N1979" s="1793">
        <v>1</v>
      </c>
      <c r="O1979" s="1794">
        <v>2</v>
      </c>
    </row>
    <row r="1980" spans="3:15">
      <c r="C1980" s="1799" t="s">
        <v>6468</v>
      </c>
      <c r="D1980" s="1796">
        <v>1</v>
      </c>
      <c r="E1980" s="1796">
        <v>1</v>
      </c>
      <c r="F1980" s="1797">
        <v>2</v>
      </c>
      <c r="G1980" s="1999" t="s">
        <v>6468</v>
      </c>
      <c r="H1980" s="1794">
        <v>1</v>
      </c>
      <c r="I1980" s="1794">
        <v>1</v>
      </c>
      <c r="J1980" s="2000">
        <v>2</v>
      </c>
      <c r="K1980" s="1798"/>
      <c r="L1980" s="1792">
        <v>13223120203</v>
      </c>
      <c r="M1980" s="1793">
        <v>1</v>
      </c>
      <c r="N1980" s="1793">
        <v>1</v>
      </c>
      <c r="O1980" s="1794">
        <v>2</v>
      </c>
    </row>
    <row r="1981" spans="3:15">
      <c r="C1981" s="1799" t="s">
        <v>6469</v>
      </c>
      <c r="D1981" s="1796">
        <v>1</v>
      </c>
      <c r="E1981" s="1796">
        <v>1</v>
      </c>
      <c r="F1981" s="1797">
        <v>2</v>
      </c>
      <c r="G1981" s="1999" t="s">
        <v>6469</v>
      </c>
      <c r="H1981" s="1794">
        <v>1</v>
      </c>
      <c r="I1981" s="1794">
        <v>1</v>
      </c>
      <c r="J1981" s="2000">
        <v>2</v>
      </c>
      <c r="K1981" s="1798"/>
      <c r="L1981" s="1792">
        <v>13223120204</v>
      </c>
      <c r="M1981" s="1793">
        <v>1</v>
      </c>
      <c r="N1981" s="1793">
        <v>1</v>
      </c>
      <c r="O1981" s="1794">
        <v>2</v>
      </c>
    </row>
    <row r="1982" spans="3:15">
      <c r="C1982" s="1799" t="s">
        <v>6470</v>
      </c>
      <c r="D1982" s="1796">
        <v>1</v>
      </c>
      <c r="E1982" s="1796">
        <v>0</v>
      </c>
      <c r="F1982" s="1797">
        <v>1</v>
      </c>
      <c r="G1982" s="1999" t="s">
        <v>6470</v>
      </c>
      <c r="H1982" s="1794">
        <v>1</v>
      </c>
      <c r="I1982" s="1794">
        <v>1</v>
      </c>
      <c r="J1982" s="2000">
        <v>2</v>
      </c>
      <c r="K1982" s="1798"/>
      <c r="L1982" s="1792">
        <v>13223120301</v>
      </c>
      <c r="M1982" s="1793">
        <v>1</v>
      </c>
      <c r="N1982" s="1793">
        <v>1</v>
      </c>
      <c r="O1982" s="1794">
        <v>2</v>
      </c>
    </row>
    <row r="1983" spans="3:15">
      <c r="C1983" s="1799" t="s">
        <v>6471</v>
      </c>
      <c r="D1983" s="1796">
        <v>1</v>
      </c>
      <c r="E1983" s="1796">
        <v>0</v>
      </c>
      <c r="F1983" s="1797">
        <v>1</v>
      </c>
      <c r="G1983" s="1999" t="s">
        <v>6471</v>
      </c>
      <c r="H1983" s="1794">
        <v>1</v>
      </c>
      <c r="I1983" s="1794">
        <v>0</v>
      </c>
      <c r="J1983" s="2000">
        <v>1</v>
      </c>
      <c r="K1983" s="1798"/>
      <c r="L1983" s="1792">
        <v>13223120302</v>
      </c>
      <c r="M1983" s="1793">
        <v>1</v>
      </c>
      <c r="N1983" s="1793">
        <v>0</v>
      </c>
      <c r="O1983" s="1794">
        <v>1</v>
      </c>
    </row>
    <row r="1984" spans="3:15">
      <c r="C1984" s="1799" t="s">
        <v>6472</v>
      </c>
      <c r="D1984" s="1796">
        <v>1</v>
      </c>
      <c r="E1984" s="1796">
        <v>1</v>
      </c>
      <c r="F1984" s="1797">
        <v>2</v>
      </c>
      <c r="G1984" s="1999" t="s">
        <v>6472</v>
      </c>
      <c r="H1984" s="1794">
        <v>0</v>
      </c>
      <c r="I1984" s="1794">
        <v>0</v>
      </c>
      <c r="J1984" s="2000">
        <v>0</v>
      </c>
      <c r="K1984" s="1798"/>
      <c r="L1984" s="1792">
        <v>13223120303</v>
      </c>
      <c r="M1984" s="1793">
        <v>1</v>
      </c>
      <c r="N1984" s="1793">
        <v>1</v>
      </c>
      <c r="O1984" s="1794">
        <v>2</v>
      </c>
    </row>
    <row r="1985" spans="3:15">
      <c r="C1985" s="1799" t="s">
        <v>6473</v>
      </c>
      <c r="D1985" s="1796">
        <v>0</v>
      </c>
      <c r="E1985" s="1796">
        <v>1</v>
      </c>
      <c r="F1985" s="1797">
        <v>1</v>
      </c>
      <c r="G1985" s="1999" t="s">
        <v>6473</v>
      </c>
      <c r="H1985" s="1794">
        <v>1</v>
      </c>
      <c r="I1985" s="1794">
        <v>1</v>
      </c>
      <c r="J1985" s="2000">
        <v>2</v>
      </c>
      <c r="K1985" s="1798"/>
      <c r="L1985" s="1792">
        <v>13223120400</v>
      </c>
      <c r="M1985" s="1793">
        <v>1</v>
      </c>
      <c r="N1985" s="1793">
        <v>1</v>
      </c>
      <c r="O1985" s="1794">
        <v>2</v>
      </c>
    </row>
    <row r="1986" spans="3:15">
      <c r="C1986" s="1799" t="s">
        <v>6474</v>
      </c>
      <c r="D1986" s="1796">
        <v>1</v>
      </c>
      <c r="E1986" s="1796">
        <v>1</v>
      </c>
      <c r="F1986" s="1797">
        <v>2</v>
      </c>
      <c r="G1986" s="1999" t="s">
        <v>6474</v>
      </c>
      <c r="H1986" s="1794">
        <v>1</v>
      </c>
      <c r="I1986" s="1794">
        <v>1</v>
      </c>
      <c r="J1986" s="2000">
        <v>1</v>
      </c>
      <c r="K1986" s="1798"/>
      <c r="L1986" s="1792">
        <v>13223120501</v>
      </c>
      <c r="M1986" s="1793">
        <v>1</v>
      </c>
      <c r="N1986" s="1793">
        <v>1</v>
      </c>
      <c r="O1986" s="1794">
        <v>2</v>
      </c>
    </row>
    <row r="1987" spans="3:15">
      <c r="C1987" s="1799" t="s">
        <v>6475</v>
      </c>
      <c r="D1987" s="1796">
        <v>1</v>
      </c>
      <c r="E1987" s="1796">
        <v>1</v>
      </c>
      <c r="F1987" s="1797">
        <v>2</v>
      </c>
      <c r="G1987" s="1999" t="s">
        <v>6475</v>
      </c>
      <c r="H1987" s="1794">
        <v>1</v>
      </c>
      <c r="I1987" s="1794">
        <v>0</v>
      </c>
      <c r="J1987" s="2000">
        <v>1</v>
      </c>
      <c r="K1987" s="1798"/>
      <c r="L1987" s="1792">
        <v>13223120502</v>
      </c>
      <c r="M1987" s="1793">
        <v>1</v>
      </c>
      <c r="N1987" s="1793">
        <v>1</v>
      </c>
      <c r="O1987" s="1794">
        <v>2</v>
      </c>
    </row>
    <row r="1988" spans="3:15">
      <c r="C1988" s="1799" t="s">
        <v>6476</v>
      </c>
      <c r="D1988" s="1796">
        <v>1</v>
      </c>
      <c r="E1988" s="1796">
        <v>1</v>
      </c>
      <c r="F1988" s="1797">
        <v>2</v>
      </c>
      <c r="G1988" s="1999" t="s">
        <v>6476</v>
      </c>
      <c r="H1988" s="1794">
        <v>0</v>
      </c>
      <c r="I1988" s="1794">
        <v>1</v>
      </c>
      <c r="J1988" s="2000">
        <v>1</v>
      </c>
      <c r="K1988" s="1798"/>
      <c r="L1988" s="1792">
        <v>13223120503</v>
      </c>
      <c r="M1988" s="1793">
        <v>1</v>
      </c>
      <c r="N1988" s="1793">
        <v>1</v>
      </c>
      <c r="O1988" s="1794">
        <v>2</v>
      </c>
    </row>
    <row r="1989" spans="3:15">
      <c r="C1989" s="1799" t="s">
        <v>6477</v>
      </c>
      <c r="D1989" s="1796">
        <v>1</v>
      </c>
      <c r="E1989" s="1796">
        <v>1</v>
      </c>
      <c r="F1989" s="1797">
        <v>2</v>
      </c>
      <c r="G1989" s="1999" t="s">
        <v>6477</v>
      </c>
      <c r="H1989" s="1794">
        <v>1</v>
      </c>
      <c r="I1989" s="1794">
        <v>0</v>
      </c>
      <c r="J1989" s="2000">
        <v>1</v>
      </c>
      <c r="K1989" s="1798"/>
      <c r="L1989" s="1792">
        <v>13223120601</v>
      </c>
      <c r="M1989" s="1793">
        <v>1</v>
      </c>
      <c r="N1989" s="1793">
        <v>1</v>
      </c>
      <c r="O1989" s="1794">
        <v>2</v>
      </c>
    </row>
    <row r="1990" spans="3:15">
      <c r="C1990" s="1799" t="s">
        <v>6478</v>
      </c>
      <c r="D1990" s="1796">
        <v>1</v>
      </c>
      <c r="E1990" s="1796">
        <v>1</v>
      </c>
      <c r="F1990" s="1797">
        <v>2</v>
      </c>
      <c r="G1990" s="1999" t="s">
        <v>6478</v>
      </c>
      <c r="H1990" s="1794">
        <v>1</v>
      </c>
      <c r="I1990" s="1794" t="s">
        <v>4483</v>
      </c>
      <c r="J1990" s="2000">
        <v>1</v>
      </c>
      <c r="K1990" s="1798"/>
      <c r="L1990" s="1792">
        <v>13223120602</v>
      </c>
      <c r="M1990" s="1793">
        <v>1</v>
      </c>
      <c r="N1990" s="1793">
        <v>1</v>
      </c>
      <c r="O1990" s="1794">
        <v>2</v>
      </c>
    </row>
    <row r="1991" spans="3:15">
      <c r="C1991" s="1799" t="s">
        <v>6479</v>
      </c>
      <c r="D1991" s="1796">
        <v>1</v>
      </c>
      <c r="E1991" s="1796">
        <v>1</v>
      </c>
      <c r="F1991" s="1797">
        <v>2</v>
      </c>
      <c r="G1991" s="1999" t="s">
        <v>6479</v>
      </c>
      <c r="H1991" s="1794">
        <v>0</v>
      </c>
      <c r="I1991" s="1794">
        <v>1</v>
      </c>
      <c r="J1991" s="2000">
        <v>1</v>
      </c>
      <c r="K1991" s="1798"/>
      <c r="L1991" s="1792">
        <v>13223120603</v>
      </c>
      <c r="M1991" s="1793">
        <v>1</v>
      </c>
      <c r="N1991" s="1793">
        <v>1</v>
      </c>
      <c r="O1991" s="1794">
        <v>2</v>
      </c>
    </row>
    <row r="1992" spans="3:15">
      <c r="C1992" s="1799" t="s">
        <v>6480</v>
      </c>
      <c r="D1992" s="1796">
        <v>1</v>
      </c>
      <c r="E1992" s="1796">
        <v>1</v>
      </c>
      <c r="F1992" s="1797">
        <v>2</v>
      </c>
      <c r="G1992" s="1999" t="s">
        <v>6480</v>
      </c>
      <c r="H1992" s="1794">
        <v>1</v>
      </c>
      <c r="I1992" s="1794">
        <v>1</v>
      </c>
      <c r="J1992" s="2000">
        <v>2</v>
      </c>
      <c r="K1992" s="1798"/>
      <c r="L1992" s="1792">
        <v>13223120604</v>
      </c>
      <c r="M1992" s="1793">
        <v>1</v>
      </c>
      <c r="N1992" s="1793">
        <v>1</v>
      </c>
      <c r="O1992" s="1794">
        <v>2</v>
      </c>
    </row>
    <row r="1993" spans="3:15">
      <c r="C1993" s="1799" t="s">
        <v>6481</v>
      </c>
      <c r="D1993" s="1796">
        <v>1</v>
      </c>
      <c r="E1993" s="1796">
        <v>1</v>
      </c>
      <c r="F1993" s="1797">
        <v>2</v>
      </c>
      <c r="G1993" s="1999" t="s">
        <v>6481</v>
      </c>
      <c r="H1993" s="1794">
        <v>1</v>
      </c>
      <c r="I1993" s="1794">
        <v>0</v>
      </c>
      <c r="J1993" s="2000">
        <v>1</v>
      </c>
      <c r="K1993" s="1798"/>
      <c r="L1993" s="1792">
        <v>13223120605</v>
      </c>
      <c r="M1993" s="1793">
        <v>1</v>
      </c>
      <c r="N1993" s="1793">
        <v>1</v>
      </c>
      <c r="O1993" s="1794">
        <v>2</v>
      </c>
    </row>
    <row r="1994" spans="3:15">
      <c r="C1994" s="1799" t="s">
        <v>6482</v>
      </c>
      <c r="D1994" s="1796">
        <v>1</v>
      </c>
      <c r="E1994" s="1796">
        <v>1</v>
      </c>
      <c r="F1994" s="1797">
        <v>2</v>
      </c>
      <c r="G1994" s="1999" t="s">
        <v>6482</v>
      </c>
      <c r="H1994" s="1794">
        <v>1</v>
      </c>
      <c r="I1994" s="1794">
        <v>1</v>
      </c>
      <c r="J1994" s="2000">
        <v>2</v>
      </c>
      <c r="K1994" s="1798"/>
      <c r="L1994" s="1792">
        <v>13225040101</v>
      </c>
      <c r="M1994" s="1793">
        <v>1</v>
      </c>
      <c r="N1994" s="1793">
        <v>1</v>
      </c>
      <c r="O1994" s="1794">
        <v>2</v>
      </c>
    </row>
    <row r="1995" spans="3:15">
      <c r="C1995" s="1799" t="s">
        <v>6483</v>
      </c>
      <c r="D1995" s="1796">
        <v>1</v>
      </c>
      <c r="E1995" s="1796">
        <v>1</v>
      </c>
      <c r="F1995" s="1797">
        <v>2</v>
      </c>
      <c r="G1995" s="1999" t="s">
        <v>6483</v>
      </c>
      <c r="H1995" s="1794">
        <v>0</v>
      </c>
      <c r="I1995" s="1794">
        <v>1</v>
      </c>
      <c r="J1995" s="2000">
        <v>1</v>
      </c>
      <c r="K1995" s="1798"/>
      <c r="L1995" s="1792">
        <v>13225040102</v>
      </c>
      <c r="M1995" s="1793">
        <v>1</v>
      </c>
      <c r="N1995" s="1793">
        <v>1</v>
      </c>
      <c r="O1995" s="1794">
        <v>2</v>
      </c>
    </row>
    <row r="1996" spans="3:15">
      <c r="C1996" s="1799" t="s">
        <v>6484</v>
      </c>
      <c r="D1996" s="1796">
        <v>0</v>
      </c>
      <c r="E1996" s="1796">
        <v>0</v>
      </c>
      <c r="F1996" s="1797">
        <v>0</v>
      </c>
      <c r="G1996" s="1999" t="s">
        <v>6484</v>
      </c>
      <c r="H1996" s="1794">
        <v>0</v>
      </c>
      <c r="I1996" s="1794">
        <v>0</v>
      </c>
      <c r="J1996" s="2000">
        <v>0</v>
      </c>
      <c r="K1996" s="1798"/>
      <c r="L1996" s="1792">
        <v>13225040200</v>
      </c>
      <c r="M1996" s="1793">
        <v>0</v>
      </c>
      <c r="N1996" s="1793">
        <v>0</v>
      </c>
      <c r="O1996" s="1794">
        <v>0</v>
      </c>
    </row>
    <row r="1997" spans="3:15">
      <c r="C1997" s="1799" t="s">
        <v>6485</v>
      </c>
      <c r="D1997" s="1796">
        <v>1</v>
      </c>
      <c r="E1997" s="1796">
        <v>0</v>
      </c>
      <c r="F1997" s="1797">
        <v>1</v>
      </c>
      <c r="G1997" s="1999" t="s">
        <v>6485</v>
      </c>
      <c r="H1997" s="1794">
        <v>0</v>
      </c>
      <c r="I1997" s="1794">
        <v>0</v>
      </c>
      <c r="J1997" s="2000">
        <v>0</v>
      </c>
      <c r="K1997" s="1798"/>
      <c r="L1997" s="1792">
        <v>13225040301</v>
      </c>
      <c r="M1997" s="1793">
        <v>1</v>
      </c>
      <c r="N1997" s="1793">
        <v>0</v>
      </c>
      <c r="O1997" s="1794">
        <v>1</v>
      </c>
    </row>
    <row r="1998" spans="3:15">
      <c r="C1998" s="1799" t="s">
        <v>6486</v>
      </c>
      <c r="D1998" s="1796">
        <v>0</v>
      </c>
      <c r="E1998" s="1796">
        <v>0</v>
      </c>
      <c r="F1998" s="1797">
        <v>0</v>
      </c>
      <c r="G1998" s="1999" t="s">
        <v>6486</v>
      </c>
      <c r="H1998" s="1794">
        <v>0</v>
      </c>
      <c r="I1998" s="1794">
        <v>0</v>
      </c>
      <c r="J1998" s="2000">
        <v>0</v>
      </c>
      <c r="K1998" s="1798"/>
      <c r="L1998" s="1792">
        <v>13225040302</v>
      </c>
      <c r="M1998" s="1793">
        <v>0</v>
      </c>
      <c r="N1998" s="1793">
        <v>0</v>
      </c>
      <c r="O1998" s="1794">
        <v>0</v>
      </c>
    </row>
    <row r="1999" spans="3:15">
      <c r="C1999" s="1799" t="s">
        <v>6487</v>
      </c>
      <c r="D1999" s="1796">
        <v>0</v>
      </c>
      <c r="E1999" s="1796">
        <v>0</v>
      </c>
      <c r="F1999" s="1797">
        <v>0</v>
      </c>
      <c r="G1999" s="1999" t="s">
        <v>6487</v>
      </c>
      <c r="H1999" s="1794">
        <v>0</v>
      </c>
      <c r="I1999" s="1794" t="s">
        <v>4483</v>
      </c>
      <c r="J1999" s="2000">
        <v>0</v>
      </c>
      <c r="K1999" s="1798"/>
      <c r="L1999" s="1792">
        <v>13225040400</v>
      </c>
      <c r="M1999" s="1793">
        <v>0</v>
      </c>
      <c r="N1999" s="1793">
        <v>0</v>
      </c>
      <c r="O1999" s="1794">
        <v>0</v>
      </c>
    </row>
    <row r="2000" spans="3:15">
      <c r="C2000" s="1799" t="s">
        <v>6488</v>
      </c>
      <c r="D2000" s="1796">
        <v>1</v>
      </c>
      <c r="E2000" s="1796">
        <v>1</v>
      </c>
      <c r="F2000" s="1797">
        <v>2</v>
      </c>
      <c r="G2000" s="1999" t="s">
        <v>6488</v>
      </c>
      <c r="H2000" s="1794">
        <v>1</v>
      </c>
      <c r="I2000" s="1794">
        <v>1</v>
      </c>
      <c r="J2000" s="2000">
        <v>2</v>
      </c>
      <c r="K2000" s="1798"/>
      <c r="L2000" s="1792">
        <v>13227050100</v>
      </c>
      <c r="M2000" s="1793">
        <v>1</v>
      </c>
      <c r="N2000" s="1793">
        <v>1</v>
      </c>
      <c r="O2000" s="1794">
        <v>2</v>
      </c>
    </row>
    <row r="2001" spans="3:15">
      <c r="C2001" s="1799" t="s">
        <v>6489</v>
      </c>
      <c r="D2001" s="1796">
        <v>0</v>
      </c>
      <c r="E2001" s="1796">
        <v>0</v>
      </c>
      <c r="F2001" s="1797">
        <v>0</v>
      </c>
      <c r="G2001" s="1999" t="s">
        <v>6489</v>
      </c>
      <c r="H2001" s="1794">
        <v>0</v>
      </c>
      <c r="I2001" s="1794">
        <v>0</v>
      </c>
      <c r="J2001" s="2000">
        <v>0</v>
      </c>
      <c r="K2001" s="1798"/>
      <c r="L2001" s="1792">
        <v>13227050200</v>
      </c>
      <c r="M2001" s="1793">
        <v>0</v>
      </c>
      <c r="N2001" s="1793">
        <v>0</v>
      </c>
      <c r="O2001" s="1794">
        <v>0</v>
      </c>
    </row>
    <row r="2002" spans="3:15">
      <c r="C2002" s="1799" t="s">
        <v>6490</v>
      </c>
      <c r="D2002" s="1796">
        <v>0</v>
      </c>
      <c r="E2002" s="1796">
        <v>1</v>
      </c>
      <c r="F2002" s="1797">
        <v>1</v>
      </c>
      <c r="G2002" s="1999" t="s">
        <v>6490</v>
      </c>
      <c r="H2002" s="1794">
        <v>0</v>
      </c>
      <c r="I2002" s="1794">
        <v>0</v>
      </c>
      <c r="J2002" s="2000">
        <v>0</v>
      </c>
      <c r="K2002" s="1798"/>
      <c r="L2002" s="1792">
        <v>13227050300</v>
      </c>
      <c r="M2002" s="1793">
        <v>0</v>
      </c>
      <c r="N2002" s="1793">
        <v>1</v>
      </c>
      <c r="O2002" s="1794">
        <v>1</v>
      </c>
    </row>
    <row r="2003" spans="3:15">
      <c r="C2003" s="1799" t="s">
        <v>6491</v>
      </c>
      <c r="D2003" s="1796">
        <v>0</v>
      </c>
      <c r="E2003" s="1796">
        <v>0</v>
      </c>
      <c r="F2003" s="1797">
        <v>0</v>
      </c>
      <c r="G2003" s="1999" t="s">
        <v>6491</v>
      </c>
      <c r="H2003" s="1794">
        <v>0</v>
      </c>
      <c r="I2003" s="1794">
        <v>1</v>
      </c>
      <c r="J2003" s="2000">
        <v>1</v>
      </c>
      <c r="K2003" s="1798"/>
      <c r="L2003" s="1792">
        <v>13227050400</v>
      </c>
      <c r="M2003" s="1793">
        <v>0</v>
      </c>
      <c r="N2003" s="1793">
        <v>1</v>
      </c>
      <c r="O2003" s="1794">
        <v>1</v>
      </c>
    </row>
    <row r="2004" spans="3:15">
      <c r="C2004" s="1799" t="s">
        <v>6492</v>
      </c>
      <c r="D2004" s="1796">
        <v>1</v>
      </c>
      <c r="E2004" s="1796">
        <v>1</v>
      </c>
      <c r="F2004" s="1797">
        <v>2</v>
      </c>
      <c r="G2004" s="1999" t="s">
        <v>6492</v>
      </c>
      <c r="H2004" s="1794">
        <v>0</v>
      </c>
      <c r="I2004" s="1794">
        <v>0</v>
      </c>
      <c r="J2004" s="2000">
        <v>0</v>
      </c>
      <c r="K2004" s="1798"/>
      <c r="L2004" s="1792">
        <v>13227050500</v>
      </c>
      <c r="M2004" s="1793">
        <v>1</v>
      </c>
      <c r="N2004" s="1793">
        <v>1</v>
      </c>
      <c r="O2004" s="1794">
        <v>2</v>
      </c>
    </row>
    <row r="2005" spans="3:15">
      <c r="C2005" s="1799" t="s">
        <v>6493</v>
      </c>
      <c r="D2005" s="1796">
        <v>1</v>
      </c>
      <c r="E2005" s="1796">
        <v>1</v>
      </c>
      <c r="F2005" s="1797">
        <v>2</v>
      </c>
      <c r="G2005" s="1999" t="s">
        <v>6493</v>
      </c>
      <c r="H2005" s="1794">
        <v>1</v>
      </c>
      <c r="I2005" s="1794">
        <v>1</v>
      </c>
      <c r="J2005" s="2000">
        <v>2</v>
      </c>
      <c r="K2005" s="1798"/>
      <c r="L2005" s="1792">
        <v>13227050600</v>
      </c>
      <c r="M2005" s="1793">
        <v>1</v>
      </c>
      <c r="N2005" s="1793">
        <v>1</v>
      </c>
      <c r="O2005" s="1794">
        <v>2</v>
      </c>
    </row>
    <row r="2006" spans="3:15">
      <c r="C2006" s="1799" t="s">
        <v>6494</v>
      </c>
      <c r="D2006" s="1796">
        <v>0</v>
      </c>
      <c r="E2006" s="1796">
        <v>0</v>
      </c>
      <c r="F2006" s="1797">
        <v>0</v>
      </c>
      <c r="G2006" s="1999" t="s">
        <v>6494</v>
      </c>
      <c r="H2006" s="1794">
        <v>0</v>
      </c>
      <c r="I2006" s="1794">
        <v>0</v>
      </c>
      <c r="J2006" s="2000">
        <v>0</v>
      </c>
      <c r="K2006" s="1798"/>
      <c r="L2006" s="1792">
        <v>13229960100</v>
      </c>
      <c r="M2006" s="1793">
        <v>0</v>
      </c>
      <c r="N2006" s="1793">
        <v>0</v>
      </c>
      <c r="O2006" s="1794">
        <v>0</v>
      </c>
    </row>
    <row r="2007" spans="3:15">
      <c r="C2007" s="1799" t="s">
        <v>6495</v>
      </c>
      <c r="D2007" s="1796">
        <v>0</v>
      </c>
      <c r="E2007" s="1796">
        <v>0</v>
      </c>
      <c r="F2007" s="1797">
        <v>0</v>
      </c>
      <c r="G2007" s="1999" t="s">
        <v>6495</v>
      </c>
      <c r="H2007" s="1794">
        <v>0</v>
      </c>
      <c r="I2007" s="1794">
        <v>0</v>
      </c>
      <c r="J2007" s="2000">
        <v>0</v>
      </c>
      <c r="K2007" s="1798"/>
      <c r="L2007" s="1792">
        <v>13229960200</v>
      </c>
      <c r="M2007" s="1793">
        <v>0</v>
      </c>
      <c r="N2007" s="1793">
        <v>0</v>
      </c>
      <c r="O2007" s="1794">
        <v>0</v>
      </c>
    </row>
    <row r="2008" spans="3:15">
      <c r="C2008" s="1799" t="s">
        <v>6496</v>
      </c>
      <c r="D2008" s="1796">
        <v>0</v>
      </c>
      <c r="E2008" s="1796">
        <v>0</v>
      </c>
      <c r="F2008" s="1797">
        <v>0</v>
      </c>
      <c r="G2008" s="1999" t="s">
        <v>6496</v>
      </c>
      <c r="H2008" s="1794">
        <v>0</v>
      </c>
      <c r="I2008" s="1794">
        <v>0</v>
      </c>
      <c r="J2008" s="2000">
        <v>0</v>
      </c>
      <c r="K2008" s="1798"/>
      <c r="L2008" s="1792">
        <v>13229960300</v>
      </c>
      <c r="M2008" s="1793">
        <v>0</v>
      </c>
      <c r="N2008" s="1793">
        <v>0</v>
      </c>
      <c r="O2008" s="1794">
        <v>0</v>
      </c>
    </row>
    <row r="2009" spans="3:15">
      <c r="C2009" s="1799" t="s">
        <v>6497</v>
      </c>
      <c r="D2009" s="1796">
        <v>0</v>
      </c>
      <c r="E2009" s="1796">
        <v>1</v>
      </c>
      <c r="F2009" s="1797">
        <v>1</v>
      </c>
      <c r="G2009" s="1999" t="s">
        <v>6497</v>
      </c>
      <c r="H2009" s="1794">
        <v>0</v>
      </c>
      <c r="I2009" s="1794">
        <v>0</v>
      </c>
      <c r="J2009" s="2000">
        <v>0</v>
      </c>
      <c r="K2009" s="1798"/>
      <c r="L2009" s="1792">
        <v>13229960400</v>
      </c>
      <c r="M2009" s="1793">
        <v>0</v>
      </c>
      <c r="N2009" s="1793">
        <v>1</v>
      </c>
      <c r="O2009" s="1794">
        <v>1</v>
      </c>
    </row>
    <row r="2010" spans="3:15">
      <c r="C2010" s="1799" t="s">
        <v>6498</v>
      </c>
      <c r="D2010" s="1796">
        <v>0</v>
      </c>
      <c r="E2010" s="1796">
        <v>1</v>
      </c>
      <c r="F2010" s="1797">
        <v>1</v>
      </c>
      <c r="G2010" s="1999" t="s">
        <v>6498</v>
      </c>
      <c r="H2010" s="1794">
        <v>0</v>
      </c>
      <c r="I2010" s="1794">
        <v>1</v>
      </c>
      <c r="J2010" s="2000">
        <v>1</v>
      </c>
      <c r="K2010" s="1798"/>
      <c r="L2010" s="1792">
        <v>13231010100</v>
      </c>
      <c r="M2010" s="1793">
        <v>0</v>
      </c>
      <c r="N2010" s="1793">
        <v>1</v>
      </c>
      <c r="O2010" s="1794">
        <v>1</v>
      </c>
    </row>
    <row r="2011" spans="3:15">
      <c r="C2011" s="1799" t="s">
        <v>6499</v>
      </c>
      <c r="D2011" s="1796">
        <v>1</v>
      </c>
      <c r="E2011" s="1796">
        <v>1</v>
      </c>
      <c r="F2011" s="1797">
        <v>2</v>
      </c>
      <c r="G2011" s="1999" t="s">
        <v>6499</v>
      </c>
      <c r="H2011" s="1794">
        <v>1</v>
      </c>
      <c r="I2011" s="1794">
        <v>1</v>
      </c>
      <c r="J2011" s="2000">
        <v>2</v>
      </c>
      <c r="K2011" s="1798"/>
      <c r="L2011" s="1792">
        <v>13231010200</v>
      </c>
      <c r="M2011" s="1793">
        <v>1</v>
      </c>
      <c r="N2011" s="1793">
        <v>1</v>
      </c>
      <c r="O2011" s="1794">
        <v>2</v>
      </c>
    </row>
    <row r="2012" spans="3:15">
      <c r="C2012" s="1799" t="s">
        <v>6500</v>
      </c>
      <c r="D2012" s="1796">
        <v>0</v>
      </c>
      <c r="E2012" s="1796">
        <v>1</v>
      </c>
      <c r="F2012" s="1797">
        <v>1</v>
      </c>
      <c r="G2012" s="1999" t="s">
        <v>6500</v>
      </c>
      <c r="H2012" s="1794">
        <v>0</v>
      </c>
      <c r="I2012" s="1794">
        <v>0</v>
      </c>
      <c r="J2012" s="2000">
        <v>0</v>
      </c>
      <c r="K2012" s="1798"/>
      <c r="L2012" s="1792">
        <v>13231010300</v>
      </c>
      <c r="M2012" s="1793">
        <v>0</v>
      </c>
      <c r="N2012" s="1793">
        <v>1</v>
      </c>
      <c r="O2012" s="1794">
        <v>1</v>
      </c>
    </row>
    <row r="2013" spans="3:15">
      <c r="C2013" s="1799" t="s">
        <v>6501</v>
      </c>
      <c r="D2013" s="1796">
        <v>0</v>
      </c>
      <c r="E2013" s="1796">
        <v>1</v>
      </c>
      <c r="F2013" s="1797">
        <v>1</v>
      </c>
      <c r="G2013" s="1999" t="s">
        <v>6501</v>
      </c>
      <c r="H2013" s="1794">
        <v>0</v>
      </c>
      <c r="I2013" s="1794">
        <v>0</v>
      </c>
      <c r="J2013" s="2000">
        <v>0</v>
      </c>
      <c r="K2013" s="1798"/>
      <c r="L2013" s="1792">
        <v>13231010400</v>
      </c>
      <c r="M2013" s="1793">
        <v>0</v>
      </c>
      <c r="N2013" s="1793">
        <v>1</v>
      </c>
      <c r="O2013" s="1794">
        <v>1</v>
      </c>
    </row>
    <row r="2014" spans="3:15">
      <c r="C2014" s="1799" t="s">
        <v>6502</v>
      </c>
      <c r="D2014" s="1796">
        <v>0</v>
      </c>
      <c r="E2014" s="1796">
        <v>0</v>
      </c>
      <c r="F2014" s="1797">
        <v>0</v>
      </c>
      <c r="G2014" s="1999" t="s">
        <v>6502</v>
      </c>
      <c r="H2014" s="1794">
        <v>0</v>
      </c>
      <c r="I2014" s="1794">
        <v>0</v>
      </c>
      <c r="J2014" s="2000">
        <v>0</v>
      </c>
      <c r="K2014" s="1798"/>
      <c r="L2014" s="1792">
        <v>13233010100</v>
      </c>
      <c r="M2014" s="1793">
        <v>0</v>
      </c>
      <c r="N2014" s="1793">
        <v>0</v>
      </c>
      <c r="O2014" s="1794">
        <v>0</v>
      </c>
    </row>
    <row r="2015" spans="3:15">
      <c r="C2015" s="1799" t="s">
        <v>6503</v>
      </c>
      <c r="D2015" s="1796">
        <v>0</v>
      </c>
      <c r="E2015" s="1796">
        <v>0</v>
      </c>
      <c r="F2015" s="1797">
        <v>0</v>
      </c>
      <c r="G2015" s="1999" t="s">
        <v>6503</v>
      </c>
      <c r="H2015" s="1794">
        <v>0</v>
      </c>
      <c r="I2015" s="1794">
        <v>1</v>
      </c>
      <c r="J2015" s="2000">
        <v>1</v>
      </c>
      <c r="K2015" s="1798"/>
      <c r="L2015" s="1792">
        <v>13233010200</v>
      </c>
      <c r="M2015" s="1793">
        <v>0</v>
      </c>
      <c r="N2015" s="1793">
        <v>1</v>
      </c>
      <c r="O2015" s="1794">
        <v>1</v>
      </c>
    </row>
    <row r="2016" spans="3:15">
      <c r="C2016" s="1799" t="s">
        <v>6504</v>
      </c>
      <c r="D2016" s="1796">
        <v>0</v>
      </c>
      <c r="E2016" s="1796">
        <v>0</v>
      </c>
      <c r="F2016" s="1797">
        <v>0</v>
      </c>
      <c r="G2016" s="1999" t="s">
        <v>6504</v>
      </c>
      <c r="H2016" s="1794">
        <v>0</v>
      </c>
      <c r="I2016" s="1794">
        <v>0</v>
      </c>
      <c r="J2016" s="2000">
        <v>0</v>
      </c>
      <c r="K2016" s="1798"/>
      <c r="L2016" s="1792">
        <v>13233010300</v>
      </c>
      <c r="M2016" s="1793">
        <v>0</v>
      </c>
      <c r="N2016" s="1793">
        <v>0</v>
      </c>
      <c r="O2016" s="1794">
        <v>0</v>
      </c>
    </row>
    <row r="2017" spans="3:15">
      <c r="C2017" s="1799" t="s">
        <v>6505</v>
      </c>
      <c r="D2017" s="1796">
        <v>0</v>
      </c>
      <c r="E2017" s="1796">
        <v>0</v>
      </c>
      <c r="F2017" s="1797">
        <v>0</v>
      </c>
      <c r="G2017" s="1999" t="s">
        <v>6505</v>
      </c>
      <c r="H2017" s="1794">
        <v>0</v>
      </c>
      <c r="I2017" s="1794">
        <v>0</v>
      </c>
      <c r="J2017" s="2000">
        <v>0</v>
      </c>
      <c r="K2017" s="1798"/>
      <c r="L2017" s="1792">
        <v>13233010400</v>
      </c>
      <c r="M2017" s="1793">
        <v>0</v>
      </c>
      <c r="N2017" s="1793">
        <v>0</v>
      </c>
      <c r="O2017" s="1794">
        <v>0</v>
      </c>
    </row>
    <row r="2018" spans="3:15">
      <c r="C2018" s="1799" t="s">
        <v>6506</v>
      </c>
      <c r="D2018" s="1796">
        <v>0</v>
      </c>
      <c r="E2018" s="1796">
        <v>0</v>
      </c>
      <c r="F2018" s="1797">
        <v>0</v>
      </c>
      <c r="G2018" s="1999" t="s">
        <v>6506</v>
      </c>
      <c r="H2018" s="1794">
        <v>0</v>
      </c>
      <c r="I2018" s="1794">
        <v>0</v>
      </c>
      <c r="J2018" s="2000">
        <v>0</v>
      </c>
      <c r="K2018" s="1798"/>
      <c r="L2018" s="1792">
        <v>13233010500</v>
      </c>
      <c r="M2018" s="1793">
        <v>0</v>
      </c>
      <c r="N2018" s="1793">
        <v>0</v>
      </c>
      <c r="O2018" s="1794">
        <v>0</v>
      </c>
    </row>
    <row r="2019" spans="3:15">
      <c r="C2019" s="1799" t="s">
        <v>6507</v>
      </c>
      <c r="D2019" s="1796">
        <v>0</v>
      </c>
      <c r="E2019" s="1796">
        <v>0</v>
      </c>
      <c r="F2019" s="1797">
        <v>0</v>
      </c>
      <c r="G2019" s="1999" t="s">
        <v>6507</v>
      </c>
      <c r="H2019" s="1794">
        <v>0</v>
      </c>
      <c r="I2019" s="1794">
        <v>1</v>
      </c>
      <c r="J2019" s="2000">
        <v>1</v>
      </c>
      <c r="K2019" s="1798"/>
      <c r="L2019" s="1792">
        <v>13233010600</v>
      </c>
      <c r="M2019" s="1793">
        <v>0</v>
      </c>
      <c r="N2019" s="1793">
        <v>1</v>
      </c>
      <c r="O2019" s="1794">
        <v>1</v>
      </c>
    </row>
    <row r="2020" spans="3:15">
      <c r="C2020" s="1799" t="s">
        <v>6508</v>
      </c>
      <c r="D2020" s="1796">
        <v>0</v>
      </c>
      <c r="E2020" s="1796">
        <v>0</v>
      </c>
      <c r="F2020" s="1797">
        <v>0</v>
      </c>
      <c r="G2020" s="1999" t="s">
        <v>6508</v>
      </c>
      <c r="H2020" s="1794">
        <v>0</v>
      </c>
      <c r="I2020" s="1794">
        <v>0</v>
      </c>
      <c r="J2020" s="2000">
        <v>0</v>
      </c>
      <c r="K2020" s="1798"/>
      <c r="L2020" s="1792">
        <v>13233010700</v>
      </c>
      <c r="M2020" s="1793">
        <v>0</v>
      </c>
      <c r="N2020" s="1793">
        <v>0</v>
      </c>
      <c r="O2020" s="1794">
        <v>0</v>
      </c>
    </row>
    <row r="2021" spans="3:15">
      <c r="C2021" s="1799" t="s">
        <v>6509</v>
      </c>
      <c r="D2021" s="1796">
        <v>0</v>
      </c>
      <c r="E2021" s="1796">
        <v>0</v>
      </c>
      <c r="F2021" s="1797">
        <v>0</v>
      </c>
      <c r="G2021" s="1999" t="s">
        <v>6509</v>
      </c>
      <c r="H2021" s="1794">
        <v>0</v>
      </c>
      <c r="I2021" s="1794">
        <v>0</v>
      </c>
      <c r="J2021" s="2000">
        <v>0</v>
      </c>
      <c r="K2021" s="1798"/>
      <c r="L2021" s="1792">
        <v>13235950100</v>
      </c>
      <c r="M2021" s="1793">
        <v>0</v>
      </c>
      <c r="N2021" s="1793">
        <v>0</v>
      </c>
      <c r="O2021" s="1794">
        <v>0</v>
      </c>
    </row>
    <row r="2022" spans="3:15">
      <c r="C2022" s="1799" t="s">
        <v>6510</v>
      </c>
      <c r="D2022" s="1796">
        <v>0</v>
      </c>
      <c r="E2022" s="1796">
        <v>0</v>
      </c>
      <c r="F2022" s="1797">
        <v>0</v>
      </c>
      <c r="G2022" s="1999" t="s">
        <v>6510</v>
      </c>
      <c r="H2022" s="1794">
        <v>0</v>
      </c>
      <c r="I2022" s="1794">
        <v>1</v>
      </c>
      <c r="J2022" s="2000">
        <v>1</v>
      </c>
      <c r="K2022" s="1798"/>
      <c r="L2022" s="1792">
        <v>13235950200</v>
      </c>
      <c r="M2022" s="1793">
        <v>0</v>
      </c>
      <c r="N2022" s="1793">
        <v>1</v>
      </c>
      <c r="O2022" s="1794">
        <v>1</v>
      </c>
    </row>
    <row r="2023" spans="3:15">
      <c r="C2023" s="1799" t="s">
        <v>6511</v>
      </c>
      <c r="D2023" s="1796">
        <v>0</v>
      </c>
      <c r="E2023" s="1796">
        <v>0</v>
      </c>
      <c r="F2023" s="1797">
        <v>0</v>
      </c>
      <c r="G2023" s="1999" t="s">
        <v>6511</v>
      </c>
      <c r="H2023" s="1794">
        <v>0</v>
      </c>
      <c r="I2023" s="1794">
        <v>0</v>
      </c>
      <c r="J2023" s="2000">
        <v>0</v>
      </c>
      <c r="K2023" s="1798"/>
      <c r="L2023" s="1792">
        <v>13235950300</v>
      </c>
      <c r="M2023" s="1793">
        <v>0</v>
      </c>
      <c r="N2023" s="1793">
        <v>0</v>
      </c>
      <c r="O2023" s="1794">
        <v>0</v>
      </c>
    </row>
    <row r="2024" spans="3:15">
      <c r="C2024" s="1799" t="s">
        <v>6512</v>
      </c>
      <c r="D2024" s="1796">
        <v>0</v>
      </c>
      <c r="E2024" s="1796">
        <v>0</v>
      </c>
      <c r="F2024" s="1797">
        <v>0</v>
      </c>
      <c r="G2024" s="1999" t="s">
        <v>6512</v>
      </c>
      <c r="H2024" s="1794">
        <v>0</v>
      </c>
      <c r="I2024" s="1794">
        <v>1</v>
      </c>
      <c r="J2024" s="2000">
        <v>1</v>
      </c>
      <c r="K2024" s="1798"/>
      <c r="L2024" s="1792">
        <v>13237960101</v>
      </c>
      <c r="M2024" s="1793">
        <v>0</v>
      </c>
      <c r="N2024" s="1793">
        <v>1</v>
      </c>
      <c r="O2024" s="1794">
        <v>1</v>
      </c>
    </row>
    <row r="2025" spans="3:15">
      <c r="C2025" s="1799" t="s">
        <v>6513</v>
      </c>
      <c r="D2025" s="1796">
        <v>1</v>
      </c>
      <c r="E2025" s="1796">
        <v>1</v>
      </c>
      <c r="F2025" s="1797">
        <v>2</v>
      </c>
      <c r="G2025" s="1999" t="s">
        <v>6513</v>
      </c>
      <c r="H2025" s="1794">
        <v>1</v>
      </c>
      <c r="I2025" s="1794" t="s">
        <v>4483</v>
      </c>
      <c r="J2025" s="2000">
        <v>1</v>
      </c>
      <c r="K2025" s="1798"/>
      <c r="L2025" s="1792">
        <v>13237960102</v>
      </c>
      <c r="M2025" s="1793">
        <v>1</v>
      </c>
      <c r="N2025" s="1793">
        <v>1</v>
      </c>
      <c r="O2025" s="1794">
        <v>2</v>
      </c>
    </row>
    <row r="2026" spans="3:15">
      <c r="C2026" s="1799" t="s">
        <v>6514</v>
      </c>
      <c r="D2026" s="1796">
        <v>0</v>
      </c>
      <c r="E2026" s="1796">
        <v>0</v>
      </c>
      <c r="F2026" s="1797">
        <v>0</v>
      </c>
      <c r="G2026" s="1999" t="s">
        <v>6514</v>
      </c>
      <c r="H2026" s="1794">
        <v>0</v>
      </c>
      <c r="I2026" s="1794" t="s">
        <v>4483</v>
      </c>
      <c r="J2026" s="2000">
        <v>0</v>
      </c>
      <c r="K2026" s="1798"/>
      <c r="L2026" s="1792">
        <v>13237960201</v>
      </c>
      <c r="M2026" s="1793">
        <v>0</v>
      </c>
      <c r="N2026" s="1793">
        <v>0</v>
      </c>
      <c r="O2026" s="1794">
        <v>0</v>
      </c>
    </row>
    <row r="2027" spans="3:15">
      <c r="C2027" s="1799" t="s">
        <v>6515</v>
      </c>
      <c r="D2027" s="1796">
        <v>0</v>
      </c>
      <c r="E2027" s="1796">
        <v>0</v>
      </c>
      <c r="F2027" s="1797">
        <v>0</v>
      </c>
      <c r="G2027" s="1999" t="s">
        <v>6515</v>
      </c>
      <c r="H2027" s="1794">
        <v>0</v>
      </c>
      <c r="I2027" s="1794">
        <v>0</v>
      </c>
      <c r="J2027" s="2000">
        <v>0</v>
      </c>
      <c r="K2027" s="1798"/>
      <c r="L2027" s="1792">
        <v>13237960202</v>
      </c>
      <c r="M2027" s="1793">
        <v>0</v>
      </c>
      <c r="N2027" s="1793">
        <v>0</v>
      </c>
      <c r="O2027" s="1794">
        <v>0</v>
      </c>
    </row>
    <row r="2028" spans="3:15">
      <c r="C2028" s="1799" t="s">
        <v>6516</v>
      </c>
      <c r="D2028" s="1796">
        <v>0</v>
      </c>
      <c r="E2028" s="1796">
        <v>1</v>
      </c>
      <c r="F2028" s="1797">
        <v>1</v>
      </c>
      <c r="G2028" s="1999" t="s">
        <v>6516</v>
      </c>
      <c r="H2028" s="1794">
        <v>0</v>
      </c>
      <c r="I2028" s="1794">
        <v>0</v>
      </c>
      <c r="J2028" s="2000">
        <v>0</v>
      </c>
      <c r="K2028" s="1798"/>
      <c r="L2028" s="1792">
        <v>13237960300</v>
      </c>
      <c r="M2028" s="1793">
        <v>0</v>
      </c>
      <c r="N2028" s="1793">
        <v>1</v>
      </c>
      <c r="O2028" s="1794">
        <v>1</v>
      </c>
    </row>
    <row r="2029" spans="3:15">
      <c r="C2029" s="1799" t="s">
        <v>6517</v>
      </c>
      <c r="D2029" s="1796">
        <v>0</v>
      </c>
      <c r="E2029" s="1796">
        <v>0</v>
      </c>
      <c r="F2029" s="1797">
        <v>0</v>
      </c>
      <c r="G2029" s="1999" t="s">
        <v>6517</v>
      </c>
      <c r="H2029" s="1794">
        <v>0</v>
      </c>
      <c r="I2029" s="1794">
        <v>0</v>
      </c>
      <c r="J2029" s="2000">
        <v>0</v>
      </c>
      <c r="K2029" s="1798"/>
      <c r="L2029" s="1792">
        <v>13239960300</v>
      </c>
      <c r="M2029" s="1793">
        <v>0</v>
      </c>
      <c r="N2029" s="1793">
        <v>0</v>
      </c>
      <c r="O2029" s="1794">
        <v>0</v>
      </c>
    </row>
    <row r="2030" spans="3:15">
      <c r="C2030" s="1799" t="s">
        <v>6518</v>
      </c>
      <c r="D2030" s="1796">
        <v>0</v>
      </c>
      <c r="E2030" s="1796">
        <v>0</v>
      </c>
      <c r="F2030" s="1797">
        <v>0</v>
      </c>
      <c r="G2030" s="1999" t="s">
        <v>6518</v>
      </c>
      <c r="H2030" s="1794">
        <v>0</v>
      </c>
      <c r="I2030" s="1794">
        <v>1</v>
      </c>
      <c r="J2030" s="2000">
        <v>1</v>
      </c>
      <c r="K2030" s="1798"/>
      <c r="L2030" s="1792">
        <v>13241970100</v>
      </c>
      <c r="M2030" s="1793">
        <v>0</v>
      </c>
      <c r="N2030" s="1793">
        <v>1</v>
      </c>
      <c r="O2030" s="1794">
        <v>1</v>
      </c>
    </row>
    <row r="2031" spans="3:15">
      <c r="C2031" s="1799" t="s">
        <v>6519</v>
      </c>
      <c r="D2031" s="1796">
        <v>0</v>
      </c>
      <c r="E2031" s="1796">
        <v>0</v>
      </c>
      <c r="F2031" s="1797">
        <v>0</v>
      </c>
      <c r="G2031" s="1999" t="s">
        <v>6519</v>
      </c>
      <c r="H2031" s="1794">
        <v>0</v>
      </c>
      <c r="I2031" s="1794">
        <v>0</v>
      </c>
      <c r="J2031" s="2000">
        <v>0</v>
      </c>
      <c r="K2031" s="1798"/>
      <c r="L2031" s="1792">
        <v>13241970201</v>
      </c>
      <c r="M2031" s="1793">
        <v>0</v>
      </c>
      <c r="N2031" s="1793">
        <v>0</v>
      </c>
      <c r="O2031" s="1794">
        <v>0</v>
      </c>
    </row>
    <row r="2032" spans="3:15">
      <c r="C2032" s="1799" t="s">
        <v>6520</v>
      </c>
      <c r="D2032" s="1796">
        <v>0</v>
      </c>
      <c r="E2032" s="1796">
        <v>0</v>
      </c>
      <c r="F2032" s="1797">
        <v>0</v>
      </c>
      <c r="G2032" s="1999" t="s">
        <v>6520</v>
      </c>
      <c r="H2032" s="1794">
        <v>0</v>
      </c>
      <c r="I2032" s="1794">
        <v>0</v>
      </c>
      <c r="J2032" s="2000">
        <v>0</v>
      </c>
      <c r="K2032" s="1798"/>
      <c r="L2032" s="1792">
        <v>13241970202</v>
      </c>
      <c r="M2032" s="1793">
        <v>0</v>
      </c>
      <c r="N2032" s="1793">
        <v>0</v>
      </c>
      <c r="O2032" s="1794">
        <v>0</v>
      </c>
    </row>
    <row r="2033" spans="3:15">
      <c r="C2033" s="1799" t="s">
        <v>6521</v>
      </c>
      <c r="D2033" s="1796">
        <v>0</v>
      </c>
      <c r="E2033" s="1796">
        <v>0</v>
      </c>
      <c r="F2033" s="1797">
        <v>0</v>
      </c>
      <c r="G2033" s="1999" t="s">
        <v>6521</v>
      </c>
      <c r="H2033" s="1794">
        <v>0</v>
      </c>
      <c r="I2033" s="1794">
        <v>1</v>
      </c>
      <c r="J2033" s="2000">
        <v>1</v>
      </c>
      <c r="K2033" s="1798"/>
      <c r="L2033" s="1792">
        <v>13241970301</v>
      </c>
      <c r="M2033" s="1793">
        <v>0</v>
      </c>
      <c r="N2033" s="1793">
        <v>1</v>
      </c>
      <c r="O2033" s="1794">
        <v>1</v>
      </c>
    </row>
    <row r="2034" spans="3:15">
      <c r="C2034" s="1799" t="s">
        <v>6522</v>
      </c>
      <c r="D2034" s="1796">
        <v>0</v>
      </c>
      <c r="E2034" s="1796">
        <v>0</v>
      </c>
      <c r="F2034" s="1797">
        <v>0</v>
      </c>
      <c r="G2034" s="1999" t="s">
        <v>6522</v>
      </c>
      <c r="H2034" s="1794">
        <v>0</v>
      </c>
      <c r="I2034" s="1794">
        <v>0</v>
      </c>
      <c r="J2034" s="2000">
        <v>0</v>
      </c>
      <c r="K2034" s="1798"/>
      <c r="L2034" s="1792">
        <v>13241970302</v>
      </c>
      <c r="M2034" s="1793">
        <v>0</v>
      </c>
      <c r="N2034" s="1793">
        <v>0</v>
      </c>
      <c r="O2034" s="1794">
        <v>0</v>
      </c>
    </row>
    <row r="2035" spans="3:15">
      <c r="C2035" s="1799" t="s">
        <v>6523</v>
      </c>
      <c r="D2035" s="1796">
        <v>0</v>
      </c>
      <c r="E2035" s="1796">
        <v>0</v>
      </c>
      <c r="F2035" s="1797">
        <v>0</v>
      </c>
      <c r="G2035" s="1999" t="s">
        <v>6523</v>
      </c>
      <c r="H2035" s="1794">
        <v>0</v>
      </c>
      <c r="I2035" s="1794">
        <v>0</v>
      </c>
      <c r="J2035" s="2000">
        <v>0</v>
      </c>
      <c r="K2035" s="1798"/>
      <c r="L2035" s="1792">
        <v>13243790100</v>
      </c>
      <c r="M2035" s="1793">
        <v>0</v>
      </c>
      <c r="N2035" s="1793">
        <v>0</v>
      </c>
      <c r="O2035" s="1794">
        <v>0</v>
      </c>
    </row>
    <row r="2036" spans="3:15">
      <c r="C2036" s="1799" t="s">
        <v>6524</v>
      </c>
      <c r="D2036" s="1796">
        <v>0</v>
      </c>
      <c r="E2036" s="1796">
        <v>0</v>
      </c>
      <c r="F2036" s="1797">
        <v>0</v>
      </c>
      <c r="G2036" s="1999" t="s">
        <v>6524</v>
      </c>
      <c r="H2036" s="1794">
        <v>0</v>
      </c>
      <c r="I2036" s="1794">
        <v>0</v>
      </c>
      <c r="J2036" s="2000">
        <v>0</v>
      </c>
      <c r="K2036" s="1798"/>
      <c r="L2036" s="1792">
        <v>13243790200</v>
      </c>
      <c r="M2036" s="1793">
        <v>0</v>
      </c>
      <c r="N2036" s="1793">
        <v>0</v>
      </c>
      <c r="O2036" s="1794">
        <v>0</v>
      </c>
    </row>
    <row r="2037" spans="3:15">
      <c r="C2037" s="1799" t="s">
        <v>6525</v>
      </c>
      <c r="D2037" s="1796">
        <v>0</v>
      </c>
      <c r="E2037" s="1796">
        <v>0</v>
      </c>
      <c r="F2037" s="1797">
        <v>0</v>
      </c>
      <c r="G2037" s="1999" t="s">
        <v>6525</v>
      </c>
      <c r="H2037" s="1794">
        <v>0</v>
      </c>
      <c r="I2037" s="1794">
        <v>0</v>
      </c>
      <c r="J2037" s="2000">
        <v>0</v>
      </c>
      <c r="K2037" s="1798"/>
      <c r="L2037" s="1792">
        <v>13245000100</v>
      </c>
      <c r="M2037" s="1793">
        <v>0</v>
      </c>
      <c r="N2037" s="1793">
        <v>0</v>
      </c>
      <c r="O2037" s="1794">
        <v>0</v>
      </c>
    </row>
    <row r="2038" spans="3:15">
      <c r="C2038" s="1799" t="s">
        <v>6526</v>
      </c>
      <c r="D2038" s="1796">
        <v>0</v>
      </c>
      <c r="E2038" s="1796">
        <v>0</v>
      </c>
      <c r="F2038" s="1797">
        <v>0</v>
      </c>
      <c r="G2038" s="1999" t="s">
        <v>6526</v>
      </c>
      <c r="H2038" s="1794">
        <v>0</v>
      </c>
      <c r="I2038" s="1794">
        <v>0</v>
      </c>
      <c r="J2038" s="2000">
        <v>0</v>
      </c>
      <c r="K2038" s="1798"/>
      <c r="L2038" s="1792">
        <v>13245000200</v>
      </c>
      <c r="M2038" s="1793">
        <v>0</v>
      </c>
      <c r="N2038" s="1793">
        <v>0</v>
      </c>
      <c r="O2038" s="1794">
        <v>0</v>
      </c>
    </row>
    <row r="2039" spans="3:15">
      <c r="C2039" s="1799" t="s">
        <v>6527</v>
      </c>
      <c r="D2039" s="1796">
        <v>0</v>
      </c>
      <c r="E2039" s="1796">
        <v>0</v>
      </c>
      <c r="F2039" s="1797">
        <v>0</v>
      </c>
      <c r="G2039" s="1999" t="s">
        <v>6527</v>
      </c>
      <c r="H2039" s="1794">
        <v>0</v>
      </c>
      <c r="I2039" s="1794">
        <v>0</v>
      </c>
      <c r="J2039" s="2000">
        <v>0</v>
      </c>
      <c r="K2039" s="1798"/>
      <c r="L2039" s="1792">
        <v>13245000300</v>
      </c>
      <c r="M2039" s="1793">
        <v>0</v>
      </c>
      <c r="N2039" s="1793">
        <v>0</v>
      </c>
      <c r="O2039" s="1794">
        <v>0</v>
      </c>
    </row>
    <row r="2040" spans="3:15">
      <c r="C2040" s="1799" t="s">
        <v>6528</v>
      </c>
      <c r="D2040" s="1796">
        <v>0</v>
      </c>
      <c r="E2040" s="1796">
        <v>0</v>
      </c>
      <c r="F2040" s="1797">
        <v>0</v>
      </c>
      <c r="G2040" s="1999" t="s">
        <v>6528</v>
      </c>
      <c r="H2040" s="1794">
        <v>0</v>
      </c>
      <c r="I2040" s="1794" t="s">
        <v>4483</v>
      </c>
      <c r="J2040" s="2000">
        <v>0</v>
      </c>
      <c r="K2040" s="1798"/>
      <c r="L2040" s="1792">
        <v>13245000600</v>
      </c>
      <c r="M2040" s="1793">
        <v>0</v>
      </c>
      <c r="N2040" s="1793">
        <v>0</v>
      </c>
      <c r="O2040" s="1794">
        <v>0</v>
      </c>
    </row>
    <row r="2041" spans="3:15">
      <c r="C2041" s="1799" t="s">
        <v>6529</v>
      </c>
      <c r="D2041" s="1796">
        <v>0</v>
      </c>
      <c r="E2041" s="1796">
        <v>0</v>
      </c>
      <c r="F2041" s="1797">
        <v>0</v>
      </c>
      <c r="G2041" s="1999" t="s">
        <v>6529</v>
      </c>
      <c r="H2041" s="1794">
        <v>0</v>
      </c>
      <c r="I2041" s="1794">
        <v>0</v>
      </c>
      <c r="J2041" s="2000">
        <v>0</v>
      </c>
      <c r="K2041" s="1798"/>
      <c r="L2041" s="1792">
        <v>13245000700</v>
      </c>
      <c r="M2041" s="1793">
        <v>0</v>
      </c>
      <c r="N2041" s="1793">
        <v>0</v>
      </c>
      <c r="O2041" s="1794">
        <v>0</v>
      </c>
    </row>
    <row r="2042" spans="3:15">
      <c r="C2042" s="1799" t="s">
        <v>6530</v>
      </c>
      <c r="D2042" s="1796">
        <v>0</v>
      </c>
      <c r="E2042" s="1796">
        <v>0</v>
      </c>
      <c r="F2042" s="1797">
        <v>0</v>
      </c>
      <c r="G2042" s="1999" t="s">
        <v>6530</v>
      </c>
      <c r="H2042" s="1794">
        <v>0</v>
      </c>
      <c r="I2042" s="1794">
        <v>0</v>
      </c>
      <c r="J2042" s="2000">
        <v>0</v>
      </c>
      <c r="K2042" s="1798"/>
      <c r="L2042" s="1792">
        <v>13245000900</v>
      </c>
      <c r="M2042" s="1793">
        <v>0</v>
      </c>
      <c r="N2042" s="1793">
        <v>0</v>
      </c>
      <c r="O2042" s="1794">
        <v>0</v>
      </c>
    </row>
    <row r="2043" spans="3:15">
      <c r="C2043" s="1799" t="s">
        <v>6531</v>
      </c>
      <c r="D2043" s="1796">
        <v>0</v>
      </c>
      <c r="E2043" s="1796">
        <v>0</v>
      </c>
      <c r="F2043" s="1797">
        <v>0</v>
      </c>
      <c r="G2043" s="1999" t="s">
        <v>6531</v>
      </c>
      <c r="H2043" s="1794">
        <v>0</v>
      </c>
      <c r="I2043" s="1794">
        <v>0</v>
      </c>
      <c r="J2043" s="2000">
        <v>0</v>
      </c>
      <c r="K2043" s="1798"/>
      <c r="L2043" s="1792">
        <v>13245001000</v>
      </c>
      <c r="M2043" s="1793">
        <v>0</v>
      </c>
      <c r="N2043" s="1793">
        <v>0</v>
      </c>
      <c r="O2043" s="1794">
        <v>0</v>
      </c>
    </row>
    <row r="2044" spans="3:15">
      <c r="C2044" s="1799" t="s">
        <v>6532</v>
      </c>
      <c r="D2044" s="1796">
        <v>1</v>
      </c>
      <c r="E2044" s="1796">
        <v>1</v>
      </c>
      <c r="F2044" s="1797">
        <v>2</v>
      </c>
      <c r="G2044" s="1999" t="s">
        <v>6532</v>
      </c>
      <c r="H2044" s="1794">
        <v>1</v>
      </c>
      <c r="I2044" s="1794" t="s">
        <v>4483</v>
      </c>
      <c r="J2044" s="2000">
        <v>1</v>
      </c>
      <c r="K2044" s="1798"/>
      <c r="L2044" s="1792">
        <v>13245001100</v>
      </c>
      <c r="M2044" s="1793">
        <v>1</v>
      </c>
      <c r="N2044" s="1793">
        <v>1</v>
      </c>
      <c r="O2044" s="1794">
        <v>2</v>
      </c>
    </row>
    <row r="2045" spans="3:15">
      <c r="C2045" s="1799" t="s">
        <v>6533</v>
      </c>
      <c r="D2045" s="1796">
        <v>0</v>
      </c>
      <c r="E2045" s="1796">
        <v>0</v>
      </c>
      <c r="F2045" s="1797">
        <v>0</v>
      </c>
      <c r="G2045" s="1999" t="s">
        <v>6533</v>
      </c>
      <c r="H2045" s="1794">
        <v>0</v>
      </c>
      <c r="I2045" s="1794">
        <v>0</v>
      </c>
      <c r="J2045" s="2000">
        <v>0</v>
      </c>
      <c r="K2045" s="1798"/>
      <c r="L2045" s="1792">
        <v>13245001200</v>
      </c>
      <c r="M2045" s="1793">
        <v>0</v>
      </c>
      <c r="N2045" s="1793">
        <v>0</v>
      </c>
      <c r="O2045" s="1794">
        <v>0</v>
      </c>
    </row>
    <row r="2046" spans="3:15">
      <c r="C2046" s="1799" t="s">
        <v>6534</v>
      </c>
      <c r="D2046" s="1796">
        <v>0</v>
      </c>
      <c r="E2046" s="1796">
        <v>0</v>
      </c>
      <c r="F2046" s="1797">
        <v>0</v>
      </c>
      <c r="G2046" s="1999" t="s">
        <v>6534</v>
      </c>
      <c r="H2046" s="1794">
        <v>0</v>
      </c>
      <c r="I2046" s="1794">
        <v>0</v>
      </c>
      <c r="J2046" s="2000">
        <v>0</v>
      </c>
      <c r="K2046" s="1798"/>
      <c r="L2046" s="1792">
        <v>13245001300</v>
      </c>
      <c r="M2046" s="1793">
        <v>0</v>
      </c>
      <c r="N2046" s="1793">
        <v>0</v>
      </c>
      <c r="O2046" s="1794">
        <v>0</v>
      </c>
    </row>
    <row r="2047" spans="3:15">
      <c r="C2047" s="1799" t="s">
        <v>6535</v>
      </c>
      <c r="D2047" s="1796">
        <v>0</v>
      </c>
      <c r="E2047" s="1796">
        <v>0</v>
      </c>
      <c r="F2047" s="1797">
        <v>0</v>
      </c>
      <c r="G2047" s="1999" t="s">
        <v>6535</v>
      </c>
      <c r="H2047" s="1794">
        <v>0</v>
      </c>
      <c r="I2047" s="1794">
        <v>0</v>
      </c>
      <c r="J2047" s="2000">
        <v>0</v>
      </c>
      <c r="K2047" s="1798"/>
      <c r="L2047" s="1792">
        <v>13245001400</v>
      </c>
      <c r="M2047" s="1793">
        <v>0</v>
      </c>
      <c r="N2047" s="1793">
        <v>0</v>
      </c>
      <c r="O2047" s="1794">
        <v>0</v>
      </c>
    </row>
    <row r="2048" spans="3:15">
      <c r="C2048" s="1799" t="s">
        <v>6536</v>
      </c>
      <c r="D2048" s="1796">
        <v>0</v>
      </c>
      <c r="E2048" s="1796">
        <v>0</v>
      </c>
      <c r="F2048" s="1797">
        <v>0</v>
      </c>
      <c r="G2048" s="1999" t="s">
        <v>6536</v>
      </c>
      <c r="H2048" s="1794">
        <v>0</v>
      </c>
      <c r="I2048" s="1794" t="s">
        <v>4483</v>
      </c>
      <c r="J2048" s="2000">
        <v>0</v>
      </c>
      <c r="K2048" s="1798"/>
      <c r="L2048" s="1792">
        <v>13245001500</v>
      </c>
      <c r="M2048" s="1793">
        <v>0</v>
      </c>
      <c r="N2048" s="1793">
        <v>0</v>
      </c>
      <c r="O2048" s="1794">
        <v>0</v>
      </c>
    </row>
    <row r="2049" spans="3:15">
      <c r="C2049" s="1799" t="s">
        <v>6537</v>
      </c>
      <c r="D2049" s="1796">
        <v>0</v>
      </c>
      <c r="E2049" s="1796">
        <v>0</v>
      </c>
      <c r="F2049" s="1797">
        <v>0</v>
      </c>
      <c r="G2049" s="1999" t="s">
        <v>6537</v>
      </c>
      <c r="H2049" s="1794">
        <v>0</v>
      </c>
      <c r="I2049" s="1794">
        <v>0</v>
      </c>
      <c r="J2049" s="2000">
        <v>0</v>
      </c>
      <c r="K2049" s="1798"/>
      <c r="L2049" s="1792">
        <v>13245001601</v>
      </c>
      <c r="M2049" s="1793">
        <v>0</v>
      </c>
      <c r="N2049" s="1793">
        <v>0</v>
      </c>
      <c r="O2049" s="1794">
        <v>0</v>
      </c>
    </row>
    <row r="2050" spans="3:15">
      <c r="C2050" s="1799" t="s">
        <v>6538</v>
      </c>
      <c r="D2050" s="1796">
        <v>1</v>
      </c>
      <c r="E2050" s="1796">
        <v>1</v>
      </c>
      <c r="F2050" s="1797">
        <v>2</v>
      </c>
      <c r="G2050" s="1999" t="s">
        <v>6538</v>
      </c>
      <c r="H2050" s="1794">
        <v>1</v>
      </c>
      <c r="I2050" s="1794">
        <v>1</v>
      </c>
      <c r="J2050" s="2000">
        <v>2</v>
      </c>
      <c r="K2050" s="1798"/>
      <c r="L2050" s="1792">
        <v>13245001602</v>
      </c>
      <c r="M2050" s="1793">
        <v>1</v>
      </c>
      <c r="N2050" s="1793">
        <v>1</v>
      </c>
      <c r="O2050" s="1794">
        <v>2</v>
      </c>
    </row>
    <row r="2051" spans="3:15">
      <c r="C2051" s="1799" t="s">
        <v>6539</v>
      </c>
      <c r="D2051" s="1796">
        <v>0</v>
      </c>
      <c r="E2051" s="1796">
        <v>0</v>
      </c>
      <c r="F2051" s="1797">
        <v>0</v>
      </c>
      <c r="G2051" s="1999" t="s">
        <v>6539</v>
      </c>
      <c r="H2051" s="1794">
        <v>1</v>
      </c>
      <c r="I2051" s="1794">
        <v>0</v>
      </c>
      <c r="J2051" s="2000">
        <v>1</v>
      </c>
      <c r="K2051" s="1798"/>
      <c r="L2051" s="1792">
        <v>13245010101</v>
      </c>
      <c r="M2051" s="1793">
        <v>1</v>
      </c>
      <c r="N2051" s="1793">
        <v>0</v>
      </c>
      <c r="O2051" s="1794">
        <v>1</v>
      </c>
    </row>
    <row r="2052" spans="3:15">
      <c r="C2052" s="1799" t="s">
        <v>6540</v>
      </c>
      <c r="D2052" s="1796">
        <v>1</v>
      </c>
      <c r="E2052" s="1796">
        <v>1</v>
      </c>
      <c r="F2052" s="1797">
        <v>2</v>
      </c>
      <c r="G2052" s="1999" t="s">
        <v>6540</v>
      </c>
      <c r="H2052" s="1794">
        <v>1</v>
      </c>
      <c r="I2052" s="1794">
        <v>0</v>
      </c>
      <c r="J2052" s="2000">
        <v>1</v>
      </c>
      <c r="K2052" s="1798"/>
      <c r="L2052" s="1792">
        <v>13245010104</v>
      </c>
      <c r="M2052" s="1793">
        <v>1</v>
      </c>
      <c r="N2052" s="1793">
        <v>1</v>
      </c>
      <c r="O2052" s="1794">
        <v>2</v>
      </c>
    </row>
    <row r="2053" spans="3:15">
      <c r="C2053" s="1799" t="s">
        <v>6541</v>
      </c>
      <c r="D2053" s="1796">
        <v>0</v>
      </c>
      <c r="E2053" s="1796">
        <v>0</v>
      </c>
      <c r="F2053" s="1797">
        <v>0</v>
      </c>
      <c r="G2053" s="1999" t="s">
        <v>6541</v>
      </c>
      <c r="H2053" s="1794">
        <v>0</v>
      </c>
      <c r="I2053" s="1794">
        <v>0</v>
      </c>
      <c r="J2053" s="2000">
        <v>0</v>
      </c>
      <c r="K2053" s="1798"/>
      <c r="L2053" s="1792">
        <v>13245010105</v>
      </c>
      <c r="M2053" s="1793">
        <v>0</v>
      </c>
      <c r="N2053" s="1793">
        <v>0</v>
      </c>
      <c r="O2053" s="1794">
        <v>0</v>
      </c>
    </row>
    <row r="2054" spans="3:15">
      <c r="C2054" s="1799" t="s">
        <v>6542</v>
      </c>
      <c r="D2054" s="1796">
        <v>1</v>
      </c>
      <c r="E2054" s="1796">
        <v>0</v>
      </c>
      <c r="F2054" s="1797">
        <v>1</v>
      </c>
      <c r="G2054" s="1999" t="s">
        <v>6542</v>
      </c>
      <c r="H2054" s="1794">
        <v>1</v>
      </c>
      <c r="I2054" s="1794">
        <v>1</v>
      </c>
      <c r="J2054" s="2000">
        <v>2</v>
      </c>
      <c r="K2054" s="1798"/>
      <c r="L2054" s="1792">
        <v>13245010106</v>
      </c>
      <c r="M2054" s="1793">
        <v>1</v>
      </c>
      <c r="N2054" s="1793">
        <v>1</v>
      </c>
      <c r="O2054" s="1794">
        <v>2</v>
      </c>
    </row>
    <row r="2055" spans="3:15">
      <c r="C2055" s="1799" t="s">
        <v>6543</v>
      </c>
      <c r="D2055" s="1796">
        <v>1</v>
      </c>
      <c r="E2055" s="1796">
        <v>0</v>
      </c>
      <c r="F2055" s="1797">
        <v>1</v>
      </c>
      <c r="G2055" s="1999" t="s">
        <v>6543</v>
      </c>
      <c r="H2055" s="1794">
        <v>1</v>
      </c>
      <c r="I2055" s="1794">
        <v>1</v>
      </c>
      <c r="J2055" s="2000">
        <v>2</v>
      </c>
      <c r="K2055" s="1798"/>
      <c r="L2055" s="1792">
        <v>13245010107</v>
      </c>
      <c r="M2055" s="1793">
        <v>1</v>
      </c>
      <c r="N2055" s="1793">
        <v>1</v>
      </c>
      <c r="O2055" s="1794">
        <v>2</v>
      </c>
    </row>
    <row r="2056" spans="3:15">
      <c r="C2056" s="1799" t="s">
        <v>6544</v>
      </c>
      <c r="D2056" s="1796">
        <v>1</v>
      </c>
      <c r="E2056" s="1796">
        <v>1</v>
      </c>
      <c r="F2056" s="1797">
        <v>2</v>
      </c>
      <c r="G2056" s="1999" t="s">
        <v>6544</v>
      </c>
      <c r="H2056" s="1794">
        <v>1</v>
      </c>
      <c r="I2056" s="1794">
        <v>1</v>
      </c>
      <c r="J2056" s="2000">
        <v>2</v>
      </c>
      <c r="K2056" s="1798"/>
      <c r="L2056" s="1792">
        <v>13245010201</v>
      </c>
      <c r="M2056" s="1793">
        <v>1</v>
      </c>
      <c r="N2056" s="1793">
        <v>1</v>
      </c>
      <c r="O2056" s="1794">
        <v>2</v>
      </c>
    </row>
    <row r="2057" spans="3:15">
      <c r="C2057" s="1799" t="s">
        <v>6545</v>
      </c>
      <c r="D2057" s="1796">
        <v>0</v>
      </c>
      <c r="E2057" s="1796">
        <v>0</v>
      </c>
      <c r="F2057" s="1797">
        <v>0</v>
      </c>
      <c r="G2057" s="1999" t="s">
        <v>6545</v>
      </c>
      <c r="H2057" s="1794">
        <v>0</v>
      </c>
      <c r="I2057" s="1794">
        <v>0</v>
      </c>
      <c r="J2057" s="2000">
        <v>0</v>
      </c>
      <c r="K2057" s="1798"/>
      <c r="L2057" s="1792">
        <v>13245010203</v>
      </c>
      <c r="M2057" s="1793">
        <v>0</v>
      </c>
      <c r="N2057" s="1793">
        <v>0</v>
      </c>
      <c r="O2057" s="1794">
        <v>0</v>
      </c>
    </row>
    <row r="2058" spans="3:15">
      <c r="C2058" s="1799" t="s">
        <v>6546</v>
      </c>
      <c r="D2058" s="1796">
        <v>0</v>
      </c>
      <c r="E2058" s="1796">
        <v>0</v>
      </c>
      <c r="F2058" s="1797">
        <v>0</v>
      </c>
      <c r="G2058" s="1999" t="s">
        <v>6546</v>
      </c>
      <c r="H2058" s="1794">
        <v>0</v>
      </c>
      <c r="I2058" s="1794">
        <v>0</v>
      </c>
      <c r="J2058" s="2000">
        <v>0</v>
      </c>
      <c r="K2058" s="1798"/>
      <c r="L2058" s="1792">
        <v>13245010204</v>
      </c>
      <c r="M2058" s="1793">
        <v>0</v>
      </c>
      <c r="N2058" s="1793">
        <v>0</v>
      </c>
      <c r="O2058" s="1794">
        <v>0</v>
      </c>
    </row>
    <row r="2059" spans="3:15">
      <c r="C2059" s="1799" t="s">
        <v>6547</v>
      </c>
      <c r="D2059" s="1796">
        <v>0</v>
      </c>
      <c r="E2059" s="1796">
        <v>0</v>
      </c>
      <c r="F2059" s="1797">
        <v>0</v>
      </c>
      <c r="G2059" s="1999" t="s">
        <v>6547</v>
      </c>
      <c r="H2059" s="1794">
        <v>0</v>
      </c>
      <c r="I2059" s="1794">
        <v>0</v>
      </c>
      <c r="J2059" s="2000">
        <v>0</v>
      </c>
      <c r="K2059" s="1798"/>
      <c r="L2059" s="1792">
        <v>13245010300</v>
      </c>
      <c r="M2059" s="1793">
        <v>0</v>
      </c>
      <c r="N2059" s="1793">
        <v>0</v>
      </c>
      <c r="O2059" s="1794">
        <v>0</v>
      </c>
    </row>
    <row r="2060" spans="3:15">
      <c r="C2060" s="1799" t="s">
        <v>6548</v>
      </c>
      <c r="D2060" s="1796">
        <v>0</v>
      </c>
      <c r="E2060" s="1796">
        <v>0</v>
      </c>
      <c r="F2060" s="1797">
        <v>0</v>
      </c>
      <c r="G2060" s="1999" t="s">
        <v>6548</v>
      </c>
      <c r="H2060" s="1794">
        <v>0</v>
      </c>
      <c r="I2060" s="1794">
        <v>0</v>
      </c>
      <c r="J2060" s="2000">
        <v>0</v>
      </c>
      <c r="K2060" s="1798"/>
      <c r="L2060" s="1792">
        <v>13245010400</v>
      </c>
      <c r="M2060" s="1793">
        <v>0</v>
      </c>
      <c r="N2060" s="1793">
        <v>0</v>
      </c>
      <c r="O2060" s="1794">
        <v>0</v>
      </c>
    </row>
    <row r="2061" spans="3:15">
      <c r="C2061" s="1799" t="s">
        <v>6549</v>
      </c>
      <c r="D2061" s="1796">
        <v>0</v>
      </c>
      <c r="E2061" s="1796">
        <v>0</v>
      </c>
      <c r="F2061" s="1797">
        <v>0</v>
      </c>
      <c r="G2061" s="1999" t="s">
        <v>6549</v>
      </c>
      <c r="H2061" s="1794">
        <v>0</v>
      </c>
      <c r="I2061" s="1794">
        <v>0</v>
      </c>
      <c r="J2061" s="2000">
        <v>0</v>
      </c>
      <c r="K2061" s="1798"/>
      <c r="L2061" s="1792">
        <v>13245010504</v>
      </c>
      <c r="M2061" s="1793">
        <v>0</v>
      </c>
      <c r="N2061" s="1793">
        <v>0</v>
      </c>
      <c r="O2061" s="1794">
        <v>0</v>
      </c>
    </row>
    <row r="2062" spans="3:15">
      <c r="C2062" s="1799" t="s">
        <v>6550</v>
      </c>
      <c r="D2062" s="1796">
        <v>0</v>
      </c>
      <c r="E2062" s="1796">
        <v>0</v>
      </c>
      <c r="F2062" s="1797">
        <v>0</v>
      </c>
      <c r="G2062" s="1999" t="s">
        <v>6550</v>
      </c>
      <c r="H2062" s="1794">
        <v>0</v>
      </c>
      <c r="I2062" s="1794">
        <v>1</v>
      </c>
      <c r="J2062" s="2000">
        <v>1</v>
      </c>
      <c r="K2062" s="1798"/>
      <c r="L2062" s="1792">
        <v>13245010506</v>
      </c>
      <c r="M2062" s="1793">
        <v>0</v>
      </c>
      <c r="N2062" s="1793">
        <v>1</v>
      </c>
      <c r="O2062" s="1794">
        <v>1</v>
      </c>
    </row>
    <row r="2063" spans="3:15">
      <c r="C2063" s="1799" t="s">
        <v>6551</v>
      </c>
      <c r="D2063" s="1796">
        <v>0</v>
      </c>
      <c r="E2063" s="1796">
        <v>0</v>
      </c>
      <c r="F2063" s="1797">
        <v>0</v>
      </c>
      <c r="G2063" s="1999" t="s">
        <v>6551</v>
      </c>
      <c r="H2063" s="1794">
        <v>0</v>
      </c>
      <c r="I2063" s="1794">
        <v>0</v>
      </c>
      <c r="J2063" s="2000">
        <v>0</v>
      </c>
      <c r="K2063" s="1798"/>
      <c r="L2063" s="1792">
        <v>13245010507</v>
      </c>
      <c r="M2063" s="1793">
        <v>0</v>
      </c>
      <c r="N2063" s="1793">
        <v>0</v>
      </c>
      <c r="O2063" s="1794">
        <v>0</v>
      </c>
    </row>
    <row r="2064" spans="3:15">
      <c r="C2064" s="1799" t="s">
        <v>6552</v>
      </c>
      <c r="D2064" s="1796">
        <v>0</v>
      </c>
      <c r="E2064" s="1796">
        <v>0</v>
      </c>
      <c r="F2064" s="1797">
        <v>0</v>
      </c>
      <c r="G2064" s="1999" t="s">
        <v>6552</v>
      </c>
      <c r="H2064" s="1794">
        <v>0</v>
      </c>
      <c r="I2064" s="1794">
        <v>0</v>
      </c>
      <c r="J2064" s="2000">
        <v>0</v>
      </c>
      <c r="K2064" s="1798"/>
      <c r="L2064" s="1792">
        <v>13245010508</v>
      </c>
      <c r="M2064" s="1793">
        <v>0</v>
      </c>
      <c r="N2064" s="1793">
        <v>0</v>
      </c>
      <c r="O2064" s="1794">
        <v>0</v>
      </c>
    </row>
    <row r="2065" spans="3:15">
      <c r="C2065" s="1799" t="s">
        <v>6553</v>
      </c>
      <c r="D2065" s="1796">
        <v>0</v>
      </c>
      <c r="E2065" s="1796">
        <v>0</v>
      </c>
      <c r="F2065" s="1797">
        <v>0</v>
      </c>
      <c r="G2065" s="1999" t="s">
        <v>6553</v>
      </c>
      <c r="H2065" s="1794">
        <v>0</v>
      </c>
      <c r="I2065" s="1794">
        <v>0</v>
      </c>
      <c r="J2065" s="2000">
        <v>0</v>
      </c>
      <c r="K2065" s="1798"/>
      <c r="L2065" s="1792">
        <v>13245010509</v>
      </c>
      <c r="M2065" s="1793">
        <v>0</v>
      </c>
      <c r="N2065" s="1793">
        <v>0</v>
      </c>
      <c r="O2065" s="1794">
        <v>0</v>
      </c>
    </row>
    <row r="2066" spans="3:15">
      <c r="C2066" s="1799" t="s">
        <v>6554</v>
      </c>
      <c r="D2066" s="1796">
        <v>0</v>
      </c>
      <c r="E2066" s="1796">
        <v>0</v>
      </c>
      <c r="F2066" s="1797">
        <v>0</v>
      </c>
      <c r="G2066" s="1999" t="s">
        <v>6554</v>
      </c>
      <c r="H2066" s="1794">
        <v>0</v>
      </c>
      <c r="I2066" s="1794">
        <v>0</v>
      </c>
      <c r="J2066" s="2000">
        <v>0</v>
      </c>
      <c r="K2066" s="1798"/>
      <c r="L2066" s="1792">
        <v>13245010510</v>
      </c>
      <c r="M2066" s="1793">
        <v>0</v>
      </c>
      <c r="N2066" s="1793">
        <v>0</v>
      </c>
      <c r="O2066" s="1794">
        <v>0</v>
      </c>
    </row>
    <row r="2067" spans="3:15">
      <c r="C2067" s="1799" t="s">
        <v>6555</v>
      </c>
      <c r="D2067" s="1796">
        <v>0</v>
      </c>
      <c r="E2067" s="1796">
        <v>0</v>
      </c>
      <c r="F2067" s="1797">
        <v>0</v>
      </c>
      <c r="G2067" s="1999" t="s">
        <v>6555</v>
      </c>
      <c r="H2067" s="1794">
        <v>0</v>
      </c>
      <c r="I2067" s="1794">
        <v>0</v>
      </c>
      <c r="J2067" s="2000">
        <v>0</v>
      </c>
      <c r="K2067" s="1798"/>
      <c r="L2067" s="1792">
        <v>13245010511</v>
      </c>
      <c r="M2067" s="1793">
        <v>0</v>
      </c>
      <c r="N2067" s="1793">
        <v>0</v>
      </c>
      <c r="O2067" s="1794">
        <v>0</v>
      </c>
    </row>
    <row r="2068" spans="3:15">
      <c r="C2068" s="1799" t="s">
        <v>6556</v>
      </c>
      <c r="D2068" s="1796">
        <v>0</v>
      </c>
      <c r="E2068" s="1796">
        <v>0</v>
      </c>
      <c r="F2068" s="1797">
        <v>0</v>
      </c>
      <c r="G2068" s="1999" t="s">
        <v>6556</v>
      </c>
      <c r="H2068" s="1794">
        <v>0</v>
      </c>
      <c r="I2068" s="1794">
        <v>0</v>
      </c>
      <c r="J2068" s="2000">
        <v>0</v>
      </c>
      <c r="K2068" s="1798"/>
      <c r="L2068" s="1792">
        <v>13245010512</v>
      </c>
      <c r="M2068" s="1793">
        <v>0</v>
      </c>
      <c r="N2068" s="1793">
        <v>0</v>
      </c>
      <c r="O2068" s="1794">
        <v>0</v>
      </c>
    </row>
    <row r="2069" spans="3:15">
      <c r="C2069" s="1799" t="s">
        <v>6557</v>
      </c>
      <c r="D2069" s="1796">
        <v>0</v>
      </c>
      <c r="E2069" s="1796">
        <v>0</v>
      </c>
      <c r="F2069" s="1797">
        <v>0</v>
      </c>
      <c r="G2069" s="1999" t="s">
        <v>6557</v>
      </c>
      <c r="H2069" s="1794">
        <v>0</v>
      </c>
      <c r="I2069" s="1794" t="s">
        <v>4483</v>
      </c>
      <c r="J2069" s="2000">
        <v>0</v>
      </c>
      <c r="K2069" s="1798"/>
      <c r="L2069" s="1792">
        <v>13245010513</v>
      </c>
      <c r="M2069" s="1793">
        <v>0</v>
      </c>
      <c r="N2069" s="1793">
        <v>0</v>
      </c>
      <c r="O2069" s="1794">
        <v>0</v>
      </c>
    </row>
    <row r="2070" spans="3:15">
      <c r="C2070" s="1799" t="s">
        <v>6558</v>
      </c>
      <c r="D2070" s="1796">
        <v>0</v>
      </c>
      <c r="E2070" s="1796">
        <v>0</v>
      </c>
      <c r="F2070" s="1797">
        <v>0</v>
      </c>
      <c r="G2070" s="1999" t="s">
        <v>6558</v>
      </c>
      <c r="H2070" s="1794">
        <v>0</v>
      </c>
      <c r="I2070" s="1794">
        <v>0</v>
      </c>
      <c r="J2070" s="2000">
        <v>0</v>
      </c>
      <c r="K2070" s="1798"/>
      <c r="L2070" s="1792">
        <v>13245010600</v>
      </c>
      <c r="M2070" s="1793">
        <v>0</v>
      </c>
      <c r="N2070" s="1793">
        <v>0</v>
      </c>
      <c r="O2070" s="1794">
        <v>0</v>
      </c>
    </row>
    <row r="2071" spans="3:15">
      <c r="C2071" s="1799" t="s">
        <v>6559</v>
      </c>
      <c r="D2071" s="1796">
        <v>0</v>
      </c>
      <c r="E2071" s="1796">
        <v>0</v>
      </c>
      <c r="F2071" s="1797">
        <v>0</v>
      </c>
      <c r="G2071" s="1999" t="s">
        <v>6559</v>
      </c>
      <c r="H2071" s="1794">
        <v>0</v>
      </c>
      <c r="I2071" s="1794">
        <v>0</v>
      </c>
      <c r="J2071" s="2000">
        <v>0</v>
      </c>
      <c r="K2071" s="1798"/>
      <c r="L2071" s="1792">
        <v>13245010706</v>
      </c>
      <c r="M2071" s="1793">
        <v>0</v>
      </c>
      <c r="N2071" s="1793">
        <v>0</v>
      </c>
      <c r="O2071" s="1794">
        <v>0</v>
      </c>
    </row>
    <row r="2072" spans="3:15">
      <c r="C2072" s="1799" t="s">
        <v>6560</v>
      </c>
      <c r="D2072" s="1796">
        <v>0</v>
      </c>
      <c r="E2072" s="1796">
        <v>0</v>
      </c>
      <c r="F2072" s="1797">
        <v>0</v>
      </c>
      <c r="G2072" s="1999" t="s">
        <v>6560</v>
      </c>
      <c r="H2072" s="1794">
        <v>0</v>
      </c>
      <c r="I2072" s="1794">
        <v>0</v>
      </c>
      <c r="J2072" s="2000">
        <v>0</v>
      </c>
      <c r="K2072" s="1798"/>
      <c r="L2072" s="1792">
        <v>13245010707</v>
      </c>
      <c r="M2072" s="1793">
        <v>0</v>
      </c>
      <c r="N2072" s="1793">
        <v>0</v>
      </c>
      <c r="O2072" s="1794">
        <v>0</v>
      </c>
    </row>
    <row r="2073" spans="3:15">
      <c r="C2073" s="1799" t="s">
        <v>6561</v>
      </c>
      <c r="D2073" s="1796">
        <v>0</v>
      </c>
      <c r="E2073" s="1796">
        <v>0</v>
      </c>
      <c r="F2073" s="1797">
        <v>0</v>
      </c>
      <c r="G2073" s="1999" t="s">
        <v>6561</v>
      </c>
      <c r="H2073" s="1794">
        <v>0</v>
      </c>
      <c r="I2073" s="1794">
        <v>1</v>
      </c>
      <c r="J2073" s="2000">
        <v>1</v>
      </c>
      <c r="K2073" s="1798"/>
      <c r="L2073" s="1792">
        <v>13245010708</v>
      </c>
      <c r="M2073" s="1793">
        <v>0</v>
      </c>
      <c r="N2073" s="1793">
        <v>1</v>
      </c>
      <c r="O2073" s="1794">
        <v>1</v>
      </c>
    </row>
    <row r="2074" spans="3:15">
      <c r="C2074" s="1799" t="s">
        <v>6562</v>
      </c>
      <c r="D2074" s="1796">
        <v>1</v>
      </c>
      <c r="E2074" s="1796">
        <v>0</v>
      </c>
      <c r="F2074" s="1797">
        <v>1</v>
      </c>
      <c r="G2074" s="1999" t="s">
        <v>6562</v>
      </c>
      <c r="H2074" s="1794">
        <v>1</v>
      </c>
      <c r="I2074" s="1794">
        <v>1</v>
      </c>
      <c r="J2074" s="2000">
        <v>2</v>
      </c>
      <c r="K2074" s="1798"/>
      <c r="L2074" s="1792">
        <v>13245010709</v>
      </c>
      <c r="M2074" s="1793">
        <v>1</v>
      </c>
      <c r="N2074" s="1793">
        <v>1</v>
      </c>
      <c r="O2074" s="1794">
        <v>2</v>
      </c>
    </row>
    <row r="2075" spans="3:15">
      <c r="C2075" s="1799" t="s">
        <v>6563</v>
      </c>
      <c r="D2075" s="1796">
        <v>0</v>
      </c>
      <c r="E2075" s="1796">
        <v>0</v>
      </c>
      <c r="F2075" s="1797">
        <v>0</v>
      </c>
      <c r="G2075" s="1999" t="s">
        <v>6563</v>
      </c>
      <c r="H2075" s="1794">
        <v>0</v>
      </c>
      <c r="I2075" s="1794" t="s">
        <v>4483</v>
      </c>
      <c r="J2075" s="2000">
        <v>0</v>
      </c>
      <c r="K2075" s="1798"/>
      <c r="L2075" s="1792">
        <v>13245010710</v>
      </c>
      <c r="M2075" s="1793">
        <v>0</v>
      </c>
      <c r="N2075" s="1793">
        <v>0</v>
      </c>
      <c r="O2075" s="1794">
        <v>0</v>
      </c>
    </row>
    <row r="2076" spans="3:15">
      <c r="C2076" s="1799" t="s">
        <v>6564</v>
      </c>
      <c r="D2076" s="1796">
        <v>0</v>
      </c>
      <c r="E2076" s="1796">
        <v>0</v>
      </c>
      <c r="F2076" s="1797">
        <v>0</v>
      </c>
      <c r="G2076" s="1999" t="s">
        <v>6564</v>
      </c>
      <c r="H2076" s="1794">
        <v>0</v>
      </c>
      <c r="I2076" s="1794">
        <v>0</v>
      </c>
      <c r="J2076" s="2000">
        <v>0</v>
      </c>
      <c r="K2076" s="1798"/>
      <c r="L2076" s="1792">
        <v>13245010711</v>
      </c>
      <c r="M2076" s="1793">
        <v>0</v>
      </c>
      <c r="N2076" s="1793">
        <v>0</v>
      </c>
      <c r="O2076" s="1794">
        <v>0</v>
      </c>
    </row>
    <row r="2077" spans="3:15">
      <c r="C2077" s="1799" t="s">
        <v>6565</v>
      </c>
      <c r="D2077" s="1796">
        <v>0</v>
      </c>
      <c r="E2077" s="1796">
        <v>0</v>
      </c>
      <c r="F2077" s="1797">
        <v>0</v>
      </c>
      <c r="G2077" s="1999" t="s">
        <v>6565</v>
      </c>
      <c r="H2077" s="1794">
        <v>0</v>
      </c>
      <c r="I2077" s="1794">
        <v>0</v>
      </c>
      <c r="J2077" s="2000">
        <v>0</v>
      </c>
      <c r="K2077" s="1798"/>
      <c r="L2077" s="1792">
        <v>13245010712</v>
      </c>
      <c r="M2077" s="1793">
        <v>0</v>
      </c>
      <c r="N2077" s="1793">
        <v>0</v>
      </c>
      <c r="O2077" s="1794">
        <v>0</v>
      </c>
    </row>
    <row r="2078" spans="3:15">
      <c r="C2078" s="1799" t="s">
        <v>6566</v>
      </c>
      <c r="D2078" s="1796">
        <v>0</v>
      </c>
      <c r="E2078" s="1796">
        <v>1</v>
      </c>
      <c r="F2078" s="1797">
        <v>1</v>
      </c>
      <c r="G2078" s="1999" t="s">
        <v>6566</v>
      </c>
      <c r="H2078" s="1794">
        <v>0</v>
      </c>
      <c r="I2078" s="1794" t="s">
        <v>4483</v>
      </c>
      <c r="J2078" s="2000">
        <v>0</v>
      </c>
      <c r="K2078" s="1798"/>
      <c r="L2078" s="1792">
        <v>13245010800</v>
      </c>
      <c r="M2078" s="1793">
        <v>0</v>
      </c>
      <c r="N2078" s="1793">
        <v>1</v>
      </c>
      <c r="O2078" s="1794">
        <v>1</v>
      </c>
    </row>
    <row r="2079" spans="3:15">
      <c r="C2079" s="1799" t="s">
        <v>6567</v>
      </c>
      <c r="D2079" s="1796">
        <v>0</v>
      </c>
      <c r="E2079" s="1796">
        <v>0</v>
      </c>
      <c r="F2079" s="1797">
        <v>0</v>
      </c>
      <c r="G2079" s="1999" t="s">
        <v>6567</v>
      </c>
      <c r="H2079" s="1794">
        <v>0</v>
      </c>
      <c r="I2079" s="1794">
        <v>0</v>
      </c>
      <c r="J2079" s="2000">
        <v>0</v>
      </c>
      <c r="K2079" s="1798"/>
      <c r="L2079" s="1792">
        <v>13245010903</v>
      </c>
      <c r="M2079" s="1793">
        <v>0</v>
      </c>
      <c r="N2079" s="1793">
        <v>0</v>
      </c>
      <c r="O2079" s="1794">
        <v>0</v>
      </c>
    </row>
    <row r="2080" spans="3:15">
      <c r="C2080" s="1799" t="s">
        <v>6568</v>
      </c>
      <c r="D2080" s="1796">
        <v>0</v>
      </c>
      <c r="E2080" s="1796">
        <v>0</v>
      </c>
      <c r="F2080" s="1797">
        <v>0</v>
      </c>
      <c r="G2080" s="1999" t="s">
        <v>6568</v>
      </c>
      <c r="H2080" s="1794">
        <v>0</v>
      </c>
      <c r="I2080" s="1794">
        <v>0</v>
      </c>
      <c r="J2080" s="2000">
        <v>0</v>
      </c>
      <c r="K2080" s="1798"/>
      <c r="L2080" s="1792">
        <v>13245010904</v>
      </c>
      <c r="M2080" s="1793">
        <v>0</v>
      </c>
      <c r="N2080" s="1793">
        <v>0</v>
      </c>
      <c r="O2080" s="1794">
        <v>0</v>
      </c>
    </row>
    <row r="2081" spans="3:15">
      <c r="C2081" s="1799" t="s">
        <v>6569</v>
      </c>
      <c r="D2081" s="1796">
        <v>0</v>
      </c>
      <c r="E2081" s="1796">
        <v>0</v>
      </c>
      <c r="F2081" s="1797">
        <v>0</v>
      </c>
      <c r="G2081" s="1999" t="s">
        <v>6569</v>
      </c>
      <c r="H2081" s="1794">
        <v>0</v>
      </c>
      <c r="I2081" s="1794">
        <v>0</v>
      </c>
      <c r="J2081" s="2000">
        <v>0</v>
      </c>
      <c r="K2081" s="1798"/>
      <c r="L2081" s="1792">
        <v>13245010905</v>
      </c>
      <c r="M2081" s="1793">
        <v>0</v>
      </c>
      <c r="N2081" s="1793">
        <v>0</v>
      </c>
      <c r="O2081" s="1794">
        <v>0</v>
      </c>
    </row>
    <row r="2082" spans="3:15">
      <c r="C2082" s="1799" t="s">
        <v>6570</v>
      </c>
      <c r="D2082" s="1796">
        <v>0</v>
      </c>
      <c r="E2082" s="1796">
        <v>1</v>
      </c>
      <c r="F2082" s="1797">
        <v>1</v>
      </c>
      <c r="G2082" s="1999" t="s">
        <v>6570</v>
      </c>
      <c r="H2082" s="1794">
        <v>0</v>
      </c>
      <c r="I2082" s="1794">
        <v>1</v>
      </c>
      <c r="J2082" s="2000">
        <v>1</v>
      </c>
      <c r="K2082" s="1798"/>
      <c r="L2082" s="1792">
        <v>13245010906</v>
      </c>
      <c r="M2082" s="1793">
        <v>0</v>
      </c>
      <c r="N2082" s="1793">
        <v>1</v>
      </c>
      <c r="O2082" s="1794">
        <v>1</v>
      </c>
    </row>
    <row r="2083" spans="3:15">
      <c r="C2083" s="1799" t="s">
        <v>6571</v>
      </c>
      <c r="D2083" s="1796">
        <v>0</v>
      </c>
      <c r="E2083" s="1796">
        <v>0</v>
      </c>
      <c r="F2083" s="1797">
        <v>0</v>
      </c>
      <c r="G2083" s="1999" t="s">
        <v>6571</v>
      </c>
      <c r="H2083" s="1794">
        <v>0</v>
      </c>
      <c r="I2083" s="1794">
        <v>0</v>
      </c>
      <c r="J2083" s="2000">
        <v>0</v>
      </c>
      <c r="K2083" s="1798"/>
      <c r="L2083" s="1792">
        <v>13245011000</v>
      </c>
      <c r="M2083" s="1793">
        <v>0</v>
      </c>
      <c r="N2083" s="1793">
        <v>0</v>
      </c>
      <c r="O2083" s="1794">
        <v>0</v>
      </c>
    </row>
    <row r="2084" spans="3:15">
      <c r="C2084" s="1799" t="s">
        <v>6572</v>
      </c>
      <c r="D2084" s="1796">
        <v>0</v>
      </c>
      <c r="E2084" s="1796">
        <v>1</v>
      </c>
      <c r="F2084" s="1797">
        <v>1</v>
      </c>
      <c r="G2084" s="1999" t="s">
        <v>6572</v>
      </c>
      <c r="H2084" s="1794">
        <v>1</v>
      </c>
      <c r="I2084" s="1794">
        <v>1</v>
      </c>
      <c r="J2084" s="2000">
        <v>2</v>
      </c>
      <c r="K2084" s="1798"/>
      <c r="L2084" s="1792">
        <v>13247060101</v>
      </c>
      <c r="M2084" s="1793">
        <v>1</v>
      </c>
      <c r="N2084" s="1793">
        <v>1</v>
      </c>
      <c r="O2084" s="1794">
        <v>2</v>
      </c>
    </row>
    <row r="2085" spans="3:15">
      <c r="C2085" s="1799" t="s">
        <v>6573</v>
      </c>
      <c r="D2085" s="1796">
        <v>0</v>
      </c>
      <c r="E2085" s="1796">
        <v>1</v>
      </c>
      <c r="F2085" s="1797">
        <v>1</v>
      </c>
      <c r="G2085" s="1999" t="s">
        <v>6573</v>
      </c>
      <c r="H2085" s="1794">
        <v>1</v>
      </c>
      <c r="I2085" s="1794">
        <v>1</v>
      </c>
      <c r="J2085" s="2000">
        <v>2</v>
      </c>
      <c r="K2085" s="1798"/>
      <c r="L2085" s="1792">
        <v>13247060102</v>
      </c>
      <c r="M2085" s="1793">
        <v>1</v>
      </c>
      <c r="N2085" s="1793">
        <v>1</v>
      </c>
      <c r="O2085" s="1794">
        <v>2</v>
      </c>
    </row>
    <row r="2086" spans="3:15">
      <c r="C2086" s="1799" t="s">
        <v>6574</v>
      </c>
      <c r="D2086" s="1796">
        <v>0</v>
      </c>
      <c r="E2086" s="1796">
        <v>0</v>
      </c>
      <c r="F2086" s="1797">
        <v>0</v>
      </c>
      <c r="G2086" s="1999" t="s">
        <v>6574</v>
      </c>
      <c r="H2086" s="1794">
        <v>0</v>
      </c>
      <c r="I2086" s="1794">
        <v>0</v>
      </c>
      <c r="J2086" s="2000">
        <v>0</v>
      </c>
      <c r="K2086" s="1798"/>
      <c r="L2086" s="1792">
        <v>13247060201</v>
      </c>
      <c r="M2086" s="1793">
        <v>0</v>
      </c>
      <c r="N2086" s="1793">
        <v>0</v>
      </c>
      <c r="O2086" s="1794">
        <v>0</v>
      </c>
    </row>
    <row r="2087" spans="3:15">
      <c r="C2087" s="1799" t="s">
        <v>6575</v>
      </c>
      <c r="D2087" s="1796">
        <v>1</v>
      </c>
      <c r="E2087" s="1796">
        <v>1</v>
      </c>
      <c r="F2087" s="1797">
        <v>2</v>
      </c>
      <c r="G2087" s="1999" t="s">
        <v>6575</v>
      </c>
      <c r="H2087" s="1794">
        <v>1</v>
      </c>
      <c r="I2087" s="1794">
        <v>1</v>
      </c>
      <c r="J2087" s="2000">
        <v>2</v>
      </c>
      <c r="K2087" s="1798"/>
      <c r="L2087" s="1792">
        <v>13247060202</v>
      </c>
      <c r="M2087" s="1793">
        <v>1</v>
      </c>
      <c r="N2087" s="1793">
        <v>1</v>
      </c>
      <c r="O2087" s="1794">
        <v>2</v>
      </c>
    </row>
    <row r="2088" spans="3:15">
      <c r="C2088" s="1799" t="s">
        <v>6576</v>
      </c>
      <c r="D2088" s="1796">
        <v>0</v>
      </c>
      <c r="E2088" s="1796">
        <v>0</v>
      </c>
      <c r="F2088" s="1797">
        <v>0</v>
      </c>
      <c r="G2088" s="1999" t="s">
        <v>6576</v>
      </c>
      <c r="H2088" s="1794">
        <v>0</v>
      </c>
      <c r="I2088" s="1794">
        <v>0</v>
      </c>
      <c r="J2088" s="2000">
        <v>0</v>
      </c>
      <c r="K2088" s="1798"/>
      <c r="L2088" s="1792">
        <v>13247060304</v>
      </c>
      <c r="M2088" s="1793">
        <v>0</v>
      </c>
      <c r="N2088" s="1793">
        <v>0</v>
      </c>
      <c r="O2088" s="1794">
        <v>0</v>
      </c>
    </row>
    <row r="2089" spans="3:15">
      <c r="C2089" s="1799" t="s">
        <v>6577</v>
      </c>
      <c r="D2089" s="1796">
        <v>0</v>
      </c>
      <c r="E2089" s="1796">
        <v>0</v>
      </c>
      <c r="F2089" s="1797">
        <v>0</v>
      </c>
      <c r="G2089" s="1999" t="s">
        <v>6577</v>
      </c>
      <c r="H2089" s="1794">
        <v>0</v>
      </c>
      <c r="I2089" s="1794">
        <v>0</v>
      </c>
      <c r="J2089" s="2000">
        <v>0</v>
      </c>
      <c r="K2089" s="1798"/>
      <c r="L2089" s="1792">
        <v>13247060305</v>
      </c>
      <c r="M2089" s="1793">
        <v>0</v>
      </c>
      <c r="N2089" s="1793">
        <v>0</v>
      </c>
      <c r="O2089" s="1794">
        <v>0</v>
      </c>
    </row>
    <row r="2090" spans="3:15">
      <c r="C2090" s="1799" t="s">
        <v>6578</v>
      </c>
      <c r="D2090" s="1796">
        <v>1</v>
      </c>
      <c r="E2090" s="1796">
        <v>1</v>
      </c>
      <c r="F2090" s="1797">
        <v>2</v>
      </c>
      <c r="G2090" s="1999" t="s">
        <v>6578</v>
      </c>
      <c r="H2090" s="1794">
        <v>1</v>
      </c>
      <c r="I2090" s="1794">
        <v>1</v>
      </c>
      <c r="J2090" s="2000">
        <v>2</v>
      </c>
      <c r="K2090" s="1798"/>
      <c r="L2090" s="1792">
        <v>13247060306</v>
      </c>
      <c r="M2090" s="1793">
        <v>1</v>
      </c>
      <c r="N2090" s="1793">
        <v>1</v>
      </c>
      <c r="O2090" s="1794">
        <v>2</v>
      </c>
    </row>
    <row r="2091" spans="3:15">
      <c r="C2091" s="1799" t="s">
        <v>6579</v>
      </c>
      <c r="D2091" s="1796">
        <v>0</v>
      </c>
      <c r="E2091" s="1796">
        <v>1</v>
      </c>
      <c r="F2091" s="1797">
        <v>1</v>
      </c>
      <c r="G2091" s="1999" t="s">
        <v>6579</v>
      </c>
      <c r="H2091" s="1794">
        <v>0</v>
      </c>
      <c r="I2091" s="1794">
        <v>1</v>
      </c>
      <c r="J2091" s="2000">
        <v>1</v>
      </c>
      <c r="K2091" s="1798"/>
      <c r="L2091" s="1792">
        <v>13247060307</v>
      </c>
      <c r="M2091" s="1793">
        <v>0</v>
      </c>
      <c r="N2091" s="1793">
        <v>1</v>
      </c>
      <c r="O2091" s="1794">
        <v>1</v>
      </c>
    </row>
    <row r="2092" spans="3:15">
      <c r="C2092" s="1799" t="s">
        <v>6580</v>
      </c>
      <c r="D2092" s="1796">
        <v>0</v>
      </c>
      <c r="E2092" s="1796">
        <v>0</v>
      </c>
      <c r="F2092" s="1797">
        <v>0</v>
      </c>
      <c r="G2092" s="1999" t="s">
        <v>6580</v>
      </c>
      <c r="H2092" s="1794">
        <v>0</v>
      </c>
      <c r="I2092" s="1794">
        <v>0</v>
      </c>
      <c r="J2092" s="2000">
        <v>0</v>
      </c>
      <c r="K2092" s="1798"/>
      <c r="L2092" s="1792">
        <v>13247060308</v>
      </c>
      <c r="M2092" s="1793">
        <v>0</v>
      </c>
      <c r="N2092" s="1793">
        <v>0</v>
      </c>
      <c r="O2092" s="1794">
        <v>0</v>
      </c>
    </row>
    <row r="2093" spans="3:15">
      <c r="C2093" s="1799" t="s">
        <v>6581</v>
      </c>
      <c r="D2093" s="1796">
        <v>0</v>
      </c>
      <c r="E2093" s="1796">
        <v>0</v>
      </c>
      <c r="F2093" s="1797">
        <v>0</v>
      </c>
      <c r="G2093" s="1999" t="s">
        <v>6581</v>
      </c>
      <c r="H2093" s="1794">
        <v>0</v>
      </c>
      <c r="I2093" s="1794">
        <v>0</v>
      </c>
      <c r="J2093" s="2000">
        <v>0</v>
      </c>
      <c r="K2093" s="1798"/>
      <c r="L2093" s="1792">
        <v>13247060309</v>
      </c>
      <c r="M2093" s="1793">
        <v>0</v>
      </c>
      <c r="N2093" s="1793">
        <v>0</v>
      </c>
      <c r="O2093" s="1794">
        <v>0</v>
      </c>
    </row>
    <row r="2094" spans="3:15">
      <c r="C2094" s="1799" t="s">
        <v>6582</v>
      </c>
      <c r="D2094" s="1796">
        <v>1</v>
      </c>
      <c r="E2094" s="1796">
        <v>1</v>
      </c>
      <c r="F2094" s="1797">
        <v>2</v>
      </c>
      <c r="G2094" s="1999" t="s">
        <v>6582</v>
      </c>
      <c r="H2094" s="1794">
        <v>1</v>
      </c>
      <c r="I2094" s="1794">
        <v>0</v>
      </c>
      <c r="J2094" s="2000">
        <v>1</v>
      </c>
      <c r="K2094" s="1798"/>
      <c r="L2094" s="1792">
        <v>13247060403</v>
      </c>
      <c r="M2094" s="1793">
        <v>1</v>
      </c>
      <c r="N2094" s="1793">
        <v>1</v>
      </c>
      <c r="O2094" s="1794">
        <v>2</v>
      </c>
    </row>
    <row r="2095" spans="3:15">
      <c r="C2095" s="1799" t="s">
        <v>6583</v>
      </c>
      <c r="D2095" s="1796">
        <v>1</v>
      </c>
      <c r="E2095" s="1796">
        <v>1</v>
      </c>
      <c r="F2095" s="1797">
        <v>2</v>
      </c>
      <c r="G2095" s="1999" t="s">
        <v>6583</v>
      </c>
      <c r="H2095" s="1794">
        <v>1</v>
      </c>
      <c r="I2095" s="1794">
        <v>1</v>
      </c>
      <c r="J2095" s="2000">
        <v>2</v>
      </c>
      <c r="K2095" s="1798"/>
      <c r="L2095" s="1792">
        <v>13247060404</v>
      </c>
      <c r="M2095" s="1793">
        <v>1</v>
      </c>
      <c r="N2095" s="1793">
        <v>1</v>
      </c>
      <c r="O2095" s="1794">
        <v>2</v>
      </c>
    </row>
    <row r="2096" spans="3:15">
      <c r="C2096" s="1799" t="s">
        <v>6584</v>
      </c>
      <c r="D2096" s="1796">
        <v>1</v>
      </c>
      <c r="E2096" s="1796">
        <v>1</v>
      </c>
      <c r="F2096" s="1797">
        <v>2</v>
      </c>
      <c r="G2096" s="1999" t="s">
        <v>6584</v>
      </c>
      <c r="H2096" s="1794">
        <v>0</v>
      </c>
      <c r="I2096" s="1794">
        <v>1</v>
      </c>
      <c r="J2096" s="2000">
        <v>1</v>
      </c>
      <c r="K2096" s="1798"/>
      <c r="L2096" s="1792">
        <v>13247060405</v>
      </c>
      <c r="M2096" s="1793">
        <v>1</v>
      </c>
      <c r="N2096" s="1793">
        <v>1</v>
      </c>
      <c r="O2096" s="1794">
        <v>2</v>
      </c>
    </row>
    <row r="2097" spans="3:15">
      <c r="C2097" s="1799" t="s">
        <v>6585</v>
      </c>
      <c r="D2097" s="1796">
        <v>1</v>
      </c>
      <c r="E2097" s="1796">
        <v>1</v>
      </c>
      <c r="F2097" s="1797">
        <v>2</v>
      </c>
      <c r="G2097" s="1999" t="s">
        <v>6585</v>
      </c>
      <c r="H2097" s="1794">
        <v>1</v>
      </c>
      <c r="I2097" s="1794">
        <v>1</v>
      </c>
      <c r="J2097" s="2000">
        <v>2</v>
      </c>
      <c r="K2097" s="1798"/>
      <c r="L2097" s="1792">
        <v>13247060406</v>
      </c>
      <c r="M2097" s="1793">
        <v>1</v>
      </c>
      <c r="N2097" s="1793">
        <v>1</v>
      </c>
      <c r="O2097" s="1794">
        <v>2</v>
      </c>
    </row>
    <row r="2098" spans="3:15">
      <c r="C2098" s="1799" t="s">
        <v>6586</v>
      </c>
      <c r="D2098" s="1796">
        <v>0</v>
      </c>
      <c r="E2098" s="1796">
        <v>1</v>
      </c>
      <c r="F2098" s="1797">
        <v>1</v>
      </c>
      <c r="G2098" s="1999" t="s">
        <v>6586</v>
      </c>
      <c r="H2098" s="1794">
        <v>0</v>
      </c>
      <c r="I2098" s="1794">
        <v>1</v>
      </c>
      <c r="J2098" s="2000">
        <v>1</v>
      </c>
      <c r="K2098" s="1798"/>
      <c r="L2098" s="1792">
        <v>13247060407</v>
      </c>
      <c r="M2098" s="1793">
        <v>0</v>
      </c>
      <c r="N2098" s="1793">
        <v>1</v>
      </c>
      <c r="O2098" s="1794">
        <v>1</v>
      </c>
    </row>
    <row r="2099" spans="3:15">
      <c r="C2099" s="1799" t="s">
        <v>6587</v>
      </c>
      <c r="D2099" s="1796">
        <v>0</v>
      </c>
      <c r="E2099" s="1796">
        <v>0</v>
      </c>
      <c r="F2099" s="1797">
        <v>0</v>
      </c>
      <c r="G2099" s="1999" t="s">
        <v>6587</v>
      </c>
      <c r="H2099" s="1794">
        <v>0</v>
      </c>
      <c r="I2099" s="1794">
        <v>1</v>
      </c>
      <c r="J2099" s="2000">
        <v>1</v>
      </c>
      <c r="K2099" s="1798"/>
      <c r="L2099" s="1792">
        <v>13249960100</v>
      </c>
      <c r="M2099" s="1793">
        <v>0</v>
      </c>
      <c r="N2099" s="1793">
        <v>1</v>
      </c>
      <c r="O2099" s="1794">
        <v>1</v>
      </c>
    </row>
    <row r="2100" spans="3:15">
      <c r="C2100" s="1799" t="s">
        <v>6588</v>
      </c>
      <c r="D2100" s="1796">
        <v>0</v>
      </c>
      <c r="E2100" s="1796">
        <v>0</v>
      </c>
      <c r="F2100" s="1797">
        <v>0</v>
      </c>
      <c r="G2100" s="1999" t="s">
        <v>6588</v>
      </c>
      <c r="H2100" s="1794">
        <v>0</v>
      </c>
      <c r="I2100" s="1794">
        <v>0</v>
      </c>
      <c r="J2100" s="2000">
        <v>0</v>
      </c>
      <c r="K2100" s="1798"/>
      <c r="L2100" s="1792">
        <v>13249960200</v>
      </c>
      <c r="M2100" s="1793">
        <v>0</v>
      </c>
      <c r="N2100" s="1793">
        <v>0</v>
      </c>
      <c r="O2100" s="1794">
        <v>0</v>
      </c>
    </row>
    <row r="2101" spans="3:15">
      <c r="C2101" s="1799" t="s">
        <v>6589</v>
      </c>
      <c r="D2101" s="1796">
        <v>0</v>
      </c>
      <c r="E2101" s="1796">
        <v>0</v>
      </c>
      <c r="F2101" s="1797">
        <v>0</v>
      </c>
      <c r="G2101" s="1999" t="s">
        <v>6589</v>
      </c>
      <c r="H2101" s="1794">
        <v>0</v>
      </c>
      <c r="I2101" s="1794">
        <v>0</v>
      </c>
      <c r="J2101" s="2000">
        <v>0</v>
      </c>
      <c r="K2101" s="1798"/>
      <c r="L2101" s="1792">
        <v>13251970200</v>
      </c>
      <c r="M2101" s="1793">
        <v>0</v>
      </c>
      <c r="N2101" s="1793">
        <v>0</v>
      </c>
      <c r="O2101" s="1794">
        <v>0</v>
      </c>
    </row>
    <row r="2102" spans="3:15">
      <c r="C2102" s="1799" t="s">
        <v>6590</v>
      </c>
      <c r="D2102" s="1796">
        <v>0</v>
      </c>
      <c r="E2102" s="1796">
        <v>0</v>
      </c>
      <c r="F2102" s="1797">
        <v>0</v>
      </c>
      <c r="G2102" s="1999" t="s">
        <v>6590</v>
      </c>
      <c r="H2102" s="1794">
        <v>0</v>
      </c>
      <c r="I2102" s="1794">
        <v>0</v>
      </c>
      <c r="J2102" s="2000">
        <v>0</v>
      </c>
      <c r="K2102" s="1798"/>
      <c r="L2102" s="1792">
        <v>13251970300</v>
      </c>
      <c r="M2102" s="1793">
        <v>0</v>
      </c>
      <c r="N2102" s="1793">
        <v>0</v>
      </c>
      <c r="O2102" s="1794">
        <v>0</v>
      </c>
    </row>
    <row r="2103" spans="3:15">
      <c r="C2103" s="1799" t="s">
        <v>6591</v>
      </c>
      <c r="D2103" s="1796">
        <v>0</v>
      </c>
      <c r="E2103" s="1796">
        <v>0</v>
      </c>
      <c r="F2103" s="1797">
        <v>0</v>
      </c>
      <c r="G2103" s="1999" t="s">
        <v>6591</v>
      </c>
      <c r="H2103" s="1794">
        <v>0</v>
      </c>
      <c r="I2103" s="1794">
        <v>0</v>
      </c>
      <c r="J2103" s="2000">
        <v>0</v>
      </c>
      <c r="K2103" s="1798"/>
      <c r="L2103" s="1792">
        <v>13251970400</v>
      </c>
      <c r="M2103" s="1793">
        <v>0</v>
      </c>
      <c r="N2103" s="1793">
        <v>0</v>
      </c>
      <c r="O2103" s="1794">
        <v>0</v>
      </c>
    </row>
    <row r="2104" spans="3:15">
      <c r="C2104" s="1799" t="s">
        <v>6592</v>
      </c>
      <c r="D2104" s="1796">
        <v>0</v>
      </c>
      <c r="E2104" s="1796">
        <v>0</v>
      </c>
      <c r="F2104" s="1797">
        <v>0</v>
      </c>
      <c r="G2104" s="1999" t="s">
        <v>6592</v>
      </c>
      <c r="H2104" s="1794">
        <v>0</v>
      </c>
      <c r="I2104" s="1794">
        <v>0</v>
      </c>
      <c r="J2104" s="2000">
        <v>0</v>
      </c>
      <c r="K2104" s="1798"/>
      <c r="L2104" s="1792">
        <v>13251970500</v>
      </c>
      <c r="M2104" s="1793">
        <v>0</v>
      </c>
      <c r="N2104" s="1793">
        <v>0</v>
      </c>
      <c r="O2104" s="1794">
        <v>0</v>
      </c>
    </row>
    <row r="2105" spans="3:15">
      <c r="C2105" s="1799" t="s">
        <v>6593</v>
      </c>
      <c r="D2105" s="1796">
        <v>0</v>
      </c>
      <c r="E2105" s="1796">
        <v>0</v>
      </c>
      <c r="F2105" s="1797">
        <v>0</v>
      </c>
      <c r="G2105" s="1999" t="s">
        <v>6593</v>
      </c>
      <c r="H2105" s="1794">
        <v>0</v>
      </c>
      <c r="I2105" s="1794">
        <v>0</v>
      </c>
      <c r="J2105" s="2000">
        <v>0</v>
      </c>
      <c r="K2105" s="1798"/>
      <c r="L2105" s="1792">
        <v>13251970600</v>
      </c>
      <c r="M2105" s="1793">
        <v>0</v>
      </c>
      <c r="N2105" s="1793">
        <v>0</v>
      </c>
      <c r="O2105" s="1794">
        <v>0</v>
      </c>
    </row>
    <row r="2106" spans="3:15">
      <c r="C2106" s="1799" t="s">
        <v>6594</v>
      </c>
      <c r="D2106" s="1796">
        <v>0</v>
      </c>
      <c r="E2106" s="1796">
        <v>0</v>
      </c>
      <c r="F2106" s="1797">
        <v>0</v>
      </c>
      <c r="G2106" s="1999" t="s">
        <v>6594</v>
      </c>
      <c r="H2106" s="1794">
        <v>0</v>
      </c>
      <c r="I2106" s="1794">
        <v>0</v>
      </c>
      <c r="J2106" s="2000">
        <v>0</v>
      </c>
      <c r="K2106" s="1798"/>
      <c r="L2106" s="1792">
        <v>13253200100</v>
      </c>
      <c r="M2106" s="1793">
        <v>0</v>
      </c>
      <c r="N2106" s="1793">
        <v>0</v>
      </c>
      <c r="O2106" s="1794">
        <v>0</v>
      </c>
    </row>
    <row r="2107" spans="3:15">
      <c r="C2107" s="1799" t="s">
        <v>6595</v>
      </c>
      <c r="D2107" s="1796">
        <v>0</v>
      </c>
      <c r="E2107" s="1796">
        <v>0</v>
      </c>
      <c r="F2107" s="1797">
        <v>0</v>
      </c>
      <c r="G2107" s="1999" t="s">
        <v>6595</v>
      </c>
      <c r="H2107" s="1794">
        <v>0</v>
      </c>
      <c r="I2107" s="1794">
        <v>0</v>
      </c>
      <c r="J2107" s="2000">
        <v>0</v>
      </c>
      <c r="K2107" s="1798"/>
      <c r="L2107" s="1792">
        <v>13253200200</v>
      </c>
      <c r="M2107" s="1793">
        <v>0</v>
      </c>
      <c r="N2107" s="1793">
        <v>0</v>
      </c>
      <c r="O2107" s="1794">
        <v>0</v>
      </c>
    </row>
    <row r="2108" spans="3:15">
      <c r="C2108" s="1799" t="s">
        <v>6596</v>
      </c>
      <c r="D2108" s="1796">
        <v>0</v>
      </c>
      <c r="E2108" s="1796">
        <v>0</v>
      </c>
      <c r="F2108" s="1797">
        <v>0</v>
      </c>
      <c r="G2108" s="1999" t="s">
        <v>6596</v>
      </c>
      <c r="H2108" s="1794">
        <v>0</v>
      </c>
      <c r="I2108" s="1794">
        <v>0</v>
      </c>
      <c r="J2108" s="2000">
        <v>0</v>
      </c>
      <c r="K2108" s="1798"/>
      <c r="L2108" s="1792">
        <v>13253200300</v>
      </c>
      <c r="M2108" s="1793">
        <v>0</v>
      </c>
      <c r="N2108" s="1793">
        <v>0</v>
      </c>
      <c r="O2108" s="1794">
        <v>0</v>
      </c>
    </row>
    <row r="2109" spans="3:15">
      <c r="C2109" s="1799" t="s">
        <v>6597</v>
      </c>
      <c r="D2109" s="1796">
        <v>0</v>
      </c>
      <c r="E2109" s="1796">
        <v>1</v>
      </c>
      <c r="F2109" s="1797">
        <v>1</v>
      </c>
      <c r="G2109" s="1999" t="s">
        <v>6597</v>
      </c>
      <c r="H2109" s="1794">
        <v>0</v>
      </c>
      <c r="I2109" s="1794">
        <v>0</v>
      </c>
      <c r="J2109" s="2000">
        <v>0</v>
      </c>
      <c r="K2109" s="1798"/>
      <c r="L2109" s="1792">
        <v>13255160100</v>
      </c>
      <c r="M2109" s="1793">
        <v>0</v>
      </c>
      <c r="N2109" s="1793">
        <v>1</v>
      </c>
      <c r="O2109" s="1794">
        <v>1</v>
      </c>
    </row>
    <row r="2110" spans="3:15">
      <c r="C2110" s="1799" t="s">
        <v>6598</v>
      </c>
      <c r="D2110" s="1796">
        <v>0</v>
      </c>
      <c r="E2110" s="1796">
        <v>0</v>
      </c>
      <c r="F2110" s="1797">
        <v>0</v>
      </c>
      <c r="G2110" s="1999" t="s">
        <v>6598</v>
      </c>
      <c r="H2110" s="1794">
        <v>0</v>
      </c>
      <c r="I2110" s="1794">
        <v>0</v>
      </c>
      <c r="J2110" s="2000">
        <v>0</v>
      </c>
      <c r="K2110" s="1798"/>
      <c r="L2110" s="1792">
        <v>13255160200</v>
      </c>
      <c r="M2110" s="1793">
        <v>0</v>
      </c>
      <c r="N2110" s="1793">
        <v>0</v>
      </c>
      <c r="O2110" s="1794">
        <v>0</v>
      </c>
    </row>
    <row r="2111" spans="3:15">
      <c r="C2111" s="1799" t="s">
        <v>6599</v>
      </c>
      <c r="D2111" s="1796">
        <v>0</v>
      </c>
      <c r="E2111" s="1796">
        <v>0</v>
      </c>
      <c r="F2111" s="1797">
        <v>0</v>
      </c>
      <c r="G2111" s="1999" t="s">
        <v>6599</v>
      </c>
      <c r="H2111" s="1794">
        <v>0</v>
      </c>
      <c r="I2111" s="1794">
        <v>0</v>
      </c>
      <c r="J2111" s="2000">
        <v>0</v>
      </c>
      <c r="K2111" s="1798"/>
      <c r="L2111" s="1792">
        <v>13255160300</v>
      </c>
      <c r="M2111" s="1793">
        <v>0</v>
      </c>
      <c r="N2111" s="1793">
        <v>0</v>
      </c>
      <c r="O2111" s="1794">
        <v>0</v>
      </c>
    </row>
    <row r="2112" spans="3:15">
      <c r="C2112" s="1799" t="s">
        <v>6600</v>
      </c>
      <c r="D2112" s="1796">
        <v>0</v>
      </c>
      <c r="E2112" s="1796">
        <v>0</v>
      </c>
      <c r="F2112" s="1797">
        <v>0</v>
      </c>
      <c r="G2112" s="1999" t="s">
        <v>6600</v>
      </c>
      <c r="H2112" s="1794">
        <v>0</v>
      </c>
      <c r="I2112" s="1794">
        <v>0</v>
      </c>
      <c r="J2112" s="2000">
        <v>0</v>
      </c>
      <c r="K2112" s="1798"/>
      <c r="L2112" s="1792">
        <v>13255160400</v>
      </c>
      <c r="M2112" s="1793">
        <v>0</v>
      </c>
      <c r="N2112" s="1793">
        <v>0</v>
      </c>
      <c r="O2112" s="1794">
        <v>0</v>
      </c>
    </row>
    <row r="2113" spans="3:15">
      <c r="C2113" s="1799" t="s">
        <v>6601</v>
      </c>
      <c r="D2113" s="1796">
        <v>0</v>
      </c>
      <c r="E2113" s="1796">
        <v>0</v>
      </c>
      <c r="F2113" s="1797">
        <v>0</v>
      </c>
      <c r="G2113" s="1999" t="s">
        <v>6601</v>
      </c>
      <c r="H2113" s="1794">
        <v>0</v>
      </c>
      <c r="I2113" s="1794">
        <v>0</v>
      </c>
      <c r="J2113" s="2000">
        <v>0</v>
      </c>
      <c r="K2113" s="1798"/>
      <c r="L2113" s="1792">
        <v>13255160500</v>
      </c>
      <c r="M2113" s="1793">
        <v>0</v>
      </c>
      <c r="N2113" s="1793">
        <v>0</v>
      </c>
      <c r="O2113" s="1794">
        <v>0</v>
      </c>
    </row>
    <row r="2114" spans="3:15">
      <c r="C2114" s="1799" t="s">
        <v>6602</v>
      </c>
      <c r="D2114" s="1796">
        <v>1</v>
      </c>
      <c r="E2114" s="1796">
        <v>1</v>
      </c>
      <c r="F2114" s="1797">
        <v>2</v>
      </c>
      <c r="G2114" s="1999" t="s">
        <v>6602</v>
      </c>
      <c r="H2114" s="1794">
        <v>0</v>
      </c>
      <c r="I2114" s="1794">
        <v>0</v>
      </c>
      <c r="J2114" s="2000">
        <v>0</v>
      </c>
      <c r="K2114" s="1798"/>
      <c r="L2114" s="1792">
        <v>13255160600</v>
      </c>
      <c r="M2114" s="1793">
        <v>1</v>
      </c>
      <c r="N2114" s="1793">
        <v>1</v>
      </c>
      <c r="O2114" s="1794">
        <v>2</v>
      </c>
    </row>
    <row r="2115" spans="3:15">
      <c r="C2115" s="1799" t="s">
        <v>6603</v>
      </c>
      <c r="D2115" s="1796">
        <v>0</v>
      </c>
      <c r="E2115" s="1796">
        <v>0</v>
      </c>
      <c r="F2115" s="1797">
        <v>0</v>
      </c>
      <c r="G2115" s="1999" t="s">
        <v>6603</v>
      </c>
      <c r="H2115" s="1794">
        <v>0</v>
      </c>
      <c r="I2115" s="1794">
        <v>0</v>
      </c>
      <c r="J2115" s="2000">
        <v>0</v>
      </c>
      <c r="K2115" s="1798"/>
      <c r="L2115" s="1792">
        <v>13255160700</v>
      </c>
      <c r="M2115" s="1793">
        <v>0</v>
      </c>
      <c r="N2115" s="1793">
        <v>0</v>
      </c>
      <c r="O2115" s="1794">
        <v>0</v>
      </c>
    </row>
    <row r="2116" spans="3:15">
      <c r="C2116" s="1799" t="s">
        <v>6604</v>
      </c>
      <c r="D2116" s="1796">
        <v>0</v>
      </c>
      <c r="E2116" s="1796">
        <v>0</v>
      </c>
      <c r="F2116" s="1797">
        <v>0</v>
      </c>
      <c r="G2116" s="1999" t="s">
        <v>6604</v>
      </c>
      <c r="H2116" s="1794">
        <v>0</v>
      </c>
      <c r="I2116" s="1794">
        <v>0</v>
      </c>
      <c r="J2116" s="2000">
        <v>0</v>
      </c>
      <c r="K2116" s="1798"/>
      <c r="L2116" s="1792">
        <v>13255160800</v>
      </c>
      <c r="M2116" s="1793">
        <v>0</v>
      </c>
      <c r="N2116" s="1793">
        <v>0</v>
      </c>
      <c r="O2116" s="1794">
        <v>0</v>
      </c>
    </row>
    <row r="2117" spans="3:15">
      <c r="C2117" s="1799" t="s">
        <v>6605</v>
      </c>
      <c r="D2117" s="1796">
        <v>0</v>
      </c>
      <c r="E2117" s="1796">
        <v>0</v>
      </c>
      <c r="F2117" s="1797">
        <v>0</v>
      </c>
      <c r="G2117" s="1999" t="s">
        <v>6605</v>
      </c>
      <c r="H2117" s="1794">
        <v>0</v>
      </c>
      <c r="I2117" s="1794">
        <v>0</v>
      </c>
      <c r="J2117" s="2000">
        <v>0</v>
      </c>
      <c r="K2117" s="1798"/>
      <c r="L2117" s="1792">
        <v>13255160900</v>
      </c>
      <c r="M2117" s="1793">
        <v>0</v>
      </c>
      <c r="N2117" s="1793">
        <v>0</v>
      </c>
      <c r="O2117" s="1794">
        <v>0</v>
      </c>
    </row>
    <row r="2118" spans="3:15">
      <c r="C2118" s="1799" t="s">
        <v>6606</v>
      </c>
      <c r="D2118" s="1796">
        <v>0</v>
      </c>
      <c r="E2118" s="1796">
        <v>1</v>
      </c>
      <c r="F2118" s="1797">
        <v>1</v>
      </c>
      <c r="G2118" s="1999" t="s">
        <v>6606</v>
      </c>
      <c r="H2118" s="1794">
        <v>0</v>
      </c>
      <c r="I2118" s="1794">
        <v>0</v>
      </c>
      <c r="J2118" s="2000">
        <v>0</v>
      </c>
      <c r="K2118" s="1798"/>
      <c r="L2118" s="1792">
        <v>13255161000</v>
      </c>
      <c r="M2118" s="1793">
        <v>0</v>
      </c>
      <c r="N2118" s="1793">
        <v>1</v>
      </c>
      <c r="O2118" s="1794">
        <v>1</v>
      </c>
    </row>
    <row r="2119" spans="3:15">
      <c r="C2119" s="1799" t="s">
        <v>6607</v>
      </c>
      <c r="D2119" s="1796">
        <v>1</v>
      </c>
      <c r="E2119" s="1796">
        <v>1</v>
      </c>
      <c r="F2119" s="1797">
        <v>2</v>
      </c>
      <c r="G2119" s="1999" t="s">
        <v>6607</v>
      </c>
      <c r="H2119" s="1794">
        <v>1</v>
      </c>
      <c r="I2119" s="1794">
        <v>1</v>
      </c>
      <c r="J2119" s="2000">
        <v>2</v>
      </c>
      <c r="K2119" s="1798"/>
      <c r="L2119" s="1792">
        <v>13255161100</v>
      </c>
      <c r="M2119" s="1793">
        <v>1</v>
      </c>
      <c r="N2119" s="1793">
        <v>1</v>
      </c>
      <c r="O2119" s="1794">
        <v>2</v>
      </c>
    </row>
    <row r="2120" spans="3:15">
      <c r="C2120" s="1799" t="s">
        <v>6608</v>
      </c>
      <c r="D2120" s="1796">
        <v>0</v>
      </c>
      <c r="E2120" s="1796">
        <v>0</v>
      </c>
      <c r="F2120" s="1797">
        <v>0</v>
      </c>
      <c r="G2120" s="1999" t="s">
        <v>6608</v>
      </c>
      <c r="H2120" s="1794">
        <v>0</v>
      </c>
      <c r="I2120" s="1794">
        <v>1</v>
      </c>
      <c r="J2120" s="2000">
        <v>1</v>
      </c>
      <c r="K2120" s="1798"/>
      <c r="L2120" s="1792">
        <v>13255161200</v>
      </c>
      <c r="M2120" s="1793">
        <v>0</v>
      </c>
      <c r="N2120" s="1793">
        <v>1</v>
      </c>
      <c r="O2120" s="1794">
        <v>1</v>
      </c>
    </row>
    <row r="2121" spans="3:15">
      <c r="C2121" s="1799" t="s">
        <v>6609</v>
      </c>
      <c r="D2121" s="1796">
        <v>0</v>
      </c>
      <c r="E2121" s="1796">
        <v>0</v>
      </c>
      <c r="F2121" s="1797">
        <v>0</v>
      </c>
      <c r="G2121" s="1999" t="s">
        <v>6609</v>
      </c>
      <c r="H2121" s="1794">
        <v>0</v>
      </c>
      <c r="I2121" s="1794">
        <v>0</v>
      </c>
      <c r="J2121" s="2000">
        <v>0</v>
      </c>
      <c r="K2121" s="1798"/>
      <c r="L2121" s="1792">
        <v>13257970100</v>
      </c>
      <c r="M2121" s="1793">
        <v>0</v>
      </c>
      <c r="N2121" s="1793">
        <v>0</v>
      </c>
      <c r="O2121" s="1794">
        <v>0</v>
      </c>
    </row>
    <row r="2122" spans="3:15">
      <c r="C2122" s="1799" t="s">
        <v>6610</v>
      </c>
      <c r="D2122" s="1796">
        <v>0</v>
      </c>
      <c r="E2122" s="1796">
        <v>0</v>
      </c>
      <c r="F2122" s="1797">
        <v>0</v>
      </c>
      <c r="G2122" s="1999" t="s">
        <v>6610</v>
      </c>
      <c r="H2122" s="1794">
        <v>0</v>
      </c>
      <c r="I2122" s="1794">
        <v>0</v>
      </c>
      <c r="J2122" s="2000">
        <v>0</v>
      </c>
      <c r="K2122" s="1798"/>
      <c r="L2122" s="1792">
        <v>13257970200</v>
      </c>
      <c r="M2122" s="1793">
        <v>0</v>
      </c>
      <c r="N2122" s="1793">
        <v>0</v>
      </c>
      <c r="O2122" s="1794">
        <v>0</v>
      </c>
    </row>
    <row r="2123" spans="3:15">
      <c r="C2123" s="1799" t="s">
        <v>6611</v>
      </c>
      <c r="D2123" s="1796">
        <v>0</v>
      </c>
      <c r="E2123" s="1796">
        <v>0</v>
      </c>
      <c r="F2123" s="1797">
        <v>0</v>
      </c>
      <c r="G2123" s="1999" t="s">
        <v>6611</v>
      </c>
      <c r="H2123" s="1794">
        <v>0</v>
      </c>
      <c r="I2123" s="1794">
        <v>0</v>
      </c>
      <c r="J2123" s="2000">
        <v>0</v>
      </c>
      <c r="K2123" s="1798"/>
      <c r="L2123" s="1792">
        <v>13257970301</v>
      </c>
      <c r="M2123" s="1793">
        <v>0</v>
      </c>
      <c r="N2123" s="1793">
        <v>0</v>
      </c>
      <c r="O2123" s="1794">
        <v>0</v>
      </c>
    </row>
    <row r="2124" spans="3:15">
      <c r="C2124" s="1799" t="s">
        <v>6612</v>
      </c>
      <c r="D2124" s="1796">
        <v>0</v>
      </c>
      <c r="E2124" s="1796">
        <v>0</v>
      </c>
      <c r="F2124" s="1797">
        <v>0</v>
      </c>
      <c r="G2124" s="1999" t="s">
        <v>6612</v>
      </c>
      <c r="H2124" s="1794">
        <v>0</v>
      </c>
      <c r="I2124" s="1794">
        <v>0</v>
      </c>
      <c r="J2124" s="2000">
        <v>0</v>
      </c>
      <c r="K2124" s="1798"/>
      <c r="L2124" s="1792">
        <v>13257970302</v>
      </c>
      <c r="M2124" s="1793">
        <v>0</v>
      </c>
      <c r="N2124" s="1793">
        <v>0</v>
      </c>
      <c r="O2124" s="1794">
        <v>0</v>
      </c>
    </row>
    <row r="2125" spans="3:15">
      <c r="C2125" s="1799" t="s">
        <v>6613</v>
      </c>
      <c r="D2125" s="1796">
        <v>0</v>
      </c>
      <c r="E2125" s="1796">
        <v>0</v>
      </c>
      <c r="F2125" s="1797">
        <v>0</v>
      </c>
      <c r="G2125" s="1999" t="s">
        <v>6613</v>
      </c>
      <c r="H2125" s="1794">
        <v>0</v>
      </c>
      <c r="I2125" s="1794">
        <v>0</v>
      </c>
      <c r="J2125" s="2000">
        <v>0</v>
      </c>
      <c r="K2125" s="1798"/>
      <c r="L2125" s="1792">
        <v>13257970400</v>
      </c>
      <c r="M2125" s="1793">
        <v>0</v>
      </c>
      <c r="N2125" s="1793">
        <v>0</v>
      </c>
      <c r="O2125" s="1794">
        <v>0</v>
      </c>
    </row>
    <row r="2126" spans="3:15">
      <c r="C2126" s="1799" t="s">
        <v>6614</v>
      </c>
      <c r="D2126" s="1796">
        <v>0</v>
      </c>
      <c r="E2126" s="1796">
        <v>0</v>
      </c>
      <c r="F2126" s="1797">
        <v>0</v>
      </c>
      <c r="G2126" s="1999" t="s">
        <v>6614</v>
      </c>
      <c r="H2126" s="1794">
        <v>0</v>
      </c>
      <c r="I2126" s="1794">
        <v>0</v>
      </c>
      <c r="J2126" s="2000">
        <v>0</v>
      </c>
      <c r="K2126" s="1798"/>
      <c r="L2126" s="1792">
        <v>13259950100</v>
      </c>
      <c r="M2126" s="1793">
        <v>0</v>
      </c>
      <c r="N2126" s="1793">
        <v>0</v>
      </c>
      <c r="O2126" s="1794">
        <v>0</v>
      </c>
    </row>
    <row r="2127" spans="3:15">
      <c r="C2127" s="1799" t="s">
        <v>6615</v>
      </c>
      <c r="D2127" s="1796">
        <v>0</v>
      </c>
      <c r="E2127" s="1796">
        <v>0</v>
      </c>
      <c r="F2127" s="1797">
        <v>0</v>
      </c>
      <c r="G2127" s="1999" t="s">
        <v>6615</v>
      </c>
      <c r="H2127" s="1794">
        <v>0</v>
      </c>
      <c r="I2127" s="1794">
        <v>0</v>
      </c>
      <c r="J2127" s="2000">
        <v>0</v>
      </c>
      <c r="K2127" s="1798"/>
      <c r="L2127" s="1792">
        <v>13259950400</v>
      </c>
      <c r="M2127" s="1793">
        <v>0</v>
      </c>
      <c r="N2127" s="1793">
        <v>0</v>
      </c>
      <c r="O2127" s="1794">
        <v>0</v>
      </c>
    </row>
    <row r="2128" spans="3:15">
      <c r="C2128" s="1799" t="s">
        <v>6616</v>
      </c>
      <c r="D2128" s="1796">
        <v>0</v>
      </c>
      <c r="E2128" s="1796">
        <v>0</v>
      </c>
      <c r="F2128" s="1797">
        <v>0</v>
      </c>
      <c r="G2128" s="1999" t="s">
        <v>6616</v>
      </c>
      <c r="H2128" s="1794">
        <v>0</v>
      </c>
      <c r="I2128" s="1794">
        <v>0</v>
      </c>
      <c r="J2128" s="2000">
        <v>0</v>
      </c>
      <c r="K2128" s="1798"/>
      <c r="L2128" s="1792">
        <v>13261950100</v>
      </c>
      <c r="M2128" s="1793">
        <v>0</v>
      </c>
      <c r="N2128" s="1793">
        <v>0</v>
      </c>
      <c r="O2128" s="1794">
        <v>0</v>
      </c>
    </row>
    <row r="2129" spans="3:15">
      <c r="C2129" s="1799" t="s">
        <v>6617</v>
      </c>
      <c r="D2129" s="1796">
        <v>0</v>
      </c>
      <c r="E2129" s="1796">
        <v>0</v>
      </c>
      <c r="F2129" s="1797">
        <v>0</v>
      </c>
      <c r="G2129" s="1999" t="s">
        <v>6617</v>
      </c>
      <c r="H2129" s="1794">
        <v>0</v>
      </c>
      <c r="I2129" s="1794">
        <v>0</v>
      </c>
      <c r="J2129" s="2000">
        <v>0</v>
      </c>
      <c r="K2129" s="1798"/>
      <c r="L2129" s="1792">
        <v>13261950200</v>
      </c>
      <c r="M2129" s="1793">
        <v>0</v>
      </c>
      <c r="N2129" s="1793">
        <v>0</v>
      </c>
      <c r="O2129" s="1794">
        <v>0</v>
      </c>
    </row>
    <row r="2130" spans="3:15">
      <c r="C2130" s="1799" t="s">
        <v>6618</v>
      </c>
      <c r="D2130" s="1796">
        <v>0</v>
      </c>
      <c r="E2130" s="1796">
        <v>0</v>
      </c>
      <c r="F2130" s="1797">
        <v>0</v>
      </c>
      <c r="G2130" s="1999" t="s">
        <v>6618</v>
      </c>
      <c r="H2130" s="1794">
        <v>0</v>
      </c>
      <c r="I2130" s="1794">
        <v>1</v>
      </c>
      <c r="J2130" s="2000">
        <v>1</v>
      </c>
      <c r="K2130" s="1798"/>
      <c r="L2130" s="1792">
        <v>13261950300</v>
      </c>
      <c r="M2130" s="1793">
        <v>0</v>
      </c>
      <c r="N2130" s="1793">
        <v>1</v>
      </c>
      <c r="O2130" s="1794">
        <v>1</v>
      </c>
    </row>
    <row r="2131" spans="3:15">
      <c r="C2131" s="1799" t="s">
        <v>6619</v>
      </c>
      <c r="D2131" s="1796">
        <v>0</v>
      </c>
      <c r="E2131" s="1796">
        <v>0</v>
      </c>
      <c r="F2131" s="1797">
        <v>0</v>
      </c>
      <c r="G2131" s="1999" t="s">
        <v>6619</v>
      </c>
      <c r="H2131" s="1794">
        <v>0</v>
      </c>
      <c r="I2131" s="1794">
        <v>0</v>
      </c>
      <c r="J2131" s="2000">
        <v>0</v>
      </c>
      <c r="K2131" s="1798"/>
      <c r="L2131" s="1792">
        <v>13261950400</v>
      </c>
      <c r="M2131" s="1793">
        <v>0</v>
      </c>
      <c r="N2131" s="1793">
        <v>0</v>
      </c>
      <c r="O2131" s="1794">
        <v>0</v>
      </c>
    </row>
    <row r="2132" spans="3:15">
      <c r="C2132" s="1799" t="s">
        <v>6620</v>
      </c>
      <c r="D2132" s="1796">
        <v>0</v>
      </c>
      <c r="E2132" s="1796">
        <v>0</v>
      </c>
      <c r="F2132" s="1797">
        <v>0</v>
      </c>
      <c r="G2132" s="1999" t="s">
        <v>6620</v>
      </c>
      <c r="H2132" s="1794">
        <v>0</v>
      </c>
      <c r="I2132" s="1794">
        <v>0</v>
      </c>
      <c r="J2132" s="2000">
        <v>0</v>
      </c>
      <c r="K2132" s="1798"/>
      <c r="L2132" s="1792">
        <v>13261950500</v>
      </c>
      <c r="M2132" s="1793">
        <v>0</v>
      </c>
      <c r="N2132" s="1793">
        <v>0</v>
      </c>
      <c r="O2132" s="1794">
        <v>0</v>
      </c>
    </row>
    <row r="2133" spans="3:15">
      <c r="C2133" s="1799" t="s">
        <v>6621</v>
      </c>
      <c r="D2133" s="1796">
        <v>0</v>
      </c>
      <c r="E2133" s="1796">
        <v>0</v>
      </c>
      <c r="F2133" s="1797">
        <v>0</v>
      </c>
      <c r="G2133" s="1999" t="s">
        <v>6621</v>
      </c>
      <c r="H2133" s="1794">
        <v>0</v>
      </c>
      <c r="I2133" s="1794">
        <v>0</v>
      </c>
      <c r="J2133" s="2000">
        <v>0</v>
      </c>
      <c r="K2133" s="1798"/>
      <c r="L2133" s="1792">
        <v>13261950600</v>
      </c>
      <c r="M2133" s="1793">
        <v>0</v>
      </c>
      <c r="N2133" s="1793">
        <v>0</v>
      </c>
      <c r="O2133" s="1794">
        <v>0</v>
      </c>
    </row>
    <row r="2134" spans="3:15">
      <c r="C2134" s="1799" t="s">
        <v>6622</v>
      </c>
      <c r="D2134" s="1796">
        <v>0</v>
      </c>
      <c r="E2134" s="1796">
        <v>0</v>
      </c>
      <c r="F2134" s="1797">
        <v>0</v>
      </c>
      <c r="G2134" s="1999" t="s">
        <v>6622</v>
      </c>
      <c r="H2134" s="1794">
        <v>0</v>
      </c>
      <c r="I2134" s="1794">
        <v>1</v>
      </c>
      <c r="J2134" s="2000">
        <v>1</v>
      </c>
      <c r="K2134" s="1798"/>
      <c r="L2134" s="1792">
        <v>13261950700</v>
      </c>
      <c r="M2134" s="1793">
        <v>0</v>
      </c>
      <c r="N2134" s="1793">
        <v>1</v>
      </c>
      <c r="O2134" s="1794">
        <v>1</v>
      </c>
    </row>
    <row r="2135" spans="3:15">
      <c r="C2135" s="1799" t="s">
        <v>6623</v>
      </c>
      <c r="D2135" s="1796">
        <v>0</v>
      </c>
      <c r="E2135" s="1796">
        <v>0</v>
      </c>
      <c r="F2135" s="1797">
        <v>0</v>
      </c>
      <c r="G2135" s="1999" t="s">
        <v>6623</v>
      </c>
      <c r="H2135" s="1794">
        <v>0</v>
      </c>
      <c r="I2135" s="1794">
        <v>1</v>
      </c>
      <c r="J2135" s="2000">
        <v>1</v>
      </c>
      <c r="K2135" s="1798"/>
      <c r="L2135" s="1792">
        <v>13261950800</v>
      </c>
      <c r="M2135" s="1793">
        <v>0</v>
      </c>
      <c r="N2135" s="1793">
        <v>1</v>
      </c>
      <c r="O2135" s="1794">
        <v>1</v>
      </c>
    </row>
    <row r="2136" spans="3:15">
      <c r="C2136" s="1799" t="s">
        <v>6624</v>
      </c>
      <c r="D2136" s="1796">
        <v>1</v>
      </c>
      <c r="E2136" s="1796">
        <v>0</v>
      </c>
      <c r="F2136" s="1797">
        <v>1</v>
      </c>
      <c r="G2136" s="1999" t="s">
        <v>6624</v>
      </c>
      <c r="H2136" s="1794">
        <v>0</v>
      </c>
      <c r="I2136" s="1794" t="s">
        <v>4483</v>
      </c>
      <c r="J2136" s="2000">
        <v>0</v>
      </c>
      <c r="K2136" s="1798"/>
      <c r="L2136" s="1792">
        <v>13263960100</v>
      </c>
      <c r="M2136" s="1793">
        <v>1</v>
      </c>
      <c r="N2136" s="1793">
        <v>0</v>
      </c>
      <c r="O2136" s="1794">
        <v>1</v>
      </c>
    </row>
    <row r="2137" spans="3:15">
      <c r="C2137" s="1799" t="s">
        <v>6625</v>
      </c>
      <c r="D2137" s="1796">
        <v>0</v>
      </c>
      <c r="E2137" s="1796">
        <v>0</v>
      </c>
      <c r="F2137" s="1797">
        <v>0</v>
      </c>
      <c r="G2137" s="1999" t="s">
        <v>6625</v>
      </c>
      <c r="H2137" s="1794">
        <v>0</v>
      </c>
      <c r="I2137" s="1794">
        <v>0</v>
      </c>
      <c r="J2137" s="2000">
        <v>0</v>
      </c>
      <c r="K2137" s="1798"/>
      <c r="L2137" s="1792">
        <v>13263960200</v>
      </c>
      <c r="M2137" s="1793">
        <v>0</v>
      </c>
      <c r="N2137" s="1793">
        <v>0</v>
      </c>
      <c r="O2137" s="1794">
        <v>0</v>
      </c>
    </row>
    <row r="2138" spans="3:15">
      <c r="C2138" s="1799" t="s">
        <v>6626</v>
      </c>
      <c r="D2138" s="1796">
        <v>0</v>
      </c>
      <c r="E2138" s="1796">
        <v>0</v>
      </c>
      <c r="F2138" s="1797">
        <v>0</v>
      </c>
      <c r="G2138" s="1999" t="s">
        <v>6626</v>
      </c>
      <c r="H2138" s="1794">
        <v>0</v>
      </c>
      <c r="I2138" s="1794">
        <v>0</v>
      </c>
      <c r="J2138" s="2000">
        <v>0</v>
      </c>
      <c r="K2138" s="1798"/>
      <c r="L2138" s="1792">
        <v>13263960300</v>
      </c>
      <c r="M2138" s="1793">
        <v>0</v>
      </c>
      <c r="N2138" s="1793">
        <v>0</v>
      </c>
      <c r="O2138" s="1794">
        <v>0</v>
      </c>
    </row>
    <row r="2139" spans="3:15">
      <c r="C2139" s="1799" t="s">
        <v>6627</v>
      </c>
      <c r="D2139" s="1796">
        <v>0</v>
      </c>
      <c r="E2139" s="1796">
        <v>0</v>
      </c>
      <c r="F2139" s="1797">
        <v>0</v>
      </c>
      <c r="G2139" s="1999" t="s">
        <v>6627</v>
      </c>
      <c r="H2139" s="1794">
        <v>0</v>
      </c>
      <c r="I2139" s="1794">
        <v>0</v>
      </c>
      <c r="J2139" s="2000">
        <v>0</v>
      </c>
      <c r="K2139" s="1798"/>
      <c r="L2139" s="1792">
        <v>13265010200</v>
      </c>
      <c r="M2139" s="1793">
        <v>0</v>
      </c>
      <c r="N2139" s="1793">
        <v>0</v>
      </c>
      <c r="O2139" s="1794">
        <v>0</v>
      </c>
    </row>
    <row r="2140" spans="3:15">
      <c r="C2140" s="1799" t="s">
        <v>6628</v>
      </c>
      <c r="D2140" s="1796">
        <v>0</v>
      </c>
      <c r="E2140" s="1796">
        <v>0</v>
      </c>
      <c r="F2140" s="1797">
        <v>0</v>
      </c>
      <c r="G2140" s="1999" t="s">
        <v>6628</v>
      </c>
      <c r="H2140" s="1794">
        <v>0</v>
      </c>
      <c r="I2140" s="1794">
        <v>0</v>
      </c>
      <c r="J2140" s="2000">
        <v>0</v>
      </c>
      <c r="K2140" s="1798"/>
      <c r="L2140" s="1792">
        <v>13267950100</v>
      </c>
      <c r="M2140" s="1793">
        <v>0</v>
      </c>
      <c r="N2140" s="1793">
        <v>0</v>
      </c>
      <c r="O2140" s="1794">
        <v>0</v>
      </c>
    </row>
    <row r="2141" spans="3:15">
      <c r="C2141" s="1799" t="s">
        <v>6629</v>
      </c>
      <c r="D2141" s="1796">
        <v>0</v>
      </c>
      <c r="E2141" s="1796">
        <v>0</v>
      </c>
      <c r="F2141" s="1797">
        <v>0</v>
      </c>
      <c r="G2141" s="1999" t="s">
        <v>6629</v>
      </c>
      <c r="H2141" s="1794">
        <v>0</v>
      </c>
      <c r="I2141" s="1794">
        <v>0</v>
      </c>
      <c r="J2141" s="2000">
        <v>0</v>
      </c>
      <c r="K2141" s="1798"/>
      <c r="L2141" s="1792">
        <v>13267950201</v>
      </c>
      <c r="M2141" s="1793">
        <v>0</v>
      </c>
      <c r="N2141" s="1793">
        <v>0</v>
      </c>
      <c r="O2141" s="1794">
        <v>0</v>
      </c>
    </row>
    <row r="2142" spans="3:15">
      <c r="C2142" s="1799" t="s">
        <v>6630</v>
      </c>
      <c r="D2142" s="1796">
        <v>0</v>
      </c>
      <c r="E2142" s="1796">
        <v>0</v>
      </c>
      <c r="F2142" s="1797">
        <v>0</v>
      </c>
      <c r="G2142" s="1999" t="s">
        <v>6630</v>
      </c>
      <c r="H2142" s="1794">
        <v>0</v>
      </c>
      <c r="I2142" s="1794">
        <v>0</v>
      </c>
      <c r="J2142" s="2000">
        <v>0</v>
      </c>
      <c r="K2142" s="1798"/>
      <c r="L2142" s="1792">
        <v>13267950202</v>
      </c>
      <c r="M2142" s="1793">
        <v>0</v>
      </c>
      <c r="N2142" s="1793">
        <v>0</v>
      </c>
      <c r="O2142" s="1794">
        <v>0</v>
      </c>
    </row>
    <row r="2143" spans="3:15">
      <c r="C2143" s="1799" t="s">
        <v>6631</v>
      </c>
      <c r="D2143" s="1796">
        <v>0</v>
      </c>
      <c r="E2143" s="1796">
        <v>0</v>
      </c>
      <c r="F2143" s="1797">
        <v>0</v>
      </c>
      <c r="G2143" s="1999" t="s">
        <v>6631</v>
      </c>
      <c r="H2143" s="1794">
        <v>0</v>
      </c>
      <c r="I2143" s="1794">
        <v>0</v>
      </c>
      <c r="J2143" s="2000">
        <v>0</v>
      </c>
      <c r="K2143" s="1798"/>
      <c r="L2143" s="1792">
        <v>13267950300</v>
      </c>
      <c r="M2143" s="1793">
        <v>0</v>
      </c>
      <c r="N2143" s="1793">
        <v>0</v>
      </c>
      <c r="O2143" s="1794">
        <v>0</v>
      </c>
    </row>
    <row r="2144" spans="3:15">
      <c r="C2144" s="1799" t="s">
        <v>6632</v>
      </c>
      <c r="D2144" s="1796">
        <v>0</v>
      </c>
      <c r="E2144" s="1796">
        <v>0</v>
      </c>
      <c r="F2144" s="1797">
        <v>0</v>
      </c>
      <c r="G2144" s="1999" t="s">
        <v>6632</v>
      </c>
      <c r="H2144" s="1794">
        <v>0</v>
      </c>
      <c r="I2144" s="1794">
        <v>0</v>
      </c>
      <c r="J2144" s="2000">
        <v>0</v>
      </c>
      <c r="K2144" s="1798"/>
      <c r="L2144" s="1792">
        <v>13267950400</v>
      </c>
      <c r="M2144" s="1793">
        <v>0</v>
      </c>
      <c r="N2144" s="1793">
        <v>0</v>
      </c>
      <c r="O2144" s="1794">
        <v>0</v>
      </c>
    </row>
    <row r="2145" spans="3:15">
      <c r="C2145" s="1799" t="s">
        <v>6633</v>
      </c>
      <c r="D2145" s="1796">
        <v>0</v>
      </c>
      <c r="E2145" s="1796">
        <v>0</v>
      </c>
      <c r="F2145" s="1797">
        <v>0</v>
      </c>
      <c r="G2145" s="1999" t="s">
        <v>6633</v>
      </c>
      <c r="H2145" s="1794">
        <v>0</v>
      </c>
      <c r="I2145" s="1794">
        <v>0</v>
      </c>
      <c r="J2145" s="2000">
        <v>0</v>
      </c>
      <c r="K2145" s="1798"/>
      <c r="L2145" s="1792">
        <v>13269950100</v>
      </c>
      <c r="M2145" s="1793">
        <v>0</v>
      </c>
      <c r="N2145" s="1793">
        <v>0</v>
      </c>
      <c r="O2145" s="1794">
        <v>0</v>
      </c>
    </row>
    <row r="2146" spans="3:15">
      <c r="C2146" s="1799" t="s">
        <v>6634</v>
      </c>
      <c r="D2146" s="1796">
        <v>0</v>
      </c>
      <c r="E2146" s="1796">
        <v>0</v>
      </c>
      <c r="F2146" s="1797">
        <v>0</v>
      </c>
      <c r="G2146" s="1999" t="s">
        <v>6634</v>
      </c>
      <c r="H2146" s="1794">
        <v>0</v>
      </c>
      <c r="I2146" s="1794">
        <v>0</v>
      </c>
      <c r="J2146" s="2000">
        <v>0</v>
      </c>
      <c r="K2146" s="1798"/>
      <c r="L2146" s="1792">
        <v>13269950200</v>
      </c>
      <c r="M2146" s="1793">
        <v>0</v>
      </c>
      <c r="N2146" s="1793">
        <v>0</v>
      </c>
      <c r="O2146" s="1794">
        <v>0</v>
      </c>
    </row>
    <row r="2147" spans="3:15">
      <c r="C2147" s="1799" t="s">
        <v>6635</v>
      </c>
      <c r="D2147" s="1796">
        <v>0</v>
      </c>
      <c r="E2147" s="1796">
        <v>0</v>
      </c>
      <c r="F2147" s="1797">
        <v>0</v>
      </c>
      <c r="G2147" s="1999" t="s">
        <v>6635</v>
      </c>
      <c r="H2147" s="1794">
        <v>0</v>
      </c>
      <c r="I2147" s="1794">
        <v>0</v>
      </c>
      <c r="J2147" s="2000">
        <v>0</v>
      </c>
      <c r="K2147" s="1798"/>
      <c r="L2147" s="1792">
        <v>13269950300</v>
      </c>
      <c r="M2147" s="1793">
        <v>0</v>
      </c>
      <c r="N2147" s="1793">
        <v>0</v>
      </c>
      <c r="O2147" s="1794">
        <v>0</v>
      </c>
    </row>
    <row r="2148" spans="3:15">
      <c r="C2148" s="1799" t="s">
        <v>6636</v>
      </c>
      <c r="D2148" s="1796">
        <v>0</v>
      </c>
      <c r="E2148" s="1796">
        <v>0</v>
      </c>
      <c r="F2148" s="1797">
        <v>0</v>
      </c>
      <c r="G2148" s="1999" t="s">
        <v>6636</v>
      </c>
      <c r="H2148" s="1794">
        <v>0</v>
      </c>
      <c r="I2148" s="1794">
        <v>1</v>
      </c>
      <c r="J2148" s="2000">
        <v>1</v>
      </c>
      <c r="K2148" s="1798"/>
      <c r="L2148" s="1792">
        <v>13271950100</v>
      </c>
      <c r="M2148" s="1793">
        <v>0</v>
      </c>
      <c r="N2148" s="1793">
        <v>1</v>
      </c>
      <c r="O2148" s="1794">
        <v>1</v>
      </c>
    </row>
    <row r="2149" spans="3:15">
      <c r="C2149" s="1799" t="s">
        <v>6637</v>
      </c>
      <c r="D2149" s="1796">
        <v>0</v>
      </c>
      <c r="E2149" s="1796">
        <v>0</v>
      </c>
      <c r="F2149" s="1797">
        <v>0</v>
      </c>
      <c r="G2149" s="1999" t="s">
        <v>6637</v>
      </c>
      <c r="H2149" s="1794">
        <v>0</v>
      </c>
      <c r="I2149" s="1794">
        <v>1</v>
      </c>
      <c r="J2149" s="2000">
        <v>1</v>
      </c>
      <c r="K2149" s="1798"/>
      <c r="L2149" s="1792">
        <v>13271950200</v>
      </c>
      <c r="M2149" s="1793">
        <v>0</v>
      </c>
      <c r="N2149" s="1793">
        <v>1</v>
      </c>
      <c r="O2149" s="1794">
        <v>1</v>
      </c>
    </row>
    <row r="2150" spans="3:15">
      <c r="C2150" s="1799" t="s">
        <v>6638</v>
      </c>
      <c r="D2150" s="1796">
        <v>0</v>
      </c>
      <c r="E2150" s="1796">
        <v>0</v>
      </c>
      <c r="F2150" s="1797">
        <v>0</v>
      </c>
      <c r="G2150" s="1999" t="s">
        <v>6638</v>
      </c>
      <c r="H2150" s="1794">
        <v>0</v>
      </c>
      <c r="I2150" s="1794">
        <v>0</v>
      </c>
      <c r="J2150" s="2000">
        <v>0</v>
      </c>
      <c r="K2150" s="1798"/>
      <c r="L2150" s="1792">
        <v>13271950500</v>
      </c>
      <c r="M2150" s="1793">
        <v>0</v>
      </c>
      <c r="N2150" s="1793">
        <v>0</v>
      </c>
      <c r="O2150" s="1794">
        <v>0</v>
      </c>
    </row>
    <row r="2151" spans="3:15">
      <c r="C2151" s="1799" t="s">
        <v>6639</v>
      </c>
      <c r="D2151" s="1796">
        <v>0</v>
      </c>
      <c r="E2151" s="1796">
        <v>0</v>
      </c>
      <c r="F2151" s="1797">
        <v>0</v>
      </c>
      <c r="G2151" s="1999" t="s">
        <v>6639</v>
      </c>
      <c r="H2151" s="1794">
        <v>0</v>
      </c>
      <c r="I2151" s="1794">
        <v>0</v>
      </c>
      <c r="J2151" s="2000">
        <v>0</v>
      </c>
      <c r="K2151" s="1798"/>
      <c r="L2151" s="1792">
        <v>13273120200</v>
      </c>
      <c r="M2151" s="1793">
        <v>0</v>
      </c>
      <c r="N2151" s="1793">
        <v>0</v>
      </c>
      <c r="O2151" s="1794">
        <v>0</v>
      </c>
    </row>
    <row r="2152" spans="3:15">
      <c r="C2152" s="1799" t="s">
        <v>6640</v>
      </c>
      <c r="D2152" s="1796">
        <v>0</v>
      </c>
      <c r="E2152" s="1796">
        <v>0</v>
      </c>
      <c r="F2152" s="1797">
        <v>0</v>
      </c>
      <c r="G2152" s="1999" t="s">
        <v>6640</v>
      </c>
      <c r="H2152" s="1794">
        <v>0</v>
      </c>
      <c r="I2152" s="1794">
        <v>0</v>
      </c>
      <c r="J2152" s="2000">
        <v>0</v>
      </c>
      <c r="K2152" s="1798"/>
      <c r="L2152" s="1792">
        <v>13273120300</v>
      </c>
      <c r="M2152" s="1793">
        <v>0</v>
      </c>
      <c r="N2152" s="1793">
        <v>0</v>
      </c>
      <c r="O2152" s="1794">
        <v>0</v>
      </c>
    </row>
    <row r="2153" spans="3:15">
      <c r="C2153" s="1799" t="s">
        <v>6641</v>
      </c>
      <c r="D2153" s="1796">
        <v>0</v>
      </c>
      <c r="E2153" s="1796">
        <v>0</v>
      </c>
      <c r="F2153" s="1797">
        <v>0</v>
      </c>
      <c r="G2153" s="1999" t="s">
        <v>6641</v>
      </c>
      <c r="H2153" s="1794">
        <v>0</v>
      </c>
      <c r="I2153" s="1794">
        <v>0</v>
      </c>
      <c r="J2153" s="2000">
        <v>0</v>
      </c>
      <c r="K2153" s="1798"/>
      <c r="L2153" s="1792">
        <v>13273120400</v>
      </c>
      <c r="M2153" s="1793">
        <v>0</v>
      </c>
      <c r="N2153" s="1793">
        <v>0</v>
      </c>
      <c r="O2153" s="1794">
        <v>0</v>
      </c>
    </row>
    <row r="2154" spans="3:15">
      <c r="C2154" s="1799" t="s">
        <v>6642</v>
      </c>
      <c r="D2154" s="1796">
        <v>0</v>
      </c>
      <c r="E2154" s="1796">
        <v>0</v>
      </c>
      <c r="F2154" s="1797">
        <v>0</v>
      </c>
      <c r="G2154" s="1999" t="s">
        <v>6642</v>
      </c>
      <c r="H2154" s="1794">
        <v>0</v>
      </c>
      <c r="I2154" s="1794">
        <v>0</v>
      </c>
      <c r="J2154" s="2000">
        <v>0</v>
      </c>
      <c r="K2154" s="1798"/>
      <c r="L2154" s="1792">
        <v>13273120500</v>
      </c>
      <c r="M2154" s="1793">
        <v>0</v>
      </c>
      <c r="N2154" s="1793">
        <v>0</v>
      </c>
      <c r="O2154" s="1794">
        <v>0</v>
      </c>
    </row>
    <row r="2155" spans="3:15">
      <c r="C2155" s="1799" t="s">
        <v>6643</v>
      </c>
      <c r="D2155" s="1796">
        <v>0</v>
      </c>
      <c r="E2155" s="1796">
        <v>0</v>
      </c>
      <c r="F2155" s="1797">
        <v>0</v>
      </c>
      <c r="G2155" s="1999" t="s">
        <v>6643</v>
      </c>
      <c r="H2155" s="1794">
        <v>0</v>
      </c>
      <c r="I2155" s="1794">
        <v>0</v>
      </c>
      <c r="J2155" s="2000">
        <v>0</v>
      </c>
      <c r="K2155" s="1798"/>
      <c r="L2155" s="1792">
        <v>13275960100</v>
      </c>
      <c r="M2155" s="1793">
        <v>0</v>
      </c>
      <c r="N2155" s="1793">
        <v>0</v>
      </c>
      <c r="O2155" s="1794">
        <v>0</v>
      </c>
    </row>
    <row r="2156" spans="3:15">
      <c r="C2156" s="1799" t="s">
        <v>6644</v>
      </c>
      <c r="D2156" s="1796">
        <v>0</v>
      </c>
      <c r="E2156" s="1796">
        <v>0</v>
      </c>
      <c r="F2156" s="1797">
        <v>0</v>
      </c>
      <c r="G2156" s="1999" t="s">
        <v>6644</v>
      </c>
      <c r="H2156" s="1794">
        <v>0</v>
      </c>
      <c r="I2156" s="1794">
        <v>0</v>
      </c>
      <c r="J2156" s="2000">
        <v>0</v>
      </c>
      <c r="K2156" s="1798"/>
      <c r="L2156" s="1792">
        <v>13275960200</v>
      </c>
      <c r="M2156" s="1793">
        <v>0</v>
      </c>
      <c r="N2156" s="1793">
        <v>0</v>
      </c>
      <c r="O2156" s="1794">
        <v>0</v>
      </c>
    </row>
    <row r="2157" spans="3:15">
      <c r="C2157" s="1799" t="s">
        <v>6645</v>
      </c>
      <c r="D2157" s="1796">
        <v>0</v>
      </c>
      <c r="E2157" s="1796">
        <v>0</v>
      </c>
      <c r="F2157" s="1797">
        <v>0</v>
      </c>
      <c r="G2157" s="1999" t="s">
        <v>6645</v>
      </c>
      <c r="H2157" s="1794">
        <v>0</v>
      </c>
      <c r="I2157" s="1794">
        <v>0</v>
      </c>
      <c r="J2157" s="2000">
        <v>0</v>
      </c>
      <c r="K2157" s="1798"/>
      <c r="L2157" s="1792">
        <v>13275960300</v>
      </c>
      <c r="M2157" s="1793">
        <v>0</v>
      </c>
      <c r="N2157" s="1793">
        <v>0</v>
      </c>
      <c r="O2157" s="1794">
        <v>0</v>
      </c>
    </row>
    <row r="2158" spans="3:15">
      <c r="C2158" s="1799" t="s">
        <v>6646</v>
      </c>
      <c r="D2158" s="1796">
        <v>0</v>
      </c>
      <c r="E2158" s="1796">
        <v>0</v>
      </c>
      <c r="F2158" s="1797">
        <v>0</v>
      </c>
      <c r="G2158" s="1999" t="s">
        <v>6646</v>
      </c>
      <c r="H2158" s="1794">
        <v>0</v>
      </c>
      <c r="I2158" s="1794">
        <v>0</v>
      </c>
      <c r="J2158" s="2000">
        <v>0</v>
      </c>
      <c r="K2158" s="1798"/>
      <c r="L2158" s="1792">
        <v>13275960400</v>
      </c>
      <c r="M2158" s="1793">
        <v>0</v>
      </c>
      <c r="N2158" s="1793">
        <v>0</v>
      </c>
      <c r="O2158" s="1794">
        <v>0</v>
      </c>
    </row>
    <row r="2159" spans="3:15">
      <c r="C2159" s="1799" t="s">
        <v>6647</v>
      </c>
      <c r="D2159" s="1796">
        <v>0</v>
      </c>
      <c r="E2159" s="1796">
        <v>0</v>
      </c>
      <c r="F2159" s="1797">
        <v>0</v>
      </c>
      <c r="G2159" s="1999" t="s">
        <v>6647</v>
      </c>
      <c r="H2159" s="1794">
        <v>0</v>
      </c>
      <c r="I2159" s="1794">
        <v>0</v>
      </c>
      <c r="J2159" s="2000">
        <v>0</v>
      </c>
      <c r="K2159" s="1798"/>
      <c r="L2159" s="1792">
        <v>13275960500</v>
      </c>
      <c r="M2159" s="1793">
        <v>0</v>
      </c>
      <c r="N2159" s="1793">
        <v>0</v>
      </c>
      <c r="O2159" s="1794">
        <v>0</v>
      </c>
    </row>
    <row r="2160" spans="3:15">
      <c r="C2160" s="1799" t="s">
        <v>6648</v>
      </c>
      <c r="D2160" s="1796">
        <v>1</v>
      </c>
      <c r="E2160" s="1796">
        <v>0</v>
      </c>
      <c r="F2160" s="1797">
        <v>1</v>
      </c>
      <c r="G2160" s="1999" t="s">
        <v>6648</v>
      </c>
      <c r="H2160" s="1794">
        <v>0</v>
      </c>
      <c r="I2160" s="1794">
        <v>0</v>
      </c>
      <c r="J2160" s="2000">
        <v>0</v>
      </c>
      <c r="K2160" s="1798"/>
      <c r="L2160" s="1792">
        <v>13275960600</v>
      </c>
      <c r="M2160" s="1793">
        <v>1</v>
      </c>
      <c r="N2160" s="1793">
        <v>0</v>
      </c>
      <c r="O2160" s="1794">
        <v>1</v>
      </c>
    </row>
    <row r="2161" spans="3:15">
      <c r="C2161" s="1799" t="s">
        <v>6649</v>
      </c>
      <c r="D2161" s="1796">
        <v>0</v>
      </c>
      <c r="E2161" s="1796">
        <v>0</v>
      </c>
      <c r="F2161" s="1797">
        <v>0</v>
      </c>
      <c r="G2161" s="1999" t="s">
        <v>6649</v>
      </c>
      <c r="H2161" s="1794">
        <v>0</v>
      </c>
      <c r="I2161" s="1794">
        <v>0</v>
      </c>
      <c r="J2161" s="2000">
        <v>0</v>
      </c>
      <c r="K2161" s="1798"/>
      <c r="L2161" s="1792">
        <v>13275960700</v>
      </c>
      <c r="M2161" s="1793">
        <v>0</v>
      </c>
      <c r="N2161" s="1793">
        <v>0</v>
      </c>
      <c r="O2161" s="1794">
        <v>0</v>
      </c>
    </row>
    <row r="2162" spans="3:15">
      <c r="C2162" s="1799" t="s">
        <v>6650</v>
      </c>
      <c r="D2162" s="1796">
        <v>0</v>
      </c>
      <c r="E2162" s="1796">
        <v>0</v>
      </c>
      <c r="F2162" s="1797">
        <v>0</v>
      </c>
      <c r="G2162" s="1999" t="s">
        <v>6650</v>
      </c>
      <c r="H2162" s="1794">
        <v>0</v>
      </c>
      <c r="I2162" s="1794">
        <v>0</v>
      </c>
      <c r="J2162" s="2000">
        <v>0</v>
      </c>
      <c r="K2162" s="1798"/>
      <c r="L2162" s="1792">
        <v>13275960800</v>
      </c>
      <c r="M2162" s="1793">
        <v>0</v>
      </c>
      <c r="N2162" s="1793">
        <v>0</v>
      </c>
      <c r="O2162" s="1794">
        <v>0</v>
      </c>
    </row>
    <row r="2163" spans="3:15">
      <c r="C2163" s="1799" t="s">
        <v>6651</v>
      </c>
      <c r="D2163" s="1796">
        <v>0</v>
      </c>
      <c r="E2163" s="1796">
        <v>0</v>
      </c>
      <c r="F2163" s="1797">
        <v>0</v>
      </c>
      <c r="G2163" s="1999" t="s">
        <v>6651</v>
      </c>
      <c r="H2163" s="1794">
        <v>0</v>
      </c>
      <c r="I2163" s="1794">
        <v>0</v>
      </c>
      <c r="J2163" s="2000">
        <v>0</v>
      </c>
      <c r="K2163" s="1798"/>
      <c r="L2163" s="1792">
        <v>13275960900</v>
      </c>
      <c r="M2163" s="1793">
        <v>0</v>
      </c>
      <c r="N2163" s="1793">
        <v>0</v>
      </c>
      <c r="O2163" s="1794">
        <v>0</v>
      </c>
    </row>
    <row r="2164" spans="3:15">
      <c r="C2164" s="1799" t="s">
        <v>6652</v>
      </c>
      <c r="D2164" s="1796">
        <v>0</v>
      </c>
      <c r="E2164" s="1796">
        <v>0</v>
      </c>
      <c r="F2164" s="1797">
        <v>0</v>
      </c>
      <c r="G2164" s="1999" t="s">
        <v>6652</v>
      </c>
      <c r="H2164" s="1794">
        <v>1</v>
      </c>
      <c r="I2164" s="1794">
        <v>1</v>
      </c>
      <c r="J2164" s="2000">
        <v>2</v>
      </c>
      <c r="K2164" s="1798"/>
      <c r="L2164" s="1792">
        <v>13275961000</v>
      </c>
      <c r="M2164" s="1793">
        <v>1</v>
      </c>
      <c r="N2164" s="1793">
        <v>1</v>
      </c>
      <c r="O2164" s="1794">
        <v>2</v>
      </c>
    </row>
    <row r="2165" spans="3:15">
      <c r="C2165" s="1799" t="s">
        <v>6653</v>
      </c>
      <c r="D2165" s="1796">
        <v>0</v>
      </c>
      <c r="E2165" s="1796">
        <v>0</v>
      </c>
      <c r="F2165" s="1797">
        <v>0</v>
      </c>
      <c r="G2165" s="1999" t="s">
        <v>6653</v>
      </c>
      <c r="H2165" s="1794">
        <v>0</v>
      </c>
      <c r="I2165" s="1794">
        <v>1</v>
      </c>
      <c r="J2165" s="2000">
        <v>1</v>
      </c>
      <c r="K2165" s="1798"/>
      <c r="L2165" s="1792">
        <v>13275961100</v>
      </c>
      <c r="M2165" s="1793">
        <v>0</v>
      </c>
      <c r="N2165" s="1793">
        <v>1</v>
      </c>
      <c r="O2165" s="1794">
        <v>1</v>
      </c>
    </row>
    <row r="2166" spans="3:15">
      <c r="C2166" s="1799" t="s">
        <v>6654</v>
      </c>
      <c r="D2166" s="1796">
        <v>1</v>
      </c>
      <c r="E2166" s="1796">
        <v>1</v>
      </c>
      <c r="F2166" s="1797">
        <v>2</v>
      </c>
      <c r="G2166" s="1999" t="s">
        <v>6654</v>
      </c>
      <c r="H2166" s="1794">
        <v>1</v>
      </c>
      <c r="I2166" s="1794">
        <v>0</v>
      </c>
      <c r="J2166" s="2000">
        <v>1</v>
      </c>
      <c r="K2166" s="1798"/>
      <c r="L2166" s="1792">
        <v>13277960100</v>
      </c>
      <c r="M2166" s="1793">
        <v>1</v>
      </c>
      <c r="N2166" s="1793">
        <v>1</v>
      </c>
      <c r="O2166" s="1794">
        <v>2</v>
      </c>
    </row>
    <row r="2167" spans="3:15">
      <c r="C2167" s="1799" t="s">
        <v>6655</v>
      </c>
      <c r="D2167" s="1796">
        <v>1</v>
      </c>
      <c r="E2167" s="1796">
        <v>0</v>
      </c>
      <c r="F2167" s="1797">
        <v>1</v>
      </c>
      <c r="G2167" s="1999" t="s">
        <v>6655</v>
      </c>
      <c r="H2167" s="1794">
        <v>0</v>
      </c>
      <c r="I2167" s="1794">
        <v>0</v>
      </c>
      <c r="J2167" s="2000">
        <v>0</v>
      </c>
      <c r="K2167" s="1798"/>
      <c r="L2167" s="1792">
        <v>13277960200</v>
      </c>
      <c r="M2167" s="1793">
        <v>1</v>
      </c>
      <c r="N2167" s="1793">
        <v>0</v>
      </c>
      <c r="O2167" s="1794">
        <v>1</v>
      </c>
    </row>
    <row r="2168" spans="3:15">
      <c r="C2168" s="1799" t="s">
        <v>6656</v>
      </c>
      <c r="D2168" s="1796">
        <v>0</v>
      </c>
      <c r="E2168" s="1796">
        <v>0</v>
      </c>
      <c r="F2168" s="1797">
        <v>0</v>
      </c>
      <c r="G2168" s="1999" t="s">
        <v>6656</v>
      </c>
      <c r="H2168" s="1794">
        <v>1</v>
      </c>
      <c r="I2168" s="1794">
        <v>0</v>
      </c>
      <c r="J2168" s="2000">
        <v>1</v>
      </c>
      <c r="K2168" s="1798"/>
      <c r="L2168" s="1792">
        <v>13277960300</v>
      </c>
      <c r="M2168" s="1793">
        <v>1</v>
      </c>
      <c r="N2168" s="1793">
        <v>0</v>
      </c>
      <c r="O2168" s="1794">
        <v>1</v>
      </c>
    </row>
    <row r="2169" spans="3:15">
      <c r="C2169" s="1799" t="s">
        <v>6657</v>
      </c>
      <c r="D2169" s="1796">
        <v>0</v>
      </c>
      <c r="E2169" s="1796">
        <v>0</v>
      </c>
      <c r="F2169" s="1797">
        <v>0</v>
      </c>
      <c r="G2169" s="1999" t="s">
        <v>6657</v>
      </c>
      <c r="H2169" s="1794">
        <v>0</v>
      </c>
      <c r="I2169" s="1794">
        <v>0</v>
      </c>
      <c r="J2169" s="2000">
        <v>0</v>
      </c>
      <c r="K2169" s="1798"/>
      <c r="L2169" s="1792">
        <v>13277960400</v>
      </c>
      <c r="M2169" s="1793">
        <v>0</v>
      </c>
      <c r="N2169" s="1793">
        <v>0</v>
      </c>
      <c r="O2169" s="1794">
        <v>0</v>
      </c>
    </row>
    <row r="2170" spans="3:15">
      <c r="C2170" s="1799" t="s">
        <v>6658</v>
      </c>
      <c r="D2170" s="1796">
        <v>1</v>
      </c>
      <c r="E2170" s="1796">
        <v>0</v>
      </c>
      <c r="F2170" s="1797">
        <v>1</v>
      </c>
      <c r="G2170" s="1999" t="s">
        <v>6658</v>
      </c>
      <c r="H2170" s="1794">
        <v>1</v>
      </c>
      <c r="I2170" s="1794">
        <v>1</v>
      </c>
      <c r="J2170" s="2000">
        <v>2</v>
      </c>
      <c r="K2170" s="1798"/>
      <c r="L2170" s="1792">
        <v>13277960500</v>
      </c>
      <c r="M2170" s="1793">
        <v>1</v>
      </c>
      <c r="N2170" s="1793">
        <v>1</v>
      </c>
      <c r="O2170" s="1794">
        <v>2</v>
      </c>
    </row>
    <row r="2171" spans="3:15">
      <c r="C2171" s="1799" t="s">
        <v>6659</v>
      </c>
      <c r="D2171" s="1796">
        <v>0</v>
      </c>
      <c r="E2171" s="1796">
        <v>0</v>
      </c>
      <c r="F2171" s="1797">
        <v>0</v>
      </c>
      <c r="G2171" s="1999" t="s">
        <v>6659</v>
      </c>
      <c r="H2171" s="1794">
        <v>0</v>
      </c>
      <c r="I2171" s="1794">
        <v>0</v>
      </c>
      <c r="J2171" s="2000">
        <v>0</v>
      </c>
      <c r="K2171" s="1798"/>
      <c r="L2171" s="1792">
        <v>13277960600</v>
      </c>
      <c r="M2171" s="1793">
        <v>0</v>
      </c>
      <c r="N2171" s="1793">
        <v>0</v>
      </c>
      <c r="O2171" s="1794">
        <v>0</v>
      </c>
    </row>
    <row r="2172" spans="3:15">
      <c r="C2172" s="1799" t="s">
        <v>6660</v>
      </c>
      <c r="D2172" s="1796">
        <v>0</v>
      </c>
      <c r="E2172" s="1796">
        <v>0</v>
      </c>
      <c r="F2172" s="1797">
        <v>0</v>
      </c>
      <c r="G2172" s="1999" t="s">
        <v>6660</v>
      </c>
      <c r="H2172" s="1794">
        <v>0</v>
      </c>
      <c r="I2172" s="1794">
        <v>0</v>
      </c>
      <c r="J2172" s="2000">
        <v>0</v>
      </c>
      <c r="K2172" s="1798"/>
      <c r="L2172" s="1792">
        <v>13277960700</v>
      </c>
      <c r="M2172" s="1793">
        <v>0</v>
      </c>
      <c r="N2172" s="1793">
        <v>0</v>
      </c>
      <c r="O2172" s="1794">
        <v>0</v>
      </c>
    </row>
    <row r="2173" spans="3:15">
      <c r="C2173" s="1799" t="s">
        <v>6661</v>
      </c>
      <c r="D2173" s="1796">
        <v>0</v>
      </c>
      <c r="E2173" s="1796">
        <v>0</v>
      </c>
      <c r="F2173" s="1797">
        <v>0</v>
      </c>
      <c r="G2173" s="1999" t="s">
        <v>6661</v>
      </c>
      <c r="H2173" s="1794">
        <v>0</v>
      </c>
      <c r="I2173" s="1794">
        <v>0</v>
      </c>
      <c r="J2173" s="2000">
        <v>0</v>
      </c>
      <c r="K2173" s="1798"/>
      <c r="L2173" s="1792">
        <v>13277960800</v>
      </c>
      <c r="M2173" s="1793">
        <v>0</v>
      </c>
      <c r="N2173" s="1793">
        <v>0</v>
      </c>
      <c r="O2173" s="1794">
        <v>0</v>
      </c>
    </row>
    <row r="2174" spans="3:15">
      <c r="C2174" s="1799" t="s">
        <v>6662</v>
      </c>
      <c r="D2174" s="1796">
        <v>0</v>
      </c>
      <c r="E2174" s="1796">
        <v>0</v>
      </c>
      <c r="F2174" s="1797">
        <v>0</v>
      </c>
      <c r="G2174" s="1999" t="s">
        <v>6662</v>
      </c>
      <c r="H2174" s="1794">
        <v>0</v>
      </c>
      <c r="I2174" s="1794">
        <v>0</v>
      </c>
      <c r="J2174" s="2000">
        <v>0</v>
      </c>
      <c r="K2174" s="1798"/>
      <c r="L2174" s="1792">
        <v>13277960900</v>
      </c>
      <c r="M2174" s="1793">
        <v>0</v>
      </c>
      <c r="N2174" s="1793">
        <v>0</v>
      </c>
      <c r="O2174" s="1794">
        <v>0</v>
      </c>
    </row>
    <row r="2175" spans="3:15">
      <c r="C2175" s="1799" t="s">
        <v>6663</v>
      </c>
      <c r="D2175" s="1796">
        <v>0</v>
      </c>
      <c r="E2175" s="1796">
        <v>0</v>
      </c>
      <c r="F2175" s="1797">
        <v>0</v>
      </c>
      <c r="G2175" s="1999" t="s">
        <v>6663</v>
      </c>
      <c r="H2175" s="1794">
        <v>0</v>
      </c>
      <c r="I2175" s="1794">
        <v>0</v>
      </c>
      <c r="J2175" s="2000">
        <v>0</v>
      </c>
      <c r="K2175" s="1798"/>
      <c r="L2175" s="1792">
        <v>13279970100</v>
      </c>
      <c r="M2175" s="1793">
        <v>0</v>
      </c>
      <c r="N2175" s="1793">
        <v>0</v>
      </c>
      <c r="O2175" s="1794">
        <v>0</v>
      </c>
    </row>
    <row r="2176" spans="3:15">
      <c r="C2176" s="1799" t="s">
        <v>6664</v>
      </c>
      <c r="D2176" s="1796">
        <v>0</v>
      </c>
      <c r="E2176" s="1796">
        <v>0</v>
      </c>
      <c r="F2176" s="1797">
        <v>0</v>
      </c>
      <c r="G2176" s="1999" t="s">
        <v>6664</v>
      </c>
      <c r="H2176" s="1794">
        <v>0</v>
      </c>
      <c r="I2176" s="1794">
        <v>0</v>
      </c>
      <c r="J2176" s="2000">
        <v>0</v>
      </c>
      <c r="K2176" s="1798"/>
      <c r="L2176" s="1792">
        <v>13279970200</v>
      </c>
      <c r="M2176" s="1793">
        <v>0</v>
      </c>
      <c r="N2176" s="1793">
        <v>0</v>
      </c>
      <c r="O2176" s="1794">
        <v>0</v>
      </c>
    </row>
    <row r="2177" spans="3:15">
      <c r="C2177" s="1799" t="s">
        <v>6665</v>
      </c>
      <c r="D2177" s="1796">
        <v>0</v>
      </c>
      <c r="E2177" s="1796">
        <v>0</v>
      </c>
      <c r="F2177" s="1797">
        <v>0</v>
      </c>
      <c r="G2177" s="1999" t="s">
        <v>6665</v>
      </c>
      <c r="H2177" s="1794">
        <v>0</v>
      </c>
      <c r="I2177" s="1794">
        <v>0</v>
      </c>
      <c r="J2177" s="2000">
        <v>0</v>
      </c>
      <c r="K2177" s="1798"/>
      <c r="L2177" s="1792">
        <v>13279970300</v>
      </c>
      <c r="M2177" s="1793">
        <v>0</v>
      </c>
      <c r="N2177" s="1793">
        <v>0</v>
      </c>
      <c r="O2177" s="1794">
        <v>0</v>
      </c>
    </row>
    <row r="2178" spans="3:15">
      <c r="C2178" s="1799" t="s">
        <v>6666</v>
      </c>
      <c r="D2178" s="1796">
        <v>0</v>
      </c>
      <c r="E2178" s="1796">
        <v>0</v>
      </c>
      <c r="F2178" s="1797">
        <v>0</v>
      </c>
      <c r="G2178" s="1999" t="s">
        <v>6666</v>
      </c>
      <c r="H2178" s="1794">
        <v>0</v>
      </c>
      <c r="I2178" s="1794">
        <v>0</v>
      </c>
      <c r="J2178" s="2000">
        <v>0</v>
      </c>
      <c r="K2178" s="1798"/>
      <c r="L2178" s="1792">
        <v>13279970400</v>
      </c>
      <c r="M2178" s="1793">
        <v>0</v>
      </c>
      <c r="N2178" s="1793">
        <v>0</v>
      </c>
      <c r="O2178" s="1794">
        <v>0</v>
      </c>
    </row>
    <row r="2179" spans="3:15">
      <c r="C2179" s="1799" t="s">
        <v>6667</v>
      </c>
      <c r="D2179" s="1796">
        <v>0</v>
      </c>
      <c r="E2179" s="1796">
        <v>0</v>
      </c>
      <c r="F2179" s="1797">
        <v>0</v>
      </c>
      <c r="G2179" s="1999" t="s">
        <v>6667</v>
      </c>
      <c r="H2179" s="1794">
        <v>0</v>
      </c>
      <c r="I2179" s="1794">
        <v>0</v>
      </c>
      <c r="J2179" s="2000">
        <v>0</v>
      </c>
      <c r="K2179" s="1798"/>
      <c r="L2179" s="1792">
        <v>13279970500</v>
      </c>
      <c r="M2179" s="1793">
        <v>0</v>
      </c>
      <c r="N2179" s="1793">
        <v>0</v>
      </c>
      <c r="O2179" s="1794">
        <v>0</v>
      </c>
    </row>
    <row r="2180" spans="3:15">
      <c r="C2180" s="1799" t="s">
        <v>6668</v>
      </c>
      <c r="D2180" s="1796">
        <v>0</v>
      </c>
      <c r="E2180" s="1796">
        <v>0</v>
      </c>
      <c r="F2180" s="1797">
        <v>0</v>
      </c>
      <c r="G2180" s="1999" t="s">
        <v>6668</v>
      </c>
      <c r="H2180" s="1794">
        <v>0</v>
      </c>
      <c r="I2180" s="1794">
        <v>0</v>
      </c>
      <c r="J2180" s="2000">
        <v>0</v>
      </c>
      <c r="K2180" s="1798"/>
      <c r="L2180" s="1792">
        <v>13279970600</v>
      </c>
      <c r="M2180" s="1793">
        <v>0</v>
      </c>
      <c r="N2180" s="1793">
        <v>0</v>
      </c>
      <c r="O2180" s="1794">
        <v>0</v>
      </c>
    </row>
    <row r="2181" spans="3:15">
      <c r="C2181" s="1799" t="s">
        <v>6669</v>
      </c>
      <c r="D2181" s="1796">
        <v>0</v>
      </c>
      <c r="E2181" s="1796">
        <v>0</v>
      </c>
      <c r="F2181" s="1797">
        <v>0</v>
      </c>
      <c r="G2181" s="1999" t="s">
        <v>6669</v>
      </c>
      <c r="H2181" s="1794">
        <v>0</v>
      </c>
      <c r="I2181" s="1794">
        <v>1</v>
      </c>
      <c r="J2181" s="2000">
        <v>1</v>
      </c>
      <c r="K2181" s="1798"/>
      <c r="L2181" s="1792">
        <v>13281960100</v>
      </c>
      <c r="M2181" s="1793">
        <v>0</v>
      </c>
      <c r="N2181" s="1793">
        <v>1</v>
      </c>
      <c r="O2181" s="1794">
        <v>1</v>
      </c>
    </row>
    <row r="2182" spans="3:15">
      <c r="C2182" s="1799" t="s">
        <v>6670</v>
      </c>
      <c r="D2182" s="1796">
        <v>1</v>
      </c>
      <c r="E2182" s="1796">
        <v>1</v>
      </c>
      <c r="F2182" s="1797">
        <v>2</v>
      </c>
      <c r="G2182" s="1999" t="s">
        <v>6670</v>
      </c>
      <c r="H2182" s="1794">
        <v>0</v>
      </c>
      <c r="I2182" s="1794">
        <v>1</v>
      </c>
      <c r="J2182" s="2000">
        <v>1</v>
      </c>
      <c r="K2182" s="1798"/>
      <c r="L2182" s="1792">
        <v>13281960200</v>
      </c>
      <c r="M2182" s="1793">
        <v>1</v>
      </c>
      <c r="N2182" s="1793">
        <v>1</v>
      </c>
      <c r="O2182" s="1794">
        <v>2</v>
      </c>
    </row>
    <row r="2183" spans="3:15">
      <c r="C2183" s="1799" t="s">
        <v>6671</v>
      </c>
      <c r="D2183" s="1796">
        <v>0</v>
      </c>
      <c r="E2183" s="1796">
        <v>0</v>
      </c>
      <c r="F2183" s="1797">
        <v>0</v>
      </c>
      <c r="G2183" s="1999" t="s">
        <v>6671</v>
      </c>
      <c r="H2183" s="1794">
        <v>0</v>
      </c>
      <c r="I2183" s="1794">
        <v>0</v>
      </c>
      <c r="J2183" s="2000">
        <v>0</v>
      </c>
      <c r="K2183" s="1798"/>
      <c r="L2183" s="1792">
        <v>13281960300</v>
      </c>
      <c r="M2183" s="1793">
        <v>0</v>
      </c>
      <c r="N2183" s="1793">
        <v>0</v>
      </c>
      <c r="O2183" s="1794">
        <v>0</v>
      </c>
    </row>
    <row r="2184" spans="3:15">
      <c r="C2184" s="1799" t="s">
        <v>6672</v>
      </c>
      <c r="D2184" s="1796">
        <v>0</v>
      </c>
      <c r="E2184" s="1796">
        <v>0</v>
      </c>
      <c r="F2184" s="1797">
        <v>0</v>
      </c>
      <c r="G2184" s="1999" t="s">
        <v>6672</v>
      </c>
      <c r="H2184" s="1794">
        <v>0</v>
      </c>
      <c r="I2184" s="1794">
        <v>0</v>
      </c>
      <c r="J2184" s="2000">
        <v>0</v>
      </c>
      <c r="K2184" s="1798"/>
      <c r="L2184" s="1792">
        <v>13283960100</v>
      </c>
      <c r="M2184" s="1793">
        <v>0</v>
      </c>
      <c r="N2184" s="1793">
        <v>0</v>
      </c>
      <c r="O2184" s="1794">
        <v>0</v>
      </c>
    </row>
    <row r="2185" spans="3:15">
      <c r="C2185" s="1799" t="s">
        <v>6673</v>
      </c>
      <c r="D2185" s="1796">
        <v>0</v>
      </c>
      <c r="E2185" s="1796">
        <v>0</v>
      </c>
      <c r="F2185" s="1797">
        <v>0</v>
      </c>
      <c r="G2185" s="1999" t="s">
        <v>6673</v>
      </c>
      <c r="H2185" s="1794">
        <v>0</v>
      </c>
      <c r="I2185" s="1794">
        <v>0</v>
      </c>
      <c r="J2185" s="2000">
        <v>0</v>
      </c>
      <c r="K2185" s="1798"/>
      <c r="L2185" s="1792">
        <v>13283960200</v>
      </c>
      <c r="M2185" s="1793">
        <v>0</v>
      </c>
      <c r="N2185" s="1793">
        <v>0</v>
      </c>
      <c r="O2185" s="1794">
        <v>0</v>
      </c>
    </row>
    <row r="2186" spans="3:15">
      <c r="C2186" s="1799" t="s">
        <v>6674</v>
      </c>
      <c r="D2186" s="1796">
        <v>0</v>
      </c>
      <c r="E2186" s="1796">
        <v>0</v>
      </c>
      <c r="F2186" s="1797">
        <v>0</v>
      </c>
      <c r="G2186" s="1999" t="s">
        <v>6674</v>
      </c>
      <c r="H2186" s="1794">
        <v>0</v>
      </c>
      <c r="I2186" s="1794">
        <v>0</v>
      </c>
      <c r="J2186" s="2000">
        <v>0</v>
      </c>
      <c r="K2186" s="1798"/>
      <c r="L2186" s="1792">
        <v>13285960100</v>
      </c>
      <c r="M2186" s="1793">
        <v>0</v>
      </c>
      <c r="N2186" s="1793">
        <v>0</v>
      </c>
      <c r="O2186" s="1794">
        <v>0</v>
      </c>
    </row>
    <row r="2187" spans="3:15">
      <c r="C2187" s="1799" t="s">
        <v>6675</v>
      </c>
      <c r="D2187" s="1796">
        <v>1</v>
      </c>
      <c r="E2187" s="1796">
        <v>1</v>
      </c>
      <c r="F2187" s="1797">
        <v>2</v>
      </c>
      <c r="G2187" s="1999" t="s">
        <v>6675</v>
      </c>
      <c r="H2187" s="1794">
        <v>1</v>
      </c>
      <c r="I2187" s="1794">
        <v>1</v>
      </c>
      <c r="J2187" s="2000">
        <v>2</v>
      </c>
      <c r="K2187" s="1798"/>
      <c r="L2187" s="1792">
        <v>13285960201</v>
      </c>
      <c r="M2187" s="1793">
        <v>1</v>
      </c>
      <c r="N2187" s="1793">
        <v>1</v>
      </c>
      <c r="O2187" s="1794">
        <v>2</v>
      </c>
    </row>
    <row r="2188" spans="3:15">
      <c r="C2188" s="1799" t="s">
        <v>6676</v>
      </c>
      <c r="D2188" s="1796">
        <v>1</v>
      </c>
      <c r="E2188" s="1796">
        <v>1</v>
      </c>
      <c r="F2188" s="1797">
        <v>2</v>
      </c>
      <c r="G2188" s="1999" t="s">
        <v>6676</v>
      </c>
      <c r="H2188" s="1794">
        <v>1</v>
      </c>
      <c r="I2188" s="1794">
        <v>1</v>
      </c>
      <c r="J2188" s="2000">
        <v>2</v>
      </c>
      <c r="K2188" s="1798"/>
      <c r="L2188" s="1792">
        <v>13285960202</v>
      </c>
      <c r="M2188" s="1793">
        <v>1</v>
      </c>
      <c r="N2188" s="1793">
        <v>1</v>
      </c>
      <c r="O2188" s="1794">
        <v>2</v>
      </c>
    </row>
    <row r="2189" spans="3:15">
      <c r="C2189" s="1799" t="s">
        <v>6677</v>
      </c>
      <c r="D2189" s="1796">
        <v>1</v>
      </c>
      <c r="E2189" s="1796">
        <v>1</v>
      </c>
      <c r="F2189" s="1797">
        <v>2</v>
      </c>
      <c r="G2189" s="1999" t="s">
        <v>6677</v>
      </c>
      <c r="H2189" s="1794">
        <v>1</v>
      </c>
      <c r="I2189" s="1794">
        <v>1</v>
      </c>
      <c r="J2189" s="2000">
        <v>2</v>
      </c>
      <c r="K2189" s="1798"/>
      <c r="L2189" s="1792">
        <v>13285960300</v>
      </c>
      <c r="M2189" s="1793">
        <v>1</v>
      </c>
      <c r="N2189" s="1793">
        <v>1</v>
      </c>
      <c r="O2189" s="1794">
        <v>2</v>
      </c>
    </row>
    <row r="2190" spans="3:15">
      <c r="C2190" s="1799" t="s">
        <v>6678</v>
      </c>
      <c r="D2190" s="1796">
        <v>0</v>
      </c>
      <c r="E2190" s="1796">
        <v>0</v>
      </c>
      <c r="F2190" s="1797">
        <v>0</v>
      </c>
      <c r="G2190" s="1999" t="s">
        <v>6678</v>
      </c>
      <c r="H2190" s="1794">
        <v>0</v>
      </c>
      <c r="I2190" s="1794">
        <v>0</v>
      </c>
      <c r="J2190" s="2000">
        <v>0</v>
      </c>
      <c r="K2190" s="1798"/>
      <c r="L2190" s="1792">
        <v>13285960400</v>
      </c>
      <c r="M2190" s="1793">
        <v>0</v>
      </c>
      <c r="N2190" s="1793">
        <v>0</v>
      </c>
      <c r="O2190" s="1794">
        <v>0</v>
      </c>
    </row>
    <row r="2191" spans="3:15">
      <c r="C2191" s="1799" t="s">
        <v>6679</v>
      </c>
      <c r="D2191" s="1796">
        <v>0</v>
      </c>
      <c r="E2191" s="1796">
        <v>0</v>
      </c>
      <c r="F2191" s="1797">
        <v>0</v>
      </c>
      <c r="G2191" s="1999" t="s">
        <v>6679</v>
      </c>
      <c r="H2191" s="1794">
        <v>0</v>
      </c>
      <c r="I2191" s="1794">
        <v>0</v>
      </c>
      <c r="J2191" s="2000">
        <v>0</v>
      </c>
      <c r="K2191" s="1798"/>
      <c r="L2191" s="1792">
        <v>13285960501</v>
      </c>
      <c r="M2191" s="1793">
        <v>0</v>
      </c>
      <c r="N2191" s="1793">
        <v>0</v>
      </c>
      <c r="O2191" s="1794">
        <v>0</v>
      </c>
    </row>
    <row r="2192" spans="3:15">
      <c r="C2192" s="1799" t="s">
        <v>6680</v>
      </c>
      <c r="D2192" s="1796">
        <v>0</v>
      </c>
      <c r="E2192" s="1796">
        <v>0</v>
      </c>
      <c r="F2192" s="1797">
        <v>0</v>
      </c>
      <c r="G2192" s="1999" t="s">
        <v>6680</v>
      </c>
      <c r="H2192" s="1794">
        <v>0</v>
      </c>
      <c r="I2192" s="1794">
        <v>1</v>
      </c>
      <c r="J2192" s="2000">
        <v>1</v>
      </c>
      <c r="K2192" s="1798"/>
      <c r="L2192" s="1792">
        <v>13285960502</v>
      </c>
      <c r="M2192" s="1793">
        <v>0</v>
      </c>
      <c r="N2192" s="1793">
        <v>1</v>
      </c>
      <c r="O2192" s="1794">
        <v>1</v>
      </c>
    </row>
    <row r="2193" spans="3:15">
      <c r="C2193" s="1799" t="s">
        <v>6681</v>
      </c>
      <c r="D2193" s="1796">
        <v>0</v>
      </c>
      <c r="E2193" s="1796">
        <v>0</v>
      </c>
      <c r="F2193" s="1797">
        <v>0</v>
      </c>
      <c r="G2193" s="1999" t="s">
        <v>6681</v>
      </c>
      <c r="H2193" s="1794">
        <v>0</v>
      </c>
      <c r="I2193" s="1794">
        <v>0</v>
      </c>
      <c r="J2193" s="2000">
        <v>0</v>
      </c>
      <c r="K2193" s="1798"/>
      <c r="L2193" s="1792">
        <v>13285960600</v>
      </c>
      <c r="M2193" s="1793">
        <v>0</v>
      </c>
      <c r="N2193" s="1793">
        <v>0</v>
      </c>
      <c r="O2193" s="1794">
        <v>0</v>
      </c>
    </row>
    <row r="2194" spans="3:15">
      <c r="C2194" s="1799" t="s">
        <v>6682</v>
      </c>
      <c r="D2194" s="1796">
        <v>0</v>
      </c>
      <c r="E2194" s="1796">
        <v>0</v>
      </c>
      <c r="F2194" s="1797">
        <v>0</v>
      </c>
      <c r="G2194" s="1999" t="s">
        <v>6682</v>
      </c>
      <c r="H2194" s="1794">
        <v>0</v>
      </c>
      <c r="I2194" s="1794">
        <v>1</v>
      </c>
      <c r="J2194" s="2000">
        <v>1</v>
      </c>
      <c r="K2194" s="1798"/>
      <c r="L2194" s="1792">
        <v>13285960700</v>
      </c>
      <c r="M2194" s="1793">
        <v>0</v>
      </c>
      <c r="N2194" s="1793">
        <v>1</v>
      </c>
      <c r="O2194" s="1794">
        <v>1</v>
      </c>
    </row>
    <row r="2195" spans="3:15">
      <c r="C2195" s="1799" t="s">
        <v>6683</v>
      </c>
      <c r="D2195" s="1796">
        <v>0</v>
      </c>
      <c r="E2195" s="1796">
        <v>0</v>
      </c>
      <c r="F2195" s="1797">
        <v>0</v>
      </c>
      <c r="G2195" s="1999" t="s">
        <v>6683</v>
      </c>
      <c r="H2195" s="1794">
        <v>0</v>
      </c>
      <c r="I2195" s="1794">
        <v>0</v>
      </c>
      <c r="J2195" s="2000">
        <v>0</v>
      </c>
      <c r="K2195" s="1798"/>
      <c r="L2195" s="1792">
        <v>13285960800</v>
      </c>
      <c r="M2195" s="1793">
        <v>0</v>
      </c>
      <c r="N2195" s="1793">
        <v>0</v>
      </c>
      <c r="O2195" s="1794">
        <v>0</v>
      </c>
    </row>
    <row r="2196" spans="3:15">
      <c r="C2196" s="1799" t="s">
        <v>6684</v>
      </c>
      <c r="D2196" s="1796">
        <v>0</v>
      </c>
      <c r="E2196" s="1796">
        <v>0</v>
      </c>
      <c r="F2196" s="1797">
        <v>0</v>
      </c>
      <c r="G2196" s="1999" t="s">
        <v>6684</v>
      </c>
      <c r="H2196" s="1794">
        <v>0</v>
      </c>
      <c r="I2196" s="1794">
        <v>0</v>
      </c>
      <c r="J2196" s="2000">
        <v>0</v>
      </c>
      <c r="K2196" s="1798"/>
      <c r="L2196" s="1792">
        <v>13285960901</v>
      </c>
      <c r="M2196" s="1793">
        <v>0</v>
      </c>
      <c r="N2196" s="1793">
        <v>0</v>
      </c>
      <c r="O2196" s="1794">
        <v>0</v>
      </c>
    </row>
    <row r="2197" spans="3:15">
      <c r="C2197" s="1799" t="s">
        <v>6685</v>
      </c>
      <c r="D2197" s="1796">
        <v>1</v>
      </c>
      <c r="E2197" s="1796">
        <v>1</v>
      </c>
      <c r="F2197" s="1797">
        <v>2</v>
      </c>
      <c r="G2197" s="1999" t="s">
        <v>6685</v>
      </c>
      <c r="H2197" s="1794">
        <v>0</v>
      </c>
      <c r="I2197" s="1794">
        <v>0</v>
      </c>
      <c r="J2197" s="2000">
        <v>0</v>
      </c>
      <c r="K2197" s="1798"/>
      <c r="L2197" s="1792">
        <v>13285960902</v>
      </c>
      <c r="M2197" s="1793">
        <v>1</v>
      </c>
      <c r="N2197" s="1793">
        <v>1</v>
      </c>
      <c r="O2197" s="1794">
        <v>2</v>
      </c>
    </row>
    <row r="2198" spans="3:15">
      <c r="C2198" s="1799" t="s">
        <v>6686</v>
      </c>
      <c r="D2198" s="1796">
        <v>0</v>
      </c>
      <c r="E2198" s="1796">
        <v>0</v>
      </c>
      <c r="F2198" s="1797">
        <v>0</v>
      </c>
      <c r="G2198" s="1999" t="s">
        <v>6686</v>
      </c>
      <c r="H2198" s="1794">
        <v>0</v>
      </c>
      <c r="I2198" s="1794">
        <v>0</v>
      </c>
      <c r="J2198" s="2000">
        <v>0</v>
      </c>
      <c r="K2198" s="1798"/>
      <c r="L2198" s="1792">
        <v>13285961000</v>
      </c>
      <c r="M2198" s="1793">
        <v>0</v>
      </c>
      <c r="N2198" s="1793">
        <v>0</v>
      </c>
      <c r="O2198" s="1794">
        <v>0</v>
      </c>
    </row>
    <row r="2199" spans="3:15">
      <c r="C2199" s="1799" t="s">
        <v>6687</v>
      </c>
      <c r="D2199" s="1796">
        <v>1</v>
      </c>
      <c r="E2199" s="1796">
        <v>0</v>
      </c>
      <c r="F2199" s="1797">
        <v>1</v>
      </c>
      <c r="G2199" s="1999" t="s">
        <v>6687</v>
      </c>
      <c r="H2199" s="1794">
        <v>0</v>
      </c>
      <c r="I2199" s="1794">
        <v>1</v>
      </c>
      <c r="J2199" s="2000">
        <v>1</v>
      </c>
      <c r="K2199" s="1798"/>
      <c r="L2199" s="1792">
        <v>13285961100</v>
      </c>
      <c r="M2199" s="1793">
        <v>1</v>
      </c>
      <c r="N2199" s="1793">
        <v>1</v>
      </c>
      <c r="O2199" s="1794">
        <v>1</v>
      </c>
    </row>
    <row r="2200" spans="3:15">
      <c r="C2200" s="1799" t="s">
        <v>6688</v>
      </c>
      <c r="D2200" s="1796">
        <v>0</v>
      </c>
      <c r="E2200" s="1796">
        <v>0</v>
      </c>
      <c r="F2200" s="1797">
        <v>0</v>
      </c>
      <c r="G2200" s="1999" t="s">
        <v>6688</v>
      </c>
      <c r="H2200" s="1794">
        <v>0</v>
      </c>
      <c r="I2200" s="1794">
        <v>0</v>
      </c>
      <c r="J2200" s="2000">
        <v>0</v>
      </c>
      <c r="K2200" s="1798"/>
      <c r="L2200" s="1792">
        <v>13287970200</v>
      </c>
      <c r="M2200" s="1793">
        <v>0</v>
      </c>
      <c r="N2200" s="1793">
        <v>0</v>
      </c>
      <c r="O2200" s="1794">
        <v>0</v>
      </c>
    </row>
    <row r="2201" spans="3:15">
      <c r="C2201" s="1799" t="s">
        <v>6689</v>
      </c>
      <c r="D2201" s="1796">
        <v>0</v>
      </c>
      <c r="E2201" s="1796">
        <v>1</v>
      </c>
      <c r="F2201" s="1797">
        <v>1</v>
      </c>
      <c r="G2201" s="1999" t="s">
        <v>6689</v>
      </c>
      <c r="H2201" s="1794">
        <v>0</v>
      </c>
      <c r="I2201" s="1794">
        <v>0</v>
      </c>
      <c r="J2201" s="2000">
        <v>0</v>
      </c>
      <c r="K2201" s="1798"/>
      <c r="L2201" s="1792">
        <v>13287970300</v>
      </c>
      <c r="M2201" s="1793">
        <v>0</v>
      </c>
      <c r="N2201" s="1793">
        <v>1</v>
      </c>
      <c r="O2201" s="1794">
        <v>1</v>
      </c>
    </row>
    <row r="2202" spans="3:15">
      <c r="C2202" s="1799" t="s">
        <v>6690</v>
      </c>
      <c r="D2202" s="1796">
        <v>0</v>
      </c>
      <c r="E2202" s="1796">
        <v>0</v>
      </c>
      <c r="F2202" s="1797">
        <v>0</v>
      </c>
      <c r="G2202" s="1999" t="s">
        <v>6690</v>
      </c>
      <c r="H2202" s="1794">
        <v>0</v>
      </c>
      <c r="I2202" s="1794">
        <v>0</v>
      </c>
      <c r="J2202" s="2000">
        <v>0</v>
      </c>
      <c r="K2202" s="1798"/>
      <c r="L2202" s="1792">
        <v>13289060100</v>
      </c>
      <c r="M2202" s="1793">
        <v>0</v>
      </c>
      <c r="N2202" s="1793">
        <v>0</v>
      </c>
      <c r="O2202" s="1794">
        <v>0</v>
      </c>
    </row>
    <row r="2203" spans="3:15">
      <c r="C2203" s="1799" t="s">
        <v>6691</v>
      </c>
      <c r="D2203" s="1796">
        <v>0</v>
      </c>
      <c r="E2203" s="1796">
        <v>0</v>
      </c>
      <c r="F2203" s="1797">
        <v>0</v>
      </c>
      <c r="G2203" s="1999" t="s">
        <v>6691</v>
      </c>
      <c r="H2203" s="1794">
        <v>0</v>
      </c>
      <c r="I2203" s="1794">
        <v>0</v>
      </c>
      <c r="J2203" s="2000">
        <v>0</v>
      </c>
      <c r="K2203" s="1798"/>
      <c r="L2203" s="1792">
        <v>13289060200</v>
      </c>
      <c r="M2203" s="1793">
        <v>0</v>
      </c>
      <c r="N2203" s="1793">
        <v>0</v>
      </c>
      <c r="O2203" s="1794">
        <v>0</v>
      </c>
    </row>
    <row r="2204" spans="3:15">
      <c r="C2204" s="1799" t="s">
        <v>6692</v>
      </c>
      <c r="D2204" s="1796">
        <v>0</v>
      </c>
      <c r="E2204" s="1796">
        <v>0</v>
      </c>
      <c r="F2204" s="1797">
        <v>0</v>
      </c>
      <c r="G2204" s="1999" t="s">
        <v>6692</v>
      </c>
      <c r="H2204" s="1794">
        <v>0</v>
      </c>
      <c r="I2204" s="1794">
        <v>0</v>
      </c>
      <c r="J2204" s="2000">
        <v>0</v>
      </c>
      <c r="K2204" s="1798"/>
      <c r="L2204" s="1792">
        <v>13291000101</v>
      </c>
      <c r="M2204" s="1793">
        <v>0</v>
      </c>
      <c r="N2204" s="1793">
        <v>0</v>
      </c>
      <c r="O2204" s="1794">
        <v>0</v>
      </c>
    </row>
    <row r="2205" spans="3:15">
      <c r="C2205" s="1799" t="s">
        <v>6693</v>
      </c>
      <c r="D2205" s="1796">
        <v>0</v>
      </c>
      <c r="E2205" s="1796">
        <v>1</v>
      </c>
      <c r="F2205" s="1797">
        <v>1</v>
      </c>
      <c r="G2205" s="1999" t="s">
        <v>6693</v>
      </c>
      <c r="H2205" s="1794">
        <v>0</v>
      </c>
      <c r="I2205" s="1794" t="s">
        <v>4483</v>
      </c>
      <c r="J2205" s="2000">
        <v>0</v>
      </c>
      <c r="K2205" s="1798"/>
      <c r="L2205" s="1792">
        <v>13291000102</v>
      </c>
      <c r="M2205" s="1793">
        <v>0</v>
      </c>
      <c r="N2205" s="1793">
        <v>1</v>
      </c>
      <c r="O2205" s="1794">
        <v>1</v>
      </c>
    </row>
    <row r="2206" spans="3:15">
      <c r="C2206" s="1799" t="s">
        <v>6694</v>
      </c>
      <c r="D2206" s="1796">
        <v>1</v>
      </c>
      <c r="E2206" s="1796">
        <v>1</v>
      </c>
      <c r="F2206" s="1797">
        <v>2</v>
      </c>
      <c r="G2206" s="1999" t="s">
        <v>6694</v>
      </c>
      <c r="H2206" s="1794">
        <v>0</v>
      </c>
      <c r="I2206" s="1794">
        <v>1</v>
      </c>
      <c r="J2206" s="2000">
        <v>1</v>
      </c>
      <c r="K2206" s="1798"/>
      <c r="L2206" s="1792">
        <v>13291000201</v>
      </c>
      <c r="M2206" s="1793">
        <v>1</v>
      </c>
      <c r="N2206" s="1793">
        <v>1</v>
      </c>
      <c r="O2206" s="1794">
        <v>2</v>
      </c>
    </row>
    <row r="2207" spans="3:15">
      <c r="C2207" s="1799" t="s">
        <v>6695</v>
      </c>
      <c r="D2207" s="1796">
        <v>0</v>
      </c>
      <c r="E2207" s="1796">
        <v>1</v>
      </c>
      <c r="F2207" s="1797">
        <v>1</v>
      </c>
      <c r="G2207" s="1999" t="s">
        <v>6695</v>
      </c>
      <c r="H2207" s="1794">
        <v>0</v>
      </c>
      <c r="I2207" s="1794" t="s">
        <v>4483</v>
      </c>
      <c r="J2207" s="2000">
        <v>0</v>
      </c>
      <c r="K2207" s="1798"/>
      <c r="L2207" s="1792">
        <v>13291000203</v>
      </c>
      <c r="M2207" s="1793">
        <v>0</v>
      </c>
      <c r="N2207" s="1793">
        <v>1</v>
      </c>
      <c r="O2207" s="1794">
        <v>1</v>
      </c>
    </row>
    <row r="2208" spans="3:15">
      <c r="C2208" s="1799" t="s">
        <v>6696</v>
      </c>
      <c r="D2208" s="1796">
        <v>0</v>
      </c>
      <c r="E2208" s="1796">
        <v>0</v>
      </c>
      <c r="F2208" s="1797">
        <v>0</v>
      </c>
      <c r="G2208" s="1999" t="s">
        <v>6696</v>
      </c>
      <c r="H2208" s="1794">
        <v>1</v>
      </c>
      <c r="I2208" s="1794">
        <v>0</v>
      </c>
      <c r="J2208" s="2000">
        <v>1</v>
      </c>
      <c r="K2208" s="1798"/>
      <c r="L2208" s="1792">
        <v>13291000204</v>
      </c>
      <c r="M2208" s="1793">
        <v>1</v>
      </c>
      <c r="N2208" s="1793">
        <v>0</v>
      </c>
      <c r="O2208" s="1794">
        <v>1</v>
      </c>
    </row>
    <row r="2209" spans="3:15">
      <c r="C2209" s="1799" t="s">
        <v>6697</v>
      </c>
      <c r="D2209" s="1796">
        <v>0</v>
      </c>
      <c r="E2209" s="1796">
        <v>0</v>
      </c>
      <c r="F2209" s="1797">
        <v>0</v>
      </c>
      <c r="G2209" s="1999" t="s">
        <v>6697</v>
      </c>
      <c r="H2209" s="1794">
        <v>1</v>
      </c>
      <c r="I2209" s="1794">
        <v>0</v>
      </c>
      <c r="J2209" s="2000">
        <v>1</v>
      </c>
      <c r="K2209" s="1798"/>
      <c r="L2209" s="1792">
        <v>13291000205</v>
      </c>
      <c r="M2209" s="1793">
        <v>1</v>
      </c>
      <c r="N2209" s="1793">
        <v>0</v>
      </c>
      <c r="O2209" s="1794">
        <v>1</v>
      </c>
    </row>
    <row r="2210" spans="3:15">
      <c r="C2210" s="1799" t="s">
        <v>6698</v>
      </c>
      <c r="D2210" s="1796">
        <v>0</v>
      </c>
      <c r="E2210" s="1796">
        <v>0</v>
      </c>
      <c r="F2210" s="1797">
        <v>0</v>
      </c>
      <c r="G2210" s="1999" t="s">
        <v>6698</v>
      </c>
      <c r="H2210" s="1794">
        <v>0</v>
      </c>
      <c r="I2210" s="1794">
        <v>0</v>
      </c>
      <c r="J2210" s="2000">
        <v>0</v>
      </c>
      <c r="K2210" s="1798"/>
      <c r="L2210" s="1792">
        <v>13293010100</v>
      </c>
      <c r="M2210" s="1793">
        <v>0</v>
      </c>
      <c r="N2210" s="1793">
        <v>0</v>
      </c>
      <c r="O2210" s="1794">
        <v>0</v>
      </c>
    </row>
    <row r="2211" spans="3:15">
      <c r="C2211" s="1799" t="s">
        <v>6699</v>
      </c>
      <c r="D2211" s="1796">
        <v>0</v>
      </c>
      <c r="E2211" s="1796">
        <v>0</v>
      </c>
      <c r="F2211" s="1797">
        <v>0</v>
      </c>
      <c r="G2211" s="1999" t="s">
        <v>6699</v>
      </c>
      <c r="H2211" s="1794">
        <v>0</v>
      </c>
      <c r="I2211" s="1794">
        <v>0</v>
      </c>
      <c r="J2211" s="2000">
        <v>0</v>
      </c>
      <c r="K2211" s="1798"/>
      <c r="L2211" s="1792">
        <v>13293010201</v>
      </c>
      <c r="M2211" s="1793">
        <v>0</v>
      </c>
      <c r="N2211" s="1793">
        <v>0</v>
      </c>
      <c r="O2211" s="1794">
        <v>0</v>
      </c>
    </row>
    <row r="2212" spans="3:15">
      <c r="C2212" s="1799" t="s">
        <v>6700</v>
      </c>
      <c r="D2212" s="1796">
        <v>0</v>
      </c>
      <c r="E2212" s="1796">
        <v>0</v>
      </c>
      <c r="F2212" s="1797">
        <v>0</v>
      </c>
      <c r="G2212" s="1999" t="s">
        <v>6700</v>
      </c>
      <c r="H2212" s="1794">
        <v>0</v>
      </c>
      <c r="I2212" s="1794">
        <v>1</v>
      </c>
      <c r="J2212" s="2000">
        <v>1</v>
      </c>
      <c r="K2212" s="1798"/>
      <c r="L2212" s="1792">
        <v>13293010202</v>
      </c>
      <c r="M2212" s="1793">
        <v>0</v>
      </c>
      <c r="N2212" s="1793">
        <v>1</v>
      </c>
      <c r="O2212" s="1794">
        <v>1</v>
      </c>
    </row>
    <row r="2213" spans="3:15">
      <c r="C2213" s="1799" t="s">
        <v>6701</v>
      </c>
      <c r="D2213" s="1796">
        <v>0</v>
      </c>
      <c r="E2213" s="1796">
        <v>1</v>
      </c>
      <c r="F2213" s="1797">
        <v>1</v>
      </c>
      <c r="G2213" s="1999" t="s">
        <v>6701</v>
      </c>
      <c r="H2213" s="1794">
        <v>0</v>
      </c>
      <c r="I2213" s="1794">
        <v>0</v>
      </c>
      <c r="J2213" s="2000">
        <v>0</v>
      </c>
      <c r="K2213" s="1798"/>
      <c r="L2213" s="1792">
        <v>13293010300</v>
      </c>
      <c r="M2213" s="1793">
        <v>0</v>
      </c>
      <c r="N2213" s="1793">
        <v>1</v>
      </c>
      <c r="O2213" s="1794">
        <v>1</v>
      </c>
    </row>
    <row r="2214" spans="3:15">
      <c r="C2214" s="1799" t="s">
        <v>6702</v>
      </c>
      <c r="D2214" s="1796">
        <v>0</v>
      </c>
      <c r="E2214" s="1796">
        <v>0</v>
      </c>
      <c r="F2214" s="1797">
        <v>0</v>
      </c>
      <c r="G2214" s="1999" t="s">
        <v>6702</v>
      </c>
      <c r="H2214" s="1794">
        <v>0</v>
      </c>
      <c r="I2214" s="1794">
        <v>0</v>
      </c>
      <c r="J2214" s="2000">
        <v>0</v>
      </c>
      <c r="K2214" s="1798"/>
      <c r="L2214" s="1792">
        <v>13293010400</v>
      </c>
      <c r="M2214" s="1793">
        <v>0</v>
      </c>
      <c r="N2214" s="1793">
        <v>0</v>
      </c>
      <c r="O2214" s="1794">
        <v>0</v>
      </c>
    </row>
    <row r="2215" spans="3:15">
      <c r="C2215" s="1799" t="s">
        <v>6703</v>
      </c>
      <c r="D2215" s="1796">
        <v>0</v>
      </c>
      <c r="E2215" s="1796">
        <v>0</v>
      </c>
      <c r="F2215" s="1797">
        <v>0</v>
      </c>
      <c r="G2215" s="1999" t="s">
        <v>6703</v>
      </c>
      <c r="H2215" s="1794">
        <v>0</v>
      </c>
      <c r="I2215" s="1794">
        <v>0</v>
      </c>
      <c r="J2215" s="2000">
        <v>0</v>
      </c>
      <c r="K2215" s="1798"/>
      <c r="L2215" s="1792">
        <v>13293010500</v>
      </c>
      <c r="M2215" s="1793">
        <v>0</v>
      </c>
      <c r="N2215" s="1793">
        <v>0</v>
      </c>
      <c r="O2215" s="1794">
        <v>0</v>
      </c>
    </row>
    <row r="2216" spans="3:15">
      <c r="C2216" s="1799" t="s">
        <v>6704</v>
      </c>
      <c r="D2216" s="1796">
        <v>0</v>
      </c>
      <c r="E2216" s="1796">
        <v>0</v>
      </c>
      <c r="F2216" s="1797">
        <v>0</v>
      </c>
      <c r="G2216" s="1999" t="s">
        <v>6704</v>
      </c>
      <c r="H2216" s="1794">
        <v>0</v>
      </c>
      <c r="I2216" s="1794">
        <v>0</v>
      </c>
      <c r="J2216" s="2000">
        <v>0</v>
      </c>
      <c r="K2216" s="1798"/>
      <c r="L2216" s="1792">
        <v>13293010600</v>
      </c>
      <c r="M2216" s="1793">
        <v>0</v>
      </c>
      <c r="N2216" s="1793">
        <v>0</v>
      </c>
      <c r="O2216" s="1794">
        <v>0</v>
      </c>
    </row>
    <row r="2217" spans="3:15">
      <c r="C2217" s="1799" t="s">
        <v>6705</v>
      </c>
      <c r="D2217" s="1796">
        <v>0</v>
      </c>
      <c r="E2217" s="1796">
        <v>0</v>
      </c>
      <c r="F2217" s="1797">
        <v>0</v>
      </c>
      <c r="G2217" s="1999" t="s">
        <v>6705</v>
      </c>
      <c r="H2217" s="1794">
        <v>0</v>
      </c>
      <c r="I2217" s="1794">
        <v>0</v>
      </c>
      <c r="J2217" s="2000">
        <v>0</v>
      </c>
      <c r="K2217" s="1798"/>
      <c r="L2217" s="1792">
        <v>13295020100</v>
      </c>
      <c r="M2217" s="1793">
        <v>0</v>
      </c>
      <c r="N2217" s="1793">
        <v>0</v>
      </c>
      <c r="O2217" s="1794">
        <v>0</v>
      </c>
    </row>
    <row r="2218" spans="3:15">
      <c r="C2218" s="1799" t="s">
        <v>6706</v>
      </c>
      <c r="D2218" s="1796">
        <v>0</v>
      </c>
      <c r="E2218" s="1796">
        <v>0</v>
      </c>
      <c r="F2218" s="1797">
        <v>0</v>
      </c>
      <c r="G2218" s="1999" t="s">
        <v>6706</v>
      </c>
      <c r="H2218" s="1794">
        <v>0</v>
      </c>
      <c r="I2218" s="1794">
        <v>0</v>
      </c>
      <c r="J2218" s="2000">
        <v>0</v>
      </c>
      <c r="K2218" s="1798"/>
      <c r="L2218" s="1792">
        <v>13295020200</v>
      </c>
      <c r="M2218" s="1793">
        <v>0</v>
      </c>
      <c r="N2218" s="1793">
        <v>0</v>
      </c>
      <c r="O2218" s="1794">
        <v>0</v>
      </c>
    </row>
    <row r="2219" spans="3:15">
      <c r="C2219" s="1799" t="s">
        <v>6707</v>
      </c>
      <c r="D2219" s="1796">
        <v>0</v>
      </c>
      <c r="E2219" s="1796">
        <v>0</v>
      </c>
      <c r="F2219" s="1797">
        <v>0</v>
      </c>
      <c r="G2219" s="1999" t="s">
        <v>6707</v>
      </c>
      <c r="H2219" s="1794">
        <v>0</v>
      </c>
      <c r="I2219" s="1794">
        <v>0</v>
      </c>
      <c r="J2219" s="2000">
        <v>0</v>
      </c>
      <c r="K2219" s="1798"/>
      <c r="L2219" s="1792">
        <v>13295020301</v>
      </c>
      <c r="M2219" s="1793">
        <v>0</v>
      </c>
      <c r="N2219" s="1793">
        <v>0</v>
      </c>
      <c r="O2219" s="1794">
        <v>0</v>
      </c>
    </row>
    <row r="2220" spans="3:15">
      <c r="C2220" s="1799" t="s">
        <v>6708</v>
      </c>
      <c r="D2220" s="1796">
        <v>0</v>
      </c>
      <c r="E2220" s="1796">
        <v>0</v>
      </c>
      <c r="F2220" s="1797">
        <v>0</v>
      </c>
      <c r="G2220" s="1999" t="s">
        <v>6708</v>
      </c>
      <c r="H2220" s="1794">
        <v>0</v>
      </c>
      <c r="I2220" s="1794">
        <v>0</v>
      </c>
      <c r="J2220" s="2000">
        <v>0</v>
      </c>
      <c r="K2220" s="1798"/>
      <c r="L2220" s="1792">
        <v>13295020302</v>
      </c>
      <c r="M2220" s="1793">
        <v>0</v>
      </c>
      <c r="N2220" s="1793">
        <v>0</v>
      </c>
      <c r="O2220" s="1794">
        <v>0</v>
      </c>
    </row>
    <row r="2221" spans="3:15">
      <c r="C2221" s="1799" t="s">
        <v>6709</v>
      </c>
      <c r="D2221" s="1796">
        <v>1</v>
      </c>
      <c r="E2221" s="1796">
        <v>1</v>
      </c>
      <c r="F2221" s="1797">
        <v>2</v>
      </c>
      <c r="G2221" s="1999" t="s">
        <v>6709</v>
      </c>
      <c r="H2221" s="1794">
        <v>1</v>
      </c>
      <c r="I2221" s="1794">
        <v>1</v>
      </c>
      <c r="J2221" s="2000">
        <v>2</v>
      </c>
      <c r="K2221" s="1798"/>
      <c r="L2221" s="1792">
        <v>13295020400</v>
      </c>
      <c r="M2221" s="1793">
        <v>1</v>
      </c>
      <c r="N2221" s="1793">
        <v>1</v>
      </c>
      <c r="O2221" s="1794">
        <v>2</v>
      </c>
    </row>
    <row r="2222" spans="3:15">
      <c r="C2222" s="1799" t="s">
        <v>6710</v>
      </c>
      <c r="D2222" s="1796">
        <v>1</v>
      </c>
      <c r="E2222" s="1796">
        <v>0</v>
      </c>
      <c r="F2222" s="1797">
        <v>1</v>
      </c>
      <c r="G2222" s="1999" t="s">
        <v>6710</v>
      </c>
      <c r="H2222" s="1794">
        <v>0</v>
      </c>
      <c r="I2222" s="1794">
        <v>0</v>
      </c>
      <c r="J2222" s="2000">
        <v>0</v>
      </c>
      <c r="K2222" s="1798"/>
      <c r="L2222" s="1792">
        <v>13295020501</v>
      </c>
      <c r="M2222" s="1793">
        <v>1</v>
      </c>
      <c r="N2222" s="1793">
        <v>0</v>
      </c>
      <c r="O2222" s="1794">
        <v>1</v>
      </c>
    </row>
    <row r="2223" spans="3:15">
      <c r="C2223" s="1799" t="s">
        <v>6711</v>
      </c>
      <c r="D2223" s="1796">
        <v>0</v>
      </c>
      <c r="E2223" s="1796">
        <v>1</v>
      </c>
      <c r="F2223" s="1797">
        <v>1</v>
      </c>
      <c r="G2223" s="1999" t="s">
        <v>6711</v>
      </c>
      <c r="H2223" s="1794">
        <v>1</v>
      </c>
      <c r="I2223" s="1794">
        <v>1</v>
      </c>
      <c r="J2223" s="2000">
        <v>2</v>
      </c>
      <c r="K2223" s="1798"/>
      <c r="L2223" s="1792">
        <v>13295020502</v>
      </c>
      <c r="M2223" s="1793">
        <v>1</v>
      </c>
      <c r="N2223" s="1793">
        <v>1</v>
      </c>
      <c r="O2223" s="1794">
        <v>2</v>
      </c>
    </row>
    <row r="2224" spans="3:15">
      <c r="C2224" s="1799" t="s">
        <v>6712</v>
      </c>
      <c r="D2224" s="1796">
        <v>0</v>
      </c>
      <c r="E2224" s="1796">
        <v>1</v>
      </c>
      <c r="F2224" s="1797">
        <v>1</v>
      </c>
      <c r="G2224" s="1999" t="s">
        <v>6712</v>
      </c>
      <c r="H2224" s="1794">
        <v>0</v>
      </c>
      <c r="I2224" s="1794">
        <v>1</v>
      </c>
      <c r="J2224" s="2000">
        <v>1</v>
      </c>
      <c r="K2224" s="1798"/>
      <c r="L2224" s="1792">
        <v>13295020601</v>
      </c>
      <c r="M2224" s="1793">
        <v>0</v>
      </c>
      <c r="N2224" s="1793">
        <v>1</v>
      </c>
      <c r="O2224" s="1794">
        <v>1</v>
      </c>
    </row>
    <row r="2225" spans="3:15">
      <c r="C2225" s="1799" t="s">
        <v>6713</v>
      </c>
      <c r="D2225" s="1796">
        <v>0</v>
      </c>
      <c r="E2225" s="1796">
        <v>0</v>
      </c>
      <c r="F2225" s="1797">
        <v>0</v>
      </c>
      <c r="G2225" s="1999" t="s">
        <v>6713</v>
      </c>
      <c r="H2225" s="1794">
        <v>0</v>
      </c>
      <c r="I2225" s="1794">
        <v>0</v>
      </c>
      <c r="J2225" s="2000">
        <v>0</v>
      </c>
      <c r="K2225" s="1798"/>
      <c r="L2225" s="1792">
        <v>13295020602</v>
      </c>
      <c r="M2225" s="1793">
        <v>0</v>
      </c>
      <c r="N2225" s="1793">
        <v>0</v>
      </c>
      <c r="O2225" s="1794">
        <v>0</v>
      </c>
    </row>
    <row r="2226" spans="3:15">
      <c r="C2226" s="1799" t="s">
        <v>6714</v>
      </c>
      <c r="D2226" s="1796">
        <v>0</v>
      </c>
      <c r="E2226" s="1796">
        <v>0</v>
      </c>
      <c r="F2226" s="1797">
        <v>0</v>
      </c>
      <c r="G2226" s="1999" t="s">
        <v>6714</v>
      </c>
      <c r="H2226" s="1794">
        <v>0</v>
      </c>
      <c r="I2226" s="1794">
        <v>0</v>
      </c>
      <c r="J2226" s="2000">
        <v>0</v>
      </c>
      <c r="K2226" s="1798"/>
      <c r="L2226" s="1792">
        <v>13295020700</v>
      </c>
      <c r="M2226" s="1793">
        <v>0</v>
      </c>
      <c r="N2226" s="1793">
        <v>0</v>
      </c>
      <c r="O2226" s="1794">
        <v>0</v>
      </c>
    </row>
    <row r="2227" spans="3:15">
      <c r="C2227" s="1799" t="s">
        <v>6715</v>
      </c>
      <c r="D2227" s="1796">
        <v>0</v>
      </c>
      <c r="E2227" s="1796">
        <v>0</v>
      </c>
      <c r="F2227" s="1797">
        <v>0</v>
      </c>
      <c r="G2227" s="1999" t="s">
        <v>6715</v>
      </c>
      <c r="H2227" s="1794">
        <v>0</v>
      </c>
      <c r="I2227" s="1794">
        <v>0</v>
      </c>
      <c r="J2227" s="2000">
        <v>0</v>
      </c>
      <c r="K2227" s="1798"/>
      <c r="L2227" s="1792">
        <v>13295020800</v>
      </c>
      <c r="M2227" s="1793">
        <v>0</v>
      </c>
      <c r="N2227" s="1793">
        <v>0</v>
      </c>
      <c r="O2227" s="1794">
        <v>0</v>
      </c>
    </row>
    <row r="2228" spans="3:15">
      <c r="C2228" s="1799" t="s">
        <v>6716</v>
      </c>
      <c r="D2228" s="1796">
        <v>0</v>
      </c>
      <c r="E2228" s="1796">
        <v>0</v>
      </c>
      <c r="F2228" s="1797">
        <v>0</v>
      </c>
      <c r="G2228" s="1999" t="s">
        <v>6716</v>
      </c>
      <c r="H2228" s="1794">
        <v>1</v>
      </c>
      <c r="I2228" s="1794">
        <v>1</v>
      </c>
      <c r="J2228" s="2000">
        <v>2</v>
      </c>
      <c r="K2228" s="1798"/>
      <c r="L2228" s="1792">
        <v>13295020901</v>
      </c>
      <c r="M2228" s="1793">
        <v>1</v>
      </c>
      <c r="N2228" s="1793">
        <v>1</v>
      </c>
      <c r="O2228" s="1794">
        <v>2</v>
      </c>
    </row>
    <row r="2229" spans="3:15">
      <c r="C2229" s="1799" t="s">
        <v>6717</v>
      </c>
      <c r="D2229" s="1796">
        <v>0</v>
      </c>
      <c r="E2229" s="1796">
        <v>0</v>
      </c>
      <c r="F2229" s="1797">
        <v>0</v>
      </c>
      <c r="G2229" s="1999" t="s">
        <v>6717</v>
      </c>
      <c r="H2229" s="1794">
        <v>0</v>
      </c>
      <c r="I2229" s="1794">
        <v>1</v>
      </c>
      <c r="J2229" s="2000">
        <v>1</v>
      </c>
      <c r="K2229" s="1798"/>
      <c r="L2229" s="1792">
        <v>13295020902</v>
      </c>
      <c r="M2229" s="1793">
        <v>0</v>
      </c>
      <c r="N2229" s="1793">
        <v>1</v>
      </c>
      <c r="O2229" s="1794">
        <v>1</v>
      </c>
    </row>
    <row r="2230" spans="3:15">
      <c r="C2230" s="1799" t="s">
        <v>6718</v>
      </c>
      <c r="D2230" s="1796">
        <v>1</v>
      </c>
      <c r="E2230" s="1796">
        <v>1</v>
      </c>
      <c r="F2230" s="1797">
        <v>2</v>
      </c>
      <c r="G2230" s="1999" t="s">
        <v>6718</v>
      </c>
      <c r="H2230" s="1794">
        <v>1</v>
      </c>
      <c r="I2230" s="1794">
        <v>1</v>
      </c>
      <c r="J2230" s="2000">
        <v>2</v>
      </c>
      <c r="K2230" s="1798"/>
      <c r="L2230" s="1792">
        <v>13297110100</v>
      </c>
      <c r="M2230" s="1793">
        <v>1</v>
      </c>
      <c r="N2230" s="1793">
        <v>1</v>
      </c>
      <c r="O2230" s="1794">
        <v>2</v>
      </c>
    </row>
    <row r="2231" spans="3:15">
      <c r="C2231" s="1799" t="s">
        <v>6719</v>
      </c>
      <c r="D2231" s="1796">
        <v>1</v>
      </c>
      <c r="E2231" s="1796">
        <v>1</v>
      </c>
      <c r="F2231" s="1797">
        <v>2</v>
      </c>
      <c r="G2231" s="1999" t="s">
        <v>6719</v>
      </c>
      <c r="H2231" s="1794">
        <v>1</v>
      </c>
      <c r="I2231" s="1794">
        <v>0</v>
      </c>
      <c r="J2231" s="2000">
        <v>1</v>
      </c>
      <c r="K2231" s="1798"/>
      <c r="L2231" s="1792">
        <v>13297110200</v>
      </c>
      <c r="M2231" s="1793">
        <v>1</v>
      </c>
      <c r="N2231" s="1793">
        <v>1</v>
      </c>
      <c r="O2231" s="1794">
        <v>2</v>
      </c>
    </row>
    <row r="2232" spans="3:15">
      <c r="C2232" s="1799" t="s">
        <v>6720</v>
      </c>
      <c r="D2232" s="1796">
        <v>0</v>
      </c>
      <c r="E2232" s="1796">
        <v>0</v>
      </c>
      <c r="F2232" s="1797">
        <v>0</v>
      </c>
      <c r="G2232" s="1999" t="s">
        <v>6720</v>
      </c>
      <c r="H2232" s="1794">
        <v>0</v>
      </c>
      <c r="I2232" s="1794">
        <v>0</v>
      </c>
      <c r="J2232" s="2000">
        <v>0</v>
      </c>
      <c r="K2232" s="1798"/>
      <c r="L2232" s="1792">
        <v>13297110300</v>
      </c>
      <c r="M2232" s="1793">
        <v>0</v>
      </c>
      <c r="N2232" s="1793">
        <v>0</v>
      </c>
      <c r="O2232" s="1794">
        <v>0</v>
      </c>
    </row>
    <row r="2233" spans="3:15">
      <c r="C2233" s="1799" t="s">
        <v>6721</v>
      </c>
      <c r="D2233" s="1796">
        <v>0</v>
      </c>
      <c r="E2233" s="1796">
        <v>0</v>
      </c>
      <c r="F2233" s="1797">
        <v>0</v>
      </c>
      <c r="G2233" s="1999" t="s">
        <v>6721</v>
      </c>
      <c r="H2233" s="1794">
        <v>0</v>
      </c>
      <c r="I2233" s="1794">
        <v>0</v>
      </c>
      <c r="J2233" s="2000">
        <v>0</v>
      </c>
      <c r="K2233" s="1798"/>
      <c r="L2233" s="1792">
        <v>13297110400</v>
      </c>
      <c r="M2233" s="1793">
        <v>0</v>
      </c>
      <c r="N2233" s="1793">
        <v>0</v>
      </c>
      <c r="O2233" s="1794">
        <v>0</v>
      </c>
    </row>
    <row r="2234" spans="3:15">
      <c r="C2234" s="1799" t="s">
        <v>6722</v>
      </c>
      <c r="D2234" s="1796">
        <v>1</v>
      </c>
      <c r="E2234" s="1796">
        <v>1</v>
      </c>
      <c r="F2234" s="1797">
        <v>2</v>
      </c>
      <c r="G2234" s="1999" t="s">
        <v>6722</v>
      </c>
      <c r="H2234" s="1794">
        <v>1</v>
      </c>
      <c r="I2234" s="1794">
        <v>1</v>
      </c>
      <c r="J2234" s="2000">
        <v>2</v>
      </c>
      <c r="K2234" s="1798"/>
      <c r="L2234" s="1792">
        <v>13297110503</v>
      </c>
      <c r="M2234" s="1793">
        <v>1</v>
      </c>
      <c r="N2234" s="1793">
        <v>1</v>
      </c>
      <c r="O2234" s="1794">
        <v>2</v>
      </c>
    </row>
    <row r="2235" spans="3:15">
      <c r="C2235" s="1799" t="s">
        <v>6723</v>
      </c>
      <c r="D2235" s="1796">
        <v>1</v>
      </c>
      <c r="E2235" s="1796">
        <v>1</v>
      </c>
      <c r="F2235" s="1797">
        <v>2</v>
      </c>
      <c r="G2235" s="1999" t="s">
        <v>6723</v>
      </c>
      <c r="H2235" s="1794">
        <v>1</v>
      </c>
      <c r="I2235" s="1794">
        <v>1</v>
      </c>
      <c r="J2235" s="2000">
        <v>2</v>
      </c>
      <c r="K2235" s="1798"/>
      <c r="L2235" s="1792">
        <v>13297110504</v>
      </c>
      <c r="M2235" s="1793">
        <v>1</v>
      </c>
      <c r="N2235" s="1793">
        <v>1</v>
      </c>
      <c r="O2235" s="1794">
        <v>2</v>
      </c>
    </row>
    <row r="2236" spans="3:15">
      <c r="C2236" s="1799" t="s">
        <v>6724</v>
      </c>
      <c r="D2236" s="1796">
        <v>1</v>
      </c>
      <c r="E2236" s="1796">
        <v>1</v>
      </c>
      <c r="F2236" s="1797">
        <v>2</v>
      </c>
      <c r="G2236" s="1999" t="s">
        <v>6724</v>
      </c>
      <c r="H2236" s="1794">
        <v>1</v>
      </c>
      <c r="I2236" s="1794">
        <v>0</v>
      </c>
      <c r="J2236" s="2000">
        <v>1</v>
      </c>
      <c r="K2236" s="1798"/>
      <c r="L2236" s="1792">
        <v>13297110505</v>
      </c>
      <c r="M2236" s="1793">
        <v>1</v>
      </c>
      <c r="N2236" s="1793">
        <v>1</v>
      </c>
      <c r="O2236" s="1794">
        <v>2</v>
      </c>
    </row>
    <row r="2237" spans="3:15">
      <c r="C2237" s="1799" t="s">
        <v>6725</v>
      </c>
      <c r="D2237" s="1796">
        <v>1</v>
      </c>
      <c r="E2237" s="1796">
        <v>1</v>
      </c>
      <c r="F2237" s="1797">
        <v>2</v>
      </c>
      <c r="G2237" s="1999" t="s">
        <v>6725</v>
      </c>
      <c r="H2237" s="1794">
        <v>1</v>
      </c>
      <c r="I2237" s="1794">
        <v>1</v>
      </c>
      <c r="J2237" s="2000">
        <v>2</v>
      </c>
      <c r="K2237" s="1798"/>
      <c r="L2237" s="1792">
        <v>13297110506</v>
      </c>
      <c r="M2237" s="1793">
        <v>1</v>
      </c>
      <c r="N2237" s="1793">
        <v>1</v>
      </c>
      <c r="O2237" s="1794">
        <v>2</v>
      </c>
    </row>
    <row r="2238" spans="3:15">
      <c r="C2238" s="1799" t="s">
        <v>6726</v>
      </c>
      <c r="D2238" s="1796">
        <v>1</v>
      </c>
      <c r="E2238" s="1796">
        <v>1</v>
      </c>
      <c r="F2238" s="1797">
        <v>2</v>
      </c>
      <c r="G2238" s="1999" t="s">
        <v>6726</v>
      </c>
      <c r="H2238" s="1794">
        <v>1</v>
      </c>
      <c r="I2238" s="1794">
        <v>1</v>
      </c>
      <c r="J2238" s="2000">
        <v>2</v>
      </c>
      <c r="K2238" s="1798"/>
      <c r="L2238" s="1792">
        <v>13297110507</v>
      </c>
      <c r="M2238" s="1793">
        <v>1</v>
      </c>
      <c r="N2238" s="1793">
        <v>1</v>
      </c>
      <c r="O2238" s="1794">
        <v>2</v>
      </c>
    </row>
    <row r="2239" spans="3:15">
      <c r="C2239" s="1799" t="s">
        <v>6727</v>
      </c>
      <c r="D2239" s="1796">
        <v>1</v>
      </c>
      <c r="E2239" s="1796">
        <v>1</v>
      </c>
      <c r="F2239" s="1797">
        <v>2</v>
      </c>
      <c r="G2239" s="1999" t="s">
        <v>6727</v>
      </c>
      <c r="H2239" s="1794">
        <v>0</v>
      </c>
      <c r="I2239" s="1794">
        <v>1</v>
      </c>
      <c r="J2239" s="2000">
        <v>1</v>
      </c>
      <c r="K2239" s="1798"/>
      <c r="L2239" s="1792">
        <v>13297110508</v>
      </c>
      <c r="M2239" s="1793">
        <v>1</v>
      </c>
      <c r="N2239" s="1793">
        <v>1</v>
      </c>
      <c r="O2239" s="1794">
        <v>2</v>
      </c>
    </row>
    <row r="2240" spans="3:15">
      <c r="C2240" s="1799" t="s">
        <v>6728</v>
      </c>
      <c r="D2240" s="1796">
        <v>1</v>
      </c>
      <c r="E2240" s="1796">
        <v>1</v>
      </c>
      <c r="F2240" s="1797">
        <v>2</v>
      </c>
      <c r="G2240" s="1999" t="s">
        <v>6728</v>
      </c>
      <c r="H2240" s="1794">
        <v>1</v>
      </c>
      <c r="I2240" s="1794">
        <v>1</v>
      </c>
      <c r="J2240" s="2000">
        <v>2</v>
      </c>
      <c r="K2240" s="1798"/>
      <c r="L2240" s="1792">
        <v>13297110601</v>
      </c>
      <c r="M2240" s="1793">
        <v>1</v>
      </c>
      <c r="N2240" s="1793">
        <v>1</v>
      </c>
      <c r="O2240" s="1794">
        <v>2</v>
      </c>
    </row>
    <row r="2241" spans="3:15">
      <c r="C2241" s="1799" t="s">
        <v>6729</v>
      </c>
      <c r="D2241" s="1796">
        <v>1</v>
      </c>
      <c r="E2241" s="1796">
        <v>1</v>
      </c>
      <c r="F2241" s="1797">
        <v>2</v>
      </c>
      <c r="G2241" s="1999" t="s">
        <v>6729</v>
      </c>
      <c r="H2241" s="1794">
        <v>1</v>
      </c>
      <c r="I2241" s="1794">
        <v>1</v>
      </c>
      <c r="J2241" s="2000">
        <v>2</v>
      </c>
      <c r="K2241" s="1798"/>
      <c r="L2241" s="1792">
        <v>13297110602</v>
      </c>
      <c r="M2241" s="1793">
        <v>1</v>
      </c>
      <c r="N2241" s="1793">
        <v>1</v>
      </c>
      <c r="O2241" s="1794">
        <v>2</v>
      </c>
    </row>
    <row r="2242" spans="3:15">
      <c r="C2242" s="1799" t="s">
        <v>6730</v>
      </c>
      <c r="D2242" s="1796">
        <v>0</v>
      </c>
      <c r="E2242" s="1796">
        <v>1</v>
      </c>
      <c r="F2242" s="1797">
        <v>1</v>
      </c>
      <c r="G2242" s="1999" t="s">
        <v>6730</v>
      </c>
      <c r="H2242" s="1794">
        <v>0</v>
      </c>
      <c r="I2242" s="1794">
        <v>0</v>
      </c>
      <c r="J2242" s="2000">
        <v>0</v>
      </c>
      <c r="K2242" s="1798"/>
      <c r="L2242" s="1792">
        <v>13297110603</v>
      </c>
      <c r="M2242" s="1793">
        <v>0</v>
      </c>
      <c r="N2242" s="1793">
        <v>1</v>
      </c>
      <c r="O2242" s="1794">
        <v>1</v>
      </c>
    </row>
    <row r="2243" spans="3:15">
      <c r="C2243" s="1799" t="s">
        <v>6731</v>
      </c>
      <c r="D2243" s="1796">
        <v>0</v>
      </c>
      <c r="E2243" s="1796">
        <v>0</v>
      </c>
      <c r="F2243" s="1797">
        <v>0</v>
      </c>
      <c r="G2243" s="1999" t="s">
        <v>6731</v>
      </c>
      <c r="H2243" s="1794">
        <v>0</v>
      </c>
      <c r="I2243" s="1794">
        <v>0</v>
      </c>
      <c r="J2243" s="2000">
        <v>0</v>
      </c>
      <c r="K2243" s="1798"/>
      <c r="L2243" s="1792">
        <v>13297110700</v>
      </c>
      <c r="M2243" s="1793">
        <v>0</v>
      </c>
      <c r="N2243" s="1793">
        <v>0</v>
      </c>
      <c r="O2243" s="1794">
        <v>0</v>
      </c>
    </row>
    <row r="2244" spans="3:15">
      <c r="C2244" s="1799" t="s">
        <v>6732</v>
      </c>
      <c r="D2244" s="1796">
        <v>1</v>
      </c>
      <c r="E2244" s="1796">
        <v>0</v>
      </c>
      <c r="F2244" s="1797">
        <v>1</v>
      </c>
      <c r="G2244" s="1999" t="s">
        <v>6732</v>
      </c>
      <c r="H2244" s="1794">
        <v>1</v>
      </c>
      <c r="I2244" s="1794">
        <v>0</v>
      </c>
      <c r="J2244" s="2000">
        <v>1</v>
      </c>
      <c r="K2244" s="1798"/>
      <c r="L2244" s="1792">
        <v>13297110800</v>
      </c>
      <c r="M2244" s="1793">
        <v>1</v>
      </c>
      <c r="N2244" s="1793">
        <v>0</v>
      </c>
      <c r="O2244" s="1794">
        <v>1</v>
      </c>
    </row>
    <row r="2245" spans="3:15">
      <c r="C2245" s="1799" t="s">
        <v>6733</v>
      </c>
      <c r="D2245" s="1796">
        <v>1</v>
      </c>
      <c r="E2245" s="1796">
        <v>0</v>
      </c>
      <c r="F2245" s="1797">
        <v>1</v>
      </c>
      <c r="G2245" s="1999" t="s">
        <v>6733</v>
      </c>
      <c r="H2245" s="1794">
        <v>0</v>
      </c>
      <c r="I2245" s="1794">
        <v>0</v>
      </c>
      <c r="J2245" s="2000">
        <v>0</v>
      </c>
      <c r="K2245" s="1798"/>
      <c r="L2245" s="1792">
        <v>13299950100</v>
      </c>
      <c r="M2245" s="1793">
        <v>1</v>
      </c>
      <c r="N2245" s="1793">
        <v>0</v>
      </c>
      <c r="O2245" s="1794">
        <v>1</v>
      </c>
    </row>
    <row r="2246" spans="3:15">
      <c r="C2246" s="1799" t="s">
        <v>6734</v>
      </c>
      <c r="D2246" s="1796">
        <v>0</v>
      </c>
      <c r="E2246" s="1796">
        <v>0</v>
      </c>
      <c r="F2246" s="1797">
        <v>0</v>
      </c>
      <c r="G2246" s="1999" t="s">
        <v>6734</v>
      </c>
      <c r="H2246" s="1794">
        <v>0</v>
      </c>
      <c r="I2246" s="1794">
        <v>0</v>
      </c>
      <c r="J2246" s="2000">
        <v>0</v>
      </c>
      <c r="K2246" s="1798"/>
      <c r="L2246" s="1792">
        <v>13299950200</v>
      </c>
      <c r="M2246" s="1793">
        <v>0</v>
      </c>
      <c r="N2246" s="1793">
        <v>0</v>
      </c>
      <c r="O2246" s="1794">
        <v>0</v>
      </c>
    </row>
    <row r="2247" spans="3:15">
      <c r="C2247" s="1799" t="s">
        <v>6735</v>
      </c>
      <c r="D2247" s="1796">
        <v>0</v>
      </c>
      <c r="E2247" s="1796">
        <v>0</v>
      </c>
      <c r="F2247" s="1797">
        <v>0</v>
      </c>
      <c r="G2247" s="1999" t="s">
        <v>6735</v>
      </c>
      <c r="H2247" s="1794">
        <v>0</v>
      </c>
      <c r="I2247" s="1794">
        <v>0</v>
      </c>
      <c r="J2247" s="2000">
        <v>0</v>
      </c>
      <c r="K2247" s="1798"/>
      <c r="L2247" s="1792">
        <v>13299950300</v>
      </c>
      <c r="M2247" s="1793">
        <v>0</v>
      </c>
      <c r="N2247" s="1793">
        <v>0</v>
      </c>
      <c r="O2247" s="1794">
        <v>0</v>
      </c>
    </row>
    <row r="2248" spans="3:15">
      <c r="C2248" s="1799" t="s">
        <v>6736</v>
      </c>
      <c r="D2248" s="1796">
        <v>0</v>
      </c>
      <c r="E2248" s="1796">
        <v>0</v>
      </c>
      <c r="F2248" s="1797">
        <v>0</v>
      </c>
      <c r="G2248" s="1999" t="s">
        <v>6736</v>
      </c>
      <c r="H2248" s="1794">
        <v>0</v>
      </c>
      <c r="I2248" s="1794">
        <v>0</v>
      </c>
      <c r="J2248" s="2000">
        <v>0</v>
      </c>
      <c r="K2248" s="1798"/>
      <c r="L2248" s="1792">
        <v>13299950400</v>
      </c>
      <c r="M2248" s="1793">
        <v>0</v>
      </c>
      <c r="N2248" s="1793">
        <v>0</v>
      </c>
      <c r="O2248" s="1794">
        <v>0</v>
      </c>
    </row>
    <row r="2249" spans="3:15">
      <c r="C2249" s="1799" t="s">
        <v>6737</v>
      </c>
      <c r="D2249" s="1796">
        <v>1</v>
      </c>
      <c r="E2249" s="1796">
        <v>0</v>
      </c>
      <c r="F2249" s="1797">
        <v>1</v>
      </c>
      <c r="G2249" s="1999" t="s">
        <v>6737</v>
      </c>
      <c r="H2249" s="1794">
        <v>1</v>
      </c>
      <c r="I2249" s="1794">
        <v>0</v>
      </c>
      <c r="J2249" s="2000">
        <v>1</v>
      </c>
      <c r="K2249" s="1798"/>
      <c r="L2249" s="1792">
        <v>13299950500</v>
      </c>
      <c r="M2249" s="1793">
        <v>1</v>
      </c>
      <c r="N2249" s="1793">
        <v>0</v>
      </c>
      <c r="O2249" s="1794">
        <v>1</v>
      </c>
    </row>
    <row r="2250" spans="3:15">
      <c r="C2250" s="1799" t="s">
        <v>6738</v>
      </c>
      <c r="D2250" s="1796">
        <v>1</v>
      </c>
      <c r="E2250" s="1796">
        <v>0</v>
      </c>
      <c r="F2250" s="1797">
        <v>1</v>
      </c>
      <c r="G2250" s="1999" t="s">
        <v>6738</v>
      </c>
      <c r="H2250" s="1794">
        <v>1</v>
      </c>
      <c r="I2250" s="1794">
        <v>0</v>
      </c>
      <c r="J2250" s="2000">
        <v>1</v>
      </c>
      <c r="K2250" s="1798"/>
      <c r="L2250" s="1792">
        <v>13299950600</v>
      </c>
      <c r="M2250" s="1793">
        <v>1</v>
      </c>
      <c r="N2250" s="1793">
        <v>0</v>
      </c>
      <c r="O2250" s="1794">
        <v>1</v>
      </c>
    </row>
    <row r="2251" spans="3:15">
      <c r="C2251" s="1799" t="s">
        <v>6739</v>
      </c>
      <c r="D2251" s="1796">
        <v>0</v>
      </c>
      <c r="E2251" s="1796">
        <v>0</v>
      </c>
      <c r="F2251" s="1797">
        <v>0</v>
      </c>
      <c r="G2251" s="1999" t="s">
        <v>6739</v>
      </c>
      <c r="H2251" s="1794">
        <v>0</v>
      </c>
      <c r="I2251" s="1794">
        <v>0</v>
      </c>
      <c r="J2251" s="2000">
        <v>0</v>
      </c>
      <c r="K2251" s="1798"/>
      <c r="L2251" s="1792">
        <v>13299950700</v>
      </c>
      <c r="M2251" s="1793">
        <v>0</v>
      </c>
      <c r="N2251" s="1793">
        <v>0</v>
      </c>
      <c r="O2251" s="1794">
        <v>0</v>
      </c>
    </row>
    <row r="2252" spans="3:15">
      <c r="C2252" s="1799" t="s">
        <v>6740</v>
      </c>
      <c r="D2252" s="1796">
        <v>0</v>
      </c>
      <c r="E2252" s="1796">
        <v>0</v>
      </c>
      <c r="F2252" s="1797">
        <v>0</v>
      </c>
      <c r="G2252" s="1999" t="s">
        <v>6740</v>
      </c>
      <c r="H2252" s="1794">
        <v>0</v>
      </c>
      <c r="I2252" s="1794">
        <v>0</v>
      </c>
      <c r="J2252" s="2000">
        <v>0</v>
      </c>
      <c r="K2252" s="1798"/>
      <c r="L2252" s="1792">
        <v>13299950800</v>
      </c>
      <c r="M2252" s="1793">
        <v>0</v>
      </c>
      <c r="N2252" s="1793">
        <v>0</v>
      </c>
      <c r="O2252" s="1794">
        <v>0</v>
      </c>
    </row>
    <row r="2253" spans="3:15">
      <c r="C2253" s="1799" t="s">
        <v>6741</v>
      </c>
      <c r="D2253" s="1796">
        <v>0</v>
      </c>
      <c r="E2253" s="1796">
        <v>0</v>
      </c>
      <c r="F2253" s="1797">
        <v>0</v>
      </c>
      <c r="G2253" s="1999" t="s">
        <v>6741</v>
      </c>
      <c r="H2253" s="1794">
        <v>0</v>
      </c>
      <c r="I2253" s="1794">
        <v>0</v>
      </c>
      <c r="J2253" s="2000">
        <v>0</v>
      </c>
      <c r="K2253" s="1798"/>
      <c r="L2253" s="1792">
        <v>13299950900</v>
      </c>
      <c r="M2253" s="1793">
        <v>0</v>
      </c>
      <c r="N2253" s="1793">
        <v>0</v>
      </c>
      <c r="O2253" s="1794">
        <v>0</v>
      </c>
    </row>
    <row r="2254" spans="3:15">
      <c r="C2254" s="1799" t="s">
        <v>6742</v>
      </c>
      <c r="D2254" s="1796">
        <v>0</v>
      </c>
      <c r="E2254" s="1796">
        <v>0</v>
      </c>
      <c r="F2254" s="1797">
        <v>0</v>
      </c>
      <c r="G2254" s="1999" t="s">
        <v>6742</v>
      </c>
      <c r="H2254" s="1794">
        <v>0</v>
      </c>
      <c r="I2254" s="1794">
        <v>0</v>
      </c>
      <c r="J2254" s="2000">
        <v>0</v>
      </c>
      <c r="K2254" s="1798"/>
      <c r="L2254" s="1792">
        <v>13301970400</v>
      </c>
      <c r="M2254" s="1793">
        <v>0</v>
      </c>
      <c r="N2254" s="1793">
        <v>0</v>
      </c>
      <c r="O2254" s="1794">
        <v>0</v>
      </c>
    </row>
    <row r="2255" spans="3:15">
      <c r="C2255" s="1799" t="s">
        <v>6743</v>
      </c>
      <c r="D2255" s="1796">
        <v>0</v>
      </c>
      <c r="E2255" s="1796">
        <v>0</v>
      </c>
      <c r="F2255" s="1797">
        <v>0</v>
      </c>
      <c r="G2255" s="1999" t="s">
        <v>6743</v>
      </c>
      <c r="H2255" s="1794">
        <v>0</v>
      </c>
      <c r="I2255" s="1794">
        <v>0</v>
      </c>
      <c r="J2255" s="2000">
        <v>0</v>
      </c>
      <c r="K2255" s="1798"/>
      <c r="L2255" s="1792">
        <v>13301970500</v>
      </c>
      <c r="M2255" s="1793">
        <v>0</v>
      </c>
      <c r="N2255" s="1793">
        <v>0</v>
      </c>
      <c r="O2255" s="1794">
        <v>0</v>
      </c>
    </row>
    <row r="2256" spans="3:15">
      <c r="C2256" s="1799" t="s">
        <v>6744</v>
      </c>
      <c r="D2256" s="1796">
        <v>0</v>
      </c>
      <c r="E2256" s="1796">
        <v>0</v>
      </c>
      <c r="F2256" s="1797">
        <v>0</v>
      </c>
      <c r="G2256" s="1999" t="s">
        <v>6744</v>
      </c>
      <c r="H2256" s="1794">
        <v>0</v>
      </c>
      <c r="I2256" s="1794">
        <v>1</v>
      </c>
      <c r="J2256" s="2000">
        <v>1</v>
      </c>
      <c r="K2256" s="1798"/>
      <c r="L2256" s="1792">
        <v>13303950100</v>
      </c>
      <c r="M2256" s="1793">
        <v>0</v>
      </c>
      <c r="N2256" s="1793">
        <v>1</v>
      </c>
      <c r="O2256" s="1794">
        <v>1</v>
      </c>
    </row>
    <row r="2257" spans="3:15">
      <c r="C2257" s="1799" t="s">
        <v>6745</v>
      </c>
      <c r="D2257" s="1796">
        <v>0</v>
      </c>
      <c r="E2257" s="1796">
        <v>0</v>
      </c>
      <c r="F2257" s="1797">
        <v>0</v>
      </c>
      <c r="G2257" s="1999" t="s">
        <v>6745</v>
      </c>
      <c r="H2257" s="1794">
        <v>0</v>
      </c>
      <c r="I2257" s="1794">
        <v>0</v>
      </c>
      <c r="J2257" s="2000">
        <v>0</v>
      </c>
      <c r="K2257" s="1798"/>
      <c r="L2257" s="1792">
        <v>13303950300</v>
      </c>
      <c r="M2257" s="1793">
        <v>0</v>
      </c>
      <c r="N2257" s="1793">
        <v>0</v>
      </c>
      <c r="O2257" s="1794">
        <v>0</v>
      </c>
    </row>
    <row r="2258" spans="3:15">
      <c r="C2258" s="1799" t="s">
        <v>6746</v>
      </c>
      <c r="D2258" s="1796">
        <v>0</v>
      </c>
      <c r="E2258" s="1796">
        <v>0</v>
      </c>
      <c r="F2258" s="1797">
        <v>0</v>
      </c>
      <c r="G2258" s="1999" t="s">
        <v>6746</v>
      </c>
      <c r="H2258" s="1794">
        <v>0</v>
      </c>
      <c r="I2258" s="1794">
        <v>0</v>
      </c>
      <c r="J2258" s="2000">
        <v>0</v>
      </c>
      <c r="K2258" s="1798"/>
      <c r="L2258" s="1792">
        <v>13303950400</v>
      </c>
      <c r="M2258" s="1793">
        <v>0</v>
      </c>
      <c r="N2258" s="1793">
        <v>0</v>
      </c>
      <c r="O2258" s="1794">
        <v>0</v>
      </c>
    </row>
    <row r="2259" spans="3:15">
      <c r="C2259" s="1799" t="s">
        <v>6747</v>
      </c>
      <c r="D2259" s="1796">
        <v>0</v>
      </c>
      <c r="E2259" s="1796">
        <v>0</v>
      </c>
      <c r="F2259" s="1797">
        <v>0</v>
      </c>
      <c r="G2259" s="1999" t="s">
        <v>6747</v>
      </c>
      <c r="H2259" s="1794">
        <v>0</v>
      </c>
      <c r="I2259" s="1794">
        <v>0</v>
      </c>
      <c r="J2259" s="2000">
        <v>0</v>
      </c>
      <c r="K2259" s="1798"/>
      <c r="L2259" s="1792">
        <v>13303950500</v>
      </c>
      <c r="M2259" s="1793">
        <v>0</v>
      </c>
      <c r="N2259" s="1793">
        <v>0</v>
      </c>
      <c r="O2259" s="1794">
        <v>0</v>
      </c>
    </row>
    <row r="2260" spans="3:15">
      <c r="C2260" s="1799" t="s">
        <v>6748</v>
      </c>
      <c r="D2260" s="1796">
        <v>0</v>
      </c>
      <c r="E2260" s="1796">
        <v>0</v>
      </c>
      <c r="F2260" s="1797">
        <v>0</v>
      </c>
      <c r="G2260" s="1999" t="s">
        <v>6748</v>
      </c>
      <c r="H2260" s="1794">
        <v>0</v>
      </c>
      <c r="I2260" s="1794">
        <v>1</v>
      </c>
      <c r="J2260" s="2000">
        <v>1</v>
      </c>
      <c r="K2260" s="1798"/>
      <c r="L2260" s="1792">
        <v>13303950700</v>
      </c>
      <c r="M2260" s="1793">
        <v>0</v>
      </c>
      <c r="N2260" s="1793">
        <v>1</v>
      </c>
      <c r="O2260" s="1794">
        <v>1</v>
      </c>
    </row>
    <row r="2261" spans="3:15">
      <c r="C2261" s="1799" t="s">
        <v>6749</v>
      </c>
      <c r="D2261" s="1796">
        <v>0</v>
      </c>
      <c r="E2261" s="1796">
        <v>0</v>
      </c>
      <c r="F2261" s="1797">
        <v>0</v>
      </c>
      <c r="G2261" s="1999" t="s">
        <v>6749</v>
      </c>
      <c r="H2261" s="1794">
        <v>0</v>
      </c>
      <c r="I2261" s="1794">
        <v>0</v>
      </c>
      <c r="J2261" s="2000">
        <v>0</v>
      </c>
      <c r="K2261" s="1798"/>
      <c r="L2261" s="1792">
        <v>13305970100</v>
      </c>
      <c r="M2261" s="1793">
        <v>0</v>
      </c>
      <c r="N2261" s="1793">
        <v>0</v>
      </c>
      <c r="O2261" s="1794">
        <v>0</v>
      </c>
    </row>
    <row r="2262" spans="3:15">
      <c r="C2262" s="1799" t="s">
        <v>6750</v>
      </c>
      <c r="D2262" s="1796">
        <v>0</v>
      </c>
      <c r="E2262" s="1796">
        <v>0</v>
      </c>
      <c r="F2262" s="1797">
        <v>0</v>
      </c>
      <c r="G2262" s="1999" t="s">
        <v>6750</v>
      </c>
      <c r="H2262" s="1794">
        <v>0</v>
      </c>
      <c r="I2262" s="1794">
        <v>0</v>
      </c>
      <c r="J2262" s="2000">
        <v>0</v>
      </c>
      <c r="K2262" s="1798"/>
      <c r="L2262" s="1792">
        <v>13305970200</v>
      </c>
      <c r="M2262" s="1793">
        <v>0</v>
      </c>
      <c r="N2262" s="1793">
        <v>0</v>
      </c>
      <c r="O2262" s="1794">
        <v>0</v>
      </c>
    </row>
    <row r="2263" spans="3:15">
      <c r="C2263" s="1799" t="s">
        <v>6751</v>
      </c>
      <c r="D2263" s="1796">
        <v>0</v>
      </c>
      <c r="E2263" s="1796">
        <v>0</v>
      </c>
      <c r="F2263" s="1797">
        <v>0</v>
      </c>
      <c r="G2263" s="1999" t="s">
        <v>6751</v>
      </c>
      <c r="H2263" s="1794">
        <v>0</v>
      </c>
      <c r="I2263" s="1794">
        <v>0</v>
      </c>
      <c r="J2263" s="2000">
        <v>0</v>
      </c>
      <c r="K2263" s="1798"/>
      <c r="L2263" s="1792">
        <v>13305970300</v>
      </c>
      <c r="M2263" s="1793">
        <v>0</v>
      </c>
      <c r="N2263" s="1793">
        <v>0</v>
      </c>
      <c r="O2263" s="1794">
        <v>0</v>
      </c>
    </row>
    <row r="2264" spans="3:15">
      <c r="C2264" s="1799" t="s">
        <v>6752</v>
      </c>
      <c r="D2264" s="1796">
        <v>0</v>
      </c>
      <c r="E2264" s="1796">
        <v>0</v>
      </c>
      <c r="F2264" s="1797">
        <v>0</v>
      </c>
      <c r="G2264" s="1999" t="s">
        <v>6752</v>
      </c>
      <c r="H2264" s="1794">
        <v>0</v>
      </c>
      <c r="I2264" s="1794">
        <v>0</v>
      </c>
      <c r="J2264" s="2000">
        <v>0</v>
      </c>
      <c r="K2264" s="1798"/>
      <c r="L2264" s="1792">
        <v>13305970400</v>
      </c>
      <c r="M2264" s="1793">
        <v>0</v>
      </c>
      <c r="N2264" s="1793">
        <v>0</v>
      </c>
      <c r="O2264" s="1794">
        <v>0</v>
      </c>
    </row>
    <row r="2265" spans="3:15">
      <c r="C2265" s="1799" t="s">
        <v>6753</v>
      </c>
      <c r="D2265" s="1796">
        <v>0</v>
      </c>
      <c r="E2265" s="1796">
        <v>0</v>
      </c>
      <c r="F2265" s="1797">
        <v>0</v>
      </c>
      <c r="G2265" s="1999" t="s">
        <v>6753</v>
      </c>
      <c r="H2265" s="1794">
        <v>0</v>
      </c>
      <c r="I2265" s="1794">
        <v>0</v>
      </c>
      <c r="J2265" s="2000">
        <v>0</v>
      </c>
      <c r="K2265" s="1798"/>
      <c r="L2265" s="1792">
        <v>13305970500</v>
      </c>
      <c r="M2265" s="1793">
        <v>0</v>
      </c>
      <c r="N2265" s="1793">
        <v>0</v>
      </c>
      <c r="O2265" s="1794">
        <v>0</v>
      </c>
    </row>
    <row r="2266" spans="3:15">
      <c r="C2266" s="1799" t="s">
        <v>6754</v>
      </c>
      <c r="D2266" s="1796">
        <v>0</v>
      </c>
      <c r="E2266" s="1796">
        <v>0</v>
      </c>
      <c r="F2266" s="1797">
        <v>0</v>
      </c>
      <c r="G2266" s="1999" t="s">
        <v>6754</v>
      </c>
      <c r="H2266" s="1794">
        <v>0</v>
      </c>
      <c r="I2266" s="1794">
        <v>0</v>
      </c>
      <c r="J2266" s="2000">
        <v>0</v>
      </c>
      <c r="K2266" s="1798"/>
      <c r="L2266" s="1792">
        <v>13305970600</v>
      </c>
      <c r="M2266" s="1793">
        <v>0</v>
      </c>
      <c r="N2266" s="1793">
        <v>0</v>
      </c>
      <c r="O2266" s="1794">
        <v>0</v>
      </c>
    </row>
    <row r="2267" spans="3:15">
      <c r="C2267" s="1799" t="s">
        <v>6755</v>
      </c>
      <c r="D2267" s="1796">
        <v>0</v>
      </c>
      <c r="E2267" s="1796">
        <v>0</v>
      </c>
      <c r="F2267" s="1797">
        <v>0</v>
      </c>
      <c r="G2267" s="1999" t="s">
        <v>6755</v>
      </c>
      <c r="H2267" s="1794">
        <v>0</v>
      </c>
      <c r="I2267" s="1794">
        <v>1</v>
      </c>
      <c r="J2267" s="2000">
        <v>1</v>
      </c>
      <c r="K2267" s="1798"/>
      <c r="L2267" s="1792">
        <v>13307960100</v>
      </c>
      <c r="M2267" s="1793">
        <v>0</v>
      </c>
      <c r="N2267" s="1793">
        <v>1</v>
      </c>
      <c r="O2267" s="1794">
        <v>1</v>
      </c>
    </row>
    <row r="2268" spans="3:15">
      <c r="C2268" s="1799" t="s">
        <v>6756</v>
      </c>
      <c r="D2268" s="1796">
        <v>0</v>
      </c>
      <c r="E2268" s="1796">
        <v>0</v>
      </c>
      <c r="F2268" s="1797">
        <v>0</v>
      </c>
      <c r="G2268" s="1999" t="s">
        <v>6756</v>
      </c>
      <c r="H2268" s="1794">
        <v>0</v>
      </c>
      <c r="I2268" s="1794">
        <v>0</v>
      </c>
      <c r="J2268" s="2000">
        <v>0</v>
      </c>
      <c r="K2268" s="1798"/>
      <c r="L2268" s="1792">
        <v>13307960200</v>
      </c>
      <c r="M2268" s="1793">
        <v>0</v>
      </c>
      <c r="N2268" s="1793">
        <v>0</v>
      </c>
      <c r="O2268" s="1794">
        <v>0</v>
      </c>
    </row>
    <row r="2269" spans="3:15">
      <c r="C2269" s="1799" t="s">
        <v>6757</v>
      </c>
      <c r="D2269" s="1796">
        <v>0</v>
      </c>
      <c r="E2269" s="1796">
        <v>0</v>
      </c>
      <c r="F2269" s="1797">
        <v>0</v>
      </c>
      <c r="G2269" s="1999" t="s">
        <v>6757</v>
      </c>
      <c r="H2269" s="1794">
        <v>0</v>
      </c>
      <c r="I2269" s="1794">
        <v>0</v>
      </c>
      <c r="J2269" s="2000">
        <v>0</v>
      </c>
      <c r="K2269" s="1798"/>
      <c r="L2269" s="1792">
        <v>13309780100</v>
      </c>
      <c r="M2269" s="1793">
        <v>0</v>
      </c>
      <c r="N2269" s="1793">
        <v>0</v>
      </c>
      <c r="O2269" s="1794">
        <v>0</v>
      </c>
    </row>
    <row r="2270" spans="3:15">
      <c r="C2270" s="1799" t="s">
        <v>6758</v>
      </c>
      <c r="D2270" s="1796">
        <v>0</v>
      </c>
      <c r="E2270" s="1796">
        <v>0</v>
      </c>
      <c r="F2270" s="1797">
        <v>0</v>
      </c>
      <c r="G2270" s="1999" t="s">
        <v>6758</v>
      </c>
      <c r="H2270" s="1794">
        <v>0</v>
      </c>
      <c r="I2270" s="1794">
        <v>1</v>
      </c>
      <c r="J2270" s="2000">
        <v>1</v>
      </c>
      <c r="K2270" s="1798"/>
      <c r="L2270" s="1792">
        <v>13309780200</v>
      </c>
      <c r="M2270" s="1793">
        <v>0</v>
      </c>
      <c r="N2270" s="1793">
        <v>1</v>
      </c>
      <c r="O2270" s="1794">
        <v>1</v>
      </c>
    </row>
    <row r="2271" spans="3:15">
      <c r="C2271" s="1799" t="s">
        <v>6759</v>
      </c>
      <c r="D2271" s="1796">
        <v>1</v>
      </c>
      <c r="E2271" s="1796">
        <v>0</v>
      </c>
      <c r="F2271" s="1797">
        <v>1</v>
      </c>
      <c r="G2271" s="1999" t="s">
        <v>6759</v>
      </c>
      <c r="H2271" s="1794">
        <v>1</v>
      </c>
      <c r="I2271" s="1794">
        <v>0</v>
      </c>
      <c r="J2271" s="2000">
        <v>1</v>
      </c>
      <c r="K2271" s="1798"/>
      <c r="L2271" s="1792">
        <v>13311950100</v>
      </c>
      <c r="M2271" s="1793">
        <v>1</v>
      </c>
      <c r="N2271" s="1793">
        <v>0</v>
      </c>
      <c r="O2271" s="1794">
        <v>1</v>
      </c>
    </row>
    <row r="2272" spans="3:15">
      <c r="C2272" s="1799" t="s">
        <v>6760</v>
      </c>
      <c r="D2272" s="1796">
        <v>0</v>
      </c>
      <c r="E2272" s="1796">
        <v>0</v>
      </c>
      <c r="F2272" s="1797">
        <v>0</v>
      </c>
      <c r="G2272" s="1999" t="s">
        <v>6760</v>
      </c>
      <c r="H2272" s="1794">
        <v>0</v>
      </c>
      <c r="I2272" s="1794">
        <v>0</v>
      </c>
      <c r="J2272" s="2000">
        <v>0</v>
      </c>
      <c r="K2272" s="1798"/>
      <c r="L2272" s="1792">
        <v>13311950201</v>
      </c>
      <c r="M2272" s="1793">
        <v>0</v>
      </c>
      <c r="N2272" s="1793">
        <v>0</v>
      </c>
      <c r="O2272" s="1794">
        <v>0</v>
      </c>
    </row>
    <row r="2273" spans="3:15">
      <c r="C2273" s="1799" t="s">
        <v>6761</v>
      </c>
      <c r="D2273" s="1796">
        <v>1</v>
      </c>
      <c r="E2273" s="1796">
        <v>1</v>
      </c>
      <c r="F2273" s="1797">
        <v>2</v>
      </c>
      <c r="G2273" s="1999" t="s">
        <v>6761</v>
      </c>
      <c r="H2273" s="1794">
        <v>0</v>
      </c>
      <c r="I2273" s="1794">
        <v>1</v>
      </c>
      <c r="J2273" s="2000">
        <v>1</v>
      </c>
      <c r="K2273" s="1798"/>
      <c r="L2273" s="1792">
        <v>13311950202</v>
      </c>
      <c r="M2273" s="1793">
        <v>1</v>
      </c>
      <c r="N2273" s="1793">
        <v>1</v>
      </c>
      <c r="O2273" s="1794">
        <v>2</v>
      </c>
    </row>
    <row r="2274" spans="3:15">
      <c r="C2274" s="1799" t="s">
        <v>6762</v>
      </c>
      <c r="D2274" s="1796">
        <v>1</v>
      </c>
      <c r="E2274" s="1796">
        <v>0</v>
      </c>
      <c r="F2274" s="1797">
        <v>1</v>
      </c>
      <c r="G2274" s="1999" t="s">
        <v>6762</v>
      </c>
      <c r="H2274" s="1794">
        <v>0</v>
      </c>
      <c r="I2274" s="1794">
        <v>1</v>
      </c>
      <c r="J2274" s="2000">
        <v>1</v>
      </c>
      <c r="K2274" s="1798"/>
      <c r="L2274" s="1792">
        <v>13311950203</v>
      </c>
      <c r="M2274" s="1793">
        <v>1</v>
      </c>
      <c r="N2274" s="1793">
        <v>1</v>
      </c>
      <c r="O2274" s="1794">
        <v>1</v>
      </c>
    </row>
    <row r="2275" spans="3:15">
      <c r="C2275" s="1799" t="s">
        <v>6763</v>
      </c>
      <c r="D2275" s="1796">
        <v>0</v>
      </c>
      <c r="E2275" s="1796">
        <v>1</v>
      </c>
      <c r="F2275" s="1797">
        <v>1</v>
      </c>
      <c r="G2275" s="1999" t="s">
        <v>6763</v>
      </c>
      <c r="H2275" s="1794">
        <v>0</v>
      </c>
      <c r="I2275" s="1794">
        <v>1</v>
      </c>
      <c r="J2275" s="2000">
        <v>1</v>
      </c>
      <c r="K2275" s="1798"/>
      <c r="L2275" s="1792">
        <v>13311950300</v>
      </c>
      <c r="M2275" s="1793">
        <v>0</v>
      </c>
      <c r="N2275" s="1793">
        <v>1</v>
      </c>
      <c r="O2275" s="1794">
        <v>1</v>
      </c>
    </row>
    <row r="2276" spans="3:15">
      <c r="C2276" s="1799" t="s">
        <v>6764</v>
      </c>
      <c r="D2276" s="1796">
        <v>0</v>
      </c>
      <c r="E2276" s="1796">
        <v>0</v>
      </c>
      <c r="F2276" s="1797">
        <v>0</v>
      </c>
      <c r="G2276" s="1999" t="s">
        <v>6764</v>
      </c>
      <c r="H2276" s="1794">
        <v>0</v>
      </c>
      <c r="I2276" s="1794">
        <v>1</v>
      </c>
      <c r="J2276" s="2000">
        <v>1</v>
      </c>
      <c r="K2276" s="1798"/>
      <c r="L2276" s="1792">
        <v>13313000101</v>
      </c>
      <c r="M2276" s="1793">
        <v>0</v>
      </c>
      <c r="N2276" s="1793">
        <v>1</v>
      </c>
      <c r="O2276" s="1794">
        <v>1</v>
      </c>
    </row>
    <row r="2277" spans="3:15">
      <c r="C2277" s="1799" t="s">
        <v>6765</v>
      </c>
      <c r="D2277" s="1796">
        <v>0</v>
      </c>
      <c r="E2277" s="1796">
        <v>1</v>
      </c>
      <c r="F2277" s="1797">
        <v>1</v>
      </c>
      <c r="G2277" s="1999" t="s">
        <v>6765</v>
      </c>
      <c r="H2277" s="1794">
        <v>0</v>
      </c>
      <c r="I2277" s="1794">
        <v>0</v>
      </c>
      <c r="J2277" s="2000">
        <v>0</v>
      </c>
      <c r="K2277" s="1798"/>
      <c r="L2277" s="1792">
        <v>13313000102</v>
      </c>
      <c r="M2277" s="1793">
        <v>0</v>
      </c>
      <c r="N2277" s="1793">
        <v>1</v>
      </c>
      <c r="O2277" s="1794">
        <v>1</v>
      </c>
    </row>
    <row r="2278" spans="3:15">
      <c r="C2278" s="1799" t="s">
        <v>6766</v>
      </c>
      <c r="D2278" s="1796">
        <v>0</v>
      </c>
      <c r="E2278" s="1796">
        <v>1</v>
      </c>
      <c r="F2278" s="1797">
        <v>1</v>
      </c>
      <c r="G2278" s="1999" t="s">
        <v>6766</v>
      </c>
      <c r="H2278" s="1794">
        <v>0</v>
      </c>
      <c r="I2278" s="1794">
        <v>1</v>
      </c>
      <c r="J2278" s="2000">
        <v>1</v>
      </c>
      <c r="K2278" s="1798"/>
      <c r="L2278" s="1792">
        <v>13313000200</v>
      </c>
      <c r="M2278" s="1793">
        <v>0</v>
      </c>
      <c r="N2278" s="1793">
        <v>1</v>
      </c>
      <c r="O2278" s="1794">
        <v>1</v>
      </c>
    </row>
    <row r="2279" spans="3:15">
      <c r="C2279" s="1799" t="s">
        <v>6767</v>
      </c>
      <c r="D2279" s="1796">
        <v>0</v>
      </c>
      <c r="E2279" s="1796">
        <v>0</v>
      </c>
      <c r="F2279" s="1797">
        <v>0</v>
      </c>
      <c r="G2279" s="1999" t="s">
        <v>6767</v>
      </c>
      <c r="H2279" s="1794">
        <v>0</v>
      </c>
      <c r="I2279" s="1794">
        <v>0</v>
      </c>
      <c r="J2279" s="2000">
        <v>0</v>
      </c>
      <c r="K2279" s="1798"/>
      <c r="L2279" s="1792">
        <v>13313000301</v>
      </c>
      <c r="M2279" s="1793">
        <v>0</v>
      </c>
      <c r="N2279" s="1793">
        <v>0</v>
      </c>
      <c r="O2279" s="1794">
        <v>0</v>
      </c>
    </row>
    <row r="2280" spans="3:15">
      <c r="C2280" s="1799" t="s">
        <v>6768</v>
      </c>
      <c r="D2280" s="1796">
        <v>0</v>
      </c>
      <c r="E2280" s="1796">
        <v>1</v>
      </c>
      <c r="F2280" s="1797">
        <v>1</v>
      </c>
      <c r="G2280" s="1999" t="s">
        <v>6768</v>
      </c>
      <c r="H2280" s="1794">
        <v>1</v>
      </c>
      <c r="I2280" s="1794">
        <v>1</v>
      </c>
      <c r="J2280" s="2000">
        <v>2</v>
      </c>
      <c r="K2280" s="1798"/>
      <c r="L2280" s="1792">
        <v>13313000302</v>
      </c>
      <c r="M2280" s="1793">
        <v>1</v>
      </c>
      <c r="N2280" s="1793">
        <v>1</v>
      </c>
      <c r="O2280" s="1794">
        <v>2</v>
      </c>
    </row>
    <row r="2281" spans="3:15">
      <c r="C2281" s="1799" t="s">
        <v>6769</v>
      </c>
      <c r="D2281" s="1796">
        <v>0</v>
      </c>
      <c r="E2281" s="1796">
        <v>0</v>
      </c>
      <c r="F2281" s="1797">
        <v>0</v>
      </c>
      <c r="G2281" s="1999" t="s">
        <v>6769</v>
      </c>
      <c r="H2281" s="1794">
        <v>0</v>
      </c>
      <c r="I2281" s="1794">
        <v>0</v>
      </c>
      <c r="J2281" s="2000">
        <v>0</v>
      </c>
      <c r="K2281" s="1798"/>
      <c r="L2281" s="1792">
        <v>13313000400</v>
      </c>
      <c r="M2281" s="1793">
        <v>0</v>
      </c>
      <c r="N2281" s="1793">
        <v>0</v>
      </c>
      <c r="O2281" s="1794">
        <v>0</v>
      </c>
    </row>
    <row r="2282" spans="3:15">
      <c r="C2282" s="1799" t="s">
        <v>6770</v>
      </c>
      <c r="D2282" s="1796">
        <v>1</v>
      </c>
      <c r="E2282" s="1796">
        <v>0</v>
      </c>
      <c r="F2282" s="1797">
        <v>1</v>
      </c>
      <c r="G2282" s="1999" t="s">
        <v>6770</v>
      </c>
      <c r="H2282" s="1794">
        <v>1</v>
      </c>
      <c r="I2282" s="1794">
        <v>1</v>
      </c>
      <c r="J2282" s="2000">
        <v>2</v>
      </c>
      <c r="K2282" s="1798"/>
      <c r="L2282" s="1792">
        <v>13313000501</v>
      </c>
      <c r="M2282" s="1793">
        <v>1</v>
      </c>
      <c r="N2282" s="1793">
        <v>1</v>
      </c>
      <c r="O2282" s="1794">
        <v>2</v>
      </c>
    </row>
    <row r="2283" spans="3:15">
      <c r="C2283" s="1799" t="s">
        <v>6771</v>
      </c>
      <c r="D2283" s="1796">
        <v>0</v>
      </c>
      <c r="E2283" s="1796">
        <v>0</v>
      </c>
      <c r="F2283" s="1797">
        <v>0</v>
      </c>
      <c r="G2283" s="1999" t="s">
        <v>6771</v>
      </c>
      <c r="H2283" s="1794">
        <v>0</v>
      </c>
      <c r="I2283" s="1794">
        <v>0</v>
      </c>
      <c r="J2283" s="2000">
        <v>0</v>
      </c>
      <c r="K2283" s="1798"/>
      <c r="L2283" s="1792">
        <v>13313000502</v>
      </c>
      <c r="M2283" s="1793">
        <v>0</v>
      </c>
      <c r="N2283" s="1793">
        <v>0</v>
      </c>
      <c r="O2283" s="1794">
        <v>0</v>
      </c>
    </row>
    <row r="2284" spans="3:15">
      <c r="C2284" s="1799" t="s">
        <v>6772</v>
      </c>
      <c r="D2284" s="1796">
        <v>0</v>
      </c>
      <c r="E2284" s="1796">
        <v>1</v>
      </c>
      <c r="F2284" s="1797">
        <v>1</v>
      </c>
      <c r="G2284" s="1999" t="s">
        <v>6772</v>
      </c>
      <c r="H2284" s="1794">
        <v>0</v>
      </c>
      <c r="I2284" s="1794">
        <v>0</v>
      </c>
      <c r="J2284" s="2000">
        <v>0</v>
      </c>
      <c r="K2284" s="1798"/>
      <c r="L2284" s="1792">
        <v>13313000600</v>
      </c>
      <c r="M2284" s="1793">
        <v>0</v>
      </c>
      <c r="N2284" s="1793">
        <v>1</v>
      </c>
      <c r="O2284" s="1794">
        <v>1</v>
      </c>
    </row>
    <row r="2285" spans="3:15">
      <c r="C2285" s="1799" t="s">
        <v>6773</v>
      </c>
      <c r="D2285" s="1796">
        <v>0</v>
      </c>
      <c r="E2285" s="1796">
        <v>1</v>
      </c>
      <c r="F2285" s="1797">
        <v>1</v>
      </c>
      <c r="G2285" s="1999" t="s">
        <v>6773</v>
      </c>
      <c r="H2285" s="1794">
        <v>0</v>
      </c>
      <c r="I2285" s="1794">
        <v>1</v>
      </c>
      <c r="J2285" s="2000">
        <v>1</v>
      </c>
      <c r="K2285" s="1798"/>
      <c r="L2285" s="1792">
        <v>13313000700</v>
      </c>
      <c r="M2285" s="1793">
        <v>0</v>
      </c>
      <c r="N2285" s="1793">
        <v>1</v>
      </c>
      <c r="O2285" s="1794">
        <v>1</v>
      </c>
    </row>
    <row r="2286" spans="3:15">
      <c r="C2286" s="1799" t="s">
        <v>6774</v>
      </c>
      <c r="D2286" s="1796">
        <v>1</v>
      </c>
      <c r="E2286" s="1796">
        <v>0</v>
      </c>
      <c r="F2286" s="1797">
        <v>1</v>
      </c>
      <c r="G2286" s="1999" t="s">
        <v>6774</v>
      </c>
      <c r="H2286" s="1794">
        <v>1</v>
      </c>
      <c r="I2286" s="1794">
        <v>0</v>
      </c>
      <c r="J2286" s="2000">
        <v>1</v>
      </c>
      <c r="K2286" s="1798"/>
      <c r="L2286" s="1792">
        <v>13313000800</v>
      </c>
      <c r="M2286" s="1793">
        <v>1</v>
      </c>
      <c r="N2286" s="1793">
        <v>0</v>
      </c>
      <c r="O2286" s="1794">
        <v>1</v>
      </c>
    </row>
    <row r="2287" spans="3:15">
      <c r="C2287" s="1799" t="s">
        <v>6775</v>
      </c>
      <c r="D2287" s="1796">
        <v>1</v>
      </c>
      <c r="E2287" s="1796">
        <v>1</v>
      </c>
      <c r="F2287" s="1797">
        <v>2</v>
      </c>
      <c r="G2287" s="1999" t="s">
        <v>6775</v>
      </c>
      <c r="H2287" s="1794">
        <v>1</v>
      </c>
      <c r="I2287" s="1794">
        <v>1</v>
      </c>
      <c r="J2287" s="2000">
        <v>2</v>
      </c>
      <c r="K2287" s="1798"/>
      <c r="L2287" s="1792">
        <v>13313000900</v>
      </c>
      <c r="M2287" s="1793">
        <v>1</v>
      </c>
      <c r="N2287" s="1793">
        <v>1</v>
      </c>
      <c r="O2287" s="1794">
        <v>2</v>
      </c>
    </row>
    <row r="2288" spans="3:15">
      <c r="C2288" s="1799" t="s">
        <v>6776</v>
      </c>
      <c r="D2288" s="1796">
        <v>0</v>
      </c>
      <c r="E2288" s="1796">
        <v>0</v>
      </c>
      <c r="F2288" s="1797">
        <v>0</v>
      </c>
      <c r="G2288" s="1999" t="s">
        <v>6776</v>
      </c>
      <c r="H2288" s="1794">
        <v>1</v>
      </c>
      <c r="I2288" s="1794">
        <v>0</v>
      </c>
      <c r="J2288" s="2000">
        <v>0</v>
      </c>
      <c r="K2288" s="1798"/>
      <c r="L2288" s="1792">
        <v>13313001000</v>
      </c>
      <c r="M2288" s="1793">
        <v>1</v>
      </c>
      <c r="N2288" s="1793">
        <v>0</v>
      </c>
      <c r="O2288" s="1794">
        <v>0</v>
      </c>
    </row>
    <row r="2289" spans="3:15">
      <c r="C2289" s="1799" t="s">
        <v>6777</v>
      </c>
      <c r="D2289" s="1796">
        <v>0</v>
      </c>
      <c r="E2289" s="1796">
        <v>0</v>
      </c>
      <c r="F2289" s="1797">
        <v>0</v>
      </c>
      <c r="G2289" s="1999" t="s">
        <v>6777</v>
      </c>
      <c r="H2289" s="1794">
        <v>0</v>
      </c>
      <c r="I2289" s="1794">
        <v>0</v>
      </c>
      <c r="J2289" s="2000">
        <v>0</v>
      </c>
      <c r="K2289" s="1798"/>
      <c r="L2289" s="1792">
        <v>13313001100</v>
      </c>
      <c r="M2289" s="1793">
        <v>0</v>
      </c>
      <c r="N2289" s="1793">
        <v>0</v>
      </c>
      <c r="O2289" s="1794">
        <v>0</v>
      </c>
    </row>
    <row r="2290" spans="3:15">
      <c r="C2290" s="1799" t="s">
        <v>6778</v>
      </c>
      <c r="D2290" s="1796">
        <v>0</v>
      </c>
      <c r="E2290" s="1796">
        <v>0</v>
      </c>
      <c r="F2290" s="1797">
        <v>0</v>
      </c>
      <c r="G2290" s="1999" t="s">
        <v>6778</v>
      </c>
      <c r="H2290" s="1794">
        <v>0</v>
      </c>
      <c r="I2290" s="1794">
        <v>0</v>
      </c>
      <c r="J2290" s="2000">
        <v>0</v>
      </c>
      <c r="K2290" s="1798"/>
      <c r="L2290" s="1792">
        <v>13313001200</v>
      </c>
      <c r="M2290" s="1793">
        <v>0</v>
      </c>
      <c r="N2290" s="1793">
        <v>0</v>
      </c>
      <c r="O2290" s="1794">
        <v>0</v>
      </c>
    </row>
    <row r="2291" spans="3:15">
      <c r="C2291" s="1799" t="s">
        <v>6779</v>
      </c>
      <c r="D2291" s="1796">
        <v>0</v>
      </c>
      <c r="E2291" s="1796">
        <v>0</v>
      </c>
      <c r="F2291" s="1797">
        <v>0</v>
      </c>
      <c r="G2291" s="1999" t="s">
        <v>6779</v>
      </c>
      <c r="H2291" s="1794">
        <v>0</v>
      </c>
      <c r="I2291" s="1794">
        <v>0</v>
      </c>
      <c r="J2291" s="2000">
        <v>0</v>
      </c>
      <c r="K2291" s="1798"/>
      <c r="L2291" s="1792">
        <v>13313001300</v>
      </c>
      <c r="M2291" s="1793">
        <v>0</v>
      </c>
      <c r="N2291" s="1793">
        <v>0</v>
      </c>
      <c r="O2291" s="1794">
        <v>0</v>
      </c>
    </row>
    <row r="2292" spans="3:15">
      <c r="C2292" s="1799" t="s">
        <v>6780</v>
      </c>
      <c r="D2292" s="1796">
        <v>0</v>
      </c>
      <c r="E2292" s="1796">
        <v>0</v>
      </c>
      <c r="F2292" s="1797">
        <v>0</v>
      </c>
      <c r="G2292" s="1999" t="s">
        <v>6780</v>
      </c>
      <c r="H2292" s="1794">
        <v>0</v>
      </c>
      <c r="I2292" s="1794">
        <v>0</v>
      </c>
      <c r="J2292" s="2000">
        <v>0</v>
      </c>
      <c r="K2292" s="1798"/>
      <c r="L2292" s="1792">
        <v>13313001400</v>
      </c>
      <c r="M2292" s="1793">
        <v>0</v>
      </c>
      <c r="N2292" s="1793">
        <v>0</v>
      </c>
      <c r="O2292" s="1794">
        <v>0</v>
      </c>
    </row>
    <row r="2293" spans="3:15">
      <c r="C2293" s="1799" t="s">
        <v>6781</v>
      </c>
      <c r="D2293" s="1796">
        <v>1</v>
      </c>
      <c r="E2293" s="1796">
        <v>0</v>
      </c>
      <c r="F2293" s="1797">
        <v>1</v>
      </c>
      <c r="G2293" s="1999" t="s">
        <v>6781</v>
      </c>
      <c r="H2293" s="1794">
        <v>0</v>
      </c>
      <c r="I2293" s="1794">
        <v>0</v>
      </c>
      <c r="J2293" s="2000">
        <v>0</v>
      </c>
      <c r="K2293" s="1798"/>
      <c r="L2293" s="1792">
        <v>13313001500</v>
      </c>
      <c r="M2293" s="1793">
        <v>1</v>
      </c>
      <c r="N2293" s="1793">
        <v>0</v>
      </c>
      <c r="O2293" s="1794">
        <v>1</v>
      </c>
    </row>
    <row r="2294" spans="3:15">
      <c r="C2294" s="1799" t="s">
        <v>6782</v>
      </c>
      <c r="D2294" s="1796">
        <v>0</v>
      </c>
      <c r="E2294" s="1796">
        <v>0</v>
      </c>
      <c r="F2294" s="1797">
        <v>0</v>
      </c>
      <c r="G2294" s="1999" t="s">
        <v>6782</v>
      </c>
      <c r="H2294" s="1794">
        <v>0</v>
      </c>
      <c r="I2294" s="1794">
        <v>0</v>
      </c>
      <c r="J2294" s="2000">
        <v>0</v>
      </c>
      <c r="K2294" s="1798"/>
      <c r="L2294" s="1792">
        <v>13315960100</v>
      </c>
      <c r="M2294" s="1793">
        <v>0</v>
      </c>
      <c r="N2294" s="1793">
        <v>0</v>
      </c>
      <c r="O2294" s="1794">
        <v>0</v>
      </c>
    </row>
    <row r="2295" spans="3:15">
      <c r="C2295" s="1799" t="s">
        <v>6783</v>
      </c>
      <c r="D2295" s="1796">
        <v>0</v>
      </c>
      <c r="E2295" s="1796">
        <v>0</v>
      </c>
      <c r="F2295" s="1797">
        <v>0</v>
      </c>
      <c r="G2295" s="1999" t="s">
        <v>6783</v>
      </c>
      <c r="H2295" s="1794">
        <v>0</v>
      </c>
      <c r="I2295" s="1794">
        <v>0</v>
      </c>
      <c r="J2295" s="2000">
        <v>0</v>
      </c>
      <c r="K2295" s="1798"/>
      <c r="L2295" s="1792">
        <v>13315960200</v>
      </c>
      <c r="M2295" s="1793">
        <v>0</v>
      </c>
      <c r="N2295" s="1793">
        <v>0</v>
      </c>
      <c r="O2295" s="1794">
        <v>0</v>
      </c>
    </row>
    <row r="2296" spans="3:15">
      <c r="C2296" s="1799" t="s">
        <v>6784</v>
      </c>
      <c r="D2296" s="1796">
        <v>0</v>
      </c>
      <c r="E2296" s="1796">
        <v>0</v>
      </c>
      <c r="F2296" s="1797">
        <v>0</v>
      </c>
      <c r="G2296" s="1999" t="s">
        <v>6784</v>
      </c>
      <c r="H2296" s="1794">
        <v>0</v>
      </c>
      <c r="I2296" s="1794">
        <v>0</v>
      </c>
      <c r="J2296" s="2000">
        <v>0</v>
      </c>
      <c r="K2296" s="1798"/>
      <c r="L2296" s="1792">
        <v>13315960300</v>
      </c>
      <c r="M2296" s="1793">
        <v>0</v>
      </c>
      <c r="N2296" s="1793">
        <v>0</v>
      </c>
      <c r="O2296" s="1794">
        <v>0</v>
      </c>
    </row>
    <row r="2297" spans="3:15">
      <c r="C2297" s="1799" t="s">
        <v>6785</v>
      </c>
      <c r="D2297" s="1796">
        <v>0</v>
      </c>
      <c r="E2297" s="1796">
        <v>0</v>
      </c>
      <c r="F2297" s="1797">
        <v>0</v>
      </c>
      <c r="G2297" s="1999" t="s">
        <v>6785</v>
      </c>
      <c r="H2297" s="1794">
        <v>0</v>
      </c>
      <c r="I2297" s="1794">
        <v>0</v>
      </c>
      <c r="J2297" s="2000">
        <v>0</v>
      </c>
      <c r="K2297" s="1798"/>
      <c r="L2297" s="1792">
        <v>13315960400</v>
      </c>
      <c r="M2297" s="1793">
        <v>0</v>
      </c>
      <c r="N2297" s="1793">
        <v>0</v>
      </c>
      <c r="O2297" s="1794">
        <v>0</v>
      </c>
    </row>
    <row r="2298" spans="3:15">
      <c r="C2298" s="1799" t="s">
        <v>6786</v>
      </c>
      <c r="D2298" s="1796">
        <v>0</v>
      </c>
      <c r="E2298" s="1796">
        <v>0</v>
      </c>
      <c r="F2298" s="1797">
        <v>0</v>
      </c>
      <c r="G2298" s="1999" t="s">
        <v>6786</v>
      </c>
      <c r="H2298" s="1794">
        <v>0</v>
      </c>
      <c r="I2298" s="1794">
        <v>1</v>
      </c>
      <c r="J2298" s="2000">
        <v>1</v>
      </c>
      <c r="K2298" s="1798"/>
      <c r="L2298" s="1792">
        <v>13317010101</v>
      </c>
      <c r="M2298" s="1793">
        <v>0</v>
      </c>
      <c r="N2298" s="1793">
        <v>1</v>
      </c>
      <c r="O2298" s="1794">
        <v>1</v>
      </c>
    </row>
    <row r="2299" spans="3:15">
      <c r="C2299" s="1799" t="s">
        <v>6787</v>
      </c>
      <c r="D2299" s="1796">
        <v>0</v>
      </c>
      <c r="E2299" s="1796">
        <v>0</v>
      </c>
      <c r="F2299" s="1797">
        <v>0</v>
      </c>
      <c r="G2299" s="1999" t="s">
        <v>6787</v>
      </c>
      <c r="H2299" s="1794">
        <v>0</v>
      </c>
      <c r="I2299" s="1794">
        <v>0</v>
      </c>
      <c r="J2299" s="2000">
        <v>0</v>
      </c>
      <c r="K2299" s="1798"/>
      <c r="L2299" s="1792">
        <v>13317010102</v>
      </c>
      <c r="M2299" s="1793">
        <v>0</v>
      </c>
      <c r="N2299" s="1793">
        <v>0</v>
      </c>
      <c r="O2299" s="1794">
        <v>0</v>
      </c>
    </row>
    <row r="2300" spans="3:15">
      <c r="C2300" s="1799" t="s">
        <v>6788</v>
      </c>
      <c r="D2300" s="1796">
        <v>1</v>
      </c>
      <c r="E2300" s="1796">
        <v>0</v>
      </c>
      <c r="F2300" s="1797">
        <v>1</v>
      </c>
      <c r="G2300" s="1999" t="s">
        <v>6788</v>
      </c>
      <c r="H2300" s="1794">
        <v>0</v>
      </c>
      <c r="I2300" s="1794">
        <v>0</v>
      </c>
      <c r="J2300" s="2000">
        <v>0</v>
      </c>
      <c r="K2300" s="1798"/>
      <c r="L2300" s="1792">
        <v>13317010301</v>
      </c>
      <c r="M2300" s="1793">
        <v>1</v>
      </c>
      <c r="N2300" s="1793">
        <v>0</v>
      </c>
      <c r="O2300" s="1794">
        <v>1</v>
      </c>
    </row>
    <row r="2301" spans="3:15">
      <c r="C2301" s="1799" t="s">
        <v>6789</v>
      </c>
      <c r="D2301" s="1796">
        <v>0</v>
      </c>
      <c r="E2301" s="1796">
        <v>0</v>
      </c>
      <c r="F2301" s="1797">
        <v>0</v>
      </c>
      <c r="G2301" s="1999" t="s">
        <v>6789</v>
      </c>
      <c r="H2301" s="1794">
        <v>0</v>
      </c>
      <c r="I2301" s="1794">
        <v>0</v>
      </c>
      <c r="J2301" s="2000">
        <v>0</v>
      </c>
      <c r="K2301" s="1798"/>
      <c r="L2301" s="1792">
        <v>13317010302</v>
      </c>
      <c r="M2301" s="1793">
        <v>0</v>
      </c>
      <c r="N2301" s="1793">
        <v>0</v>
      </c>
      <c r="O2301" s="1794">
        <v>0</v>
      </c>
    </row>
    <row r="2302" spans="3:15">
      <c r="C2302" s="1799" t="s">
        <v>6790</v>
      </c>
      <c r="D2302" s="1796">
        <v>0</v>
      </c>
      <c r="E2302" s="1796">
        <v>0</v>
      </c>
      <c r="F2302" s="1797">
        <v>0</v>
      </c>
      <c r="G2302" s="1999" t="s">
        <v>6790</v>
      </c>
      <c r="H2302" s="1794">
        <v>0</v>
      </c>
      <c r="I2302" s="1794">
        <v>0</v>
      </c>
      <c r="J2302" s="2000">
        <v>0</v>
      </c>
      <c r="K2302" s="1798"/>
      <c r="L2302" s="1792">
        <v>13319960200</v>
      </c>
      <c r="M2302" s="1793">
        <v>0</v>
      </c>
      <c r="N2302" s="1793">
        <v>0</v>
      </c>
      <c r="O2302" s="1794">
        <v>0</v>
      </c>
    </row>
    <row r="2303" spans="3:15">
      <c r="C2303" s="1799" t="s">
        <v>6791</v>
      </c>
      <c r="D2303" s="1796">
        <v>0</v>
      </c>
      <c r="E2303" s="1796">
        <v>0</v>
      </c>
      <c r="F2303" s="1797">
        <v>0</v>
      </c>
      <c r="G2303" s="1999" t="s">
        <v>6791</v>
      </c>
      <c r="H2303" s="1794">
        <v>0</v>
      </c>
      <c r="I2303" s="1794">
        <v>1</v>
      </c>
      <c r="J2303" s="2000">
        <v>1</v>
      </c>
      <c r="K2303" s="1798"/>
      <c r="L2303" s="1792">
        <v>13319960300</v>
      </c>
      <c r="M2303" s="1793">
        <v>0</v>
      </c>
      <c r="N2303" s="1793">
        <v>1</v>
      </c>
      <c r="O2303" s="1794">
        <v>1</v>
      </c>
    </row>
    <row r="2304" spans="3:15">
      <c r="C2304" s="1799" t="s">
        <v>6792</v>
      </c>
      <c r="D2304" s="1796">
        <v>0</v>
      </c>
      <c r="E2304" s="1796">
        <v>0</v>
      </c>
      <c r="F2304" s="1797">
        <v>0</v>
      </c>
      <c r="G2304" s="1999" t="s">
        <v>6792</v>
      </c>
      <c r="H2304" s="1794">
        <v>0</v>
      </c>
      <c r="I2304" s="1794">
        <v>0</v>
      </c>
      <c r="J2304" s="2000">
        <v>0</v>
      </c>
      <c r="K2304" s="1798"/>
      <c r="L2304" s="1792">
        <v>13319960400</v>
      </c>
      <c r="M2304" s="1793">
        <v>0</v>
      </c>
      <c r="N2304" s="1793">
        <v>0</v>
      </c>
      <c r="O2304" s="1794">
        <v>0</v>
      </c>
    </row>
    <row r="2305" spans="3:15">
      <c r="C2305" s="1799" t="s">
        <v>6793</v>
      </c>
      <c r="D2305" s="1796">
        <v>0</v>
      </c>
      <c r="E2305" s="1796">
        <v>0</v>
      </c>
      <c r="F2305" s="1797">
        <v>0</v>
      </c>
      <c r="G2305" s="1999" t="s">
        <v>6793</v>
      </c>
      <c r="H2305" s="1794">
        <v>0</v>
      </c>
      <c r="I2305" s="1794">
        <v>0</v>
      </c>
      <c r="J2305" s="2000">
        <v>0</v>
      </c>
      <c r="K2305" s="1798"/>
      <c r="L2305" s="1792">
        <v>13321950100</v>
      </c>
      <c r="M2305" s="1793">
        <v>0</v>
      </c>
      <c r="N2305" s="1793">
        <v>0</v>
      </c>
      <c r="O2305" s="1794">
        <v>0</v>
      </c>
    </row>
    <row r="2306" spans="3:15">
      <c r="C2306" s="1799" t="s">
        <v>6794</v>
      </c>
      <c r="D2306" s="1796">
        <v>0</v>
      </c>
      <c r="E2306" s="1796">
        <v>0</v>
      </c>
      <c r="F2306" s="1797">
        <v>0</v>
      </c>
      <c r="G2306" s="1999" t="s">
        <v>6794</v>
      </c>
      <c r="H2306" s="1794">
        <v>0</v>
      </c>
      <c r="I2306" s="1794">
        <v>0</v>
      </c>
      <c r="J2306" s="2000">
        <v>0</v>
      </c>
      <c r="K2306" s="1798"/>
      <c r="L2306" s="1792">
        <v>13321950200</v>
      </c>
      <c r="M2306" s="1793">
        <v>0</v>
      </c>
      <c r="N2306" s="1793">
        <v>0</v>
      </c>
      <c r="O2306" s="1794">
        <v>0</v>
      </c>
    </row>
    <row r="2307" spans="3:15">
      <c r="C2307" s="1799" t="s">
        <v>6795</v>
      </c>
      <c r="D2307" s="1796">
        <v>0</v>
      </c>
      <c r="E2307" s="1796">
        <v>0</v>
      </c>
      <c r="F2307" s="1797">
        <v>0</v>
      </c>
      <c r="G2307" s="1999" t="s">
        <v>6795</v>
      </c>
      <c r="H2307" s="1794">
        <v>0</v>
      </c>
      <c r="I2307" s="1794">
        <v>0</v>
      </c>
      <c r="J2307" s="2000">
        <v>0</v>
      </c>
      <c r="K2307" s="1798"/>
      <c r="L2307" s="1792">
        <v>13321950400</v>
      </c>
      <c r="M2307" s="1793">
        <v>0</v>
      </c>
      <c r="N2307" s="1793">
        <v>0</v>
      </c>
      <c r="O2307" s="1794">
        <v>0</v>
      </c>
    </row>
    <row r="2308" spans="3:15">
      <c r="C2308" s="1799" t="s">
        <v>6796</v>
      </c>
      <c r="D2308" s="1796">
        <v>0</v>
      </c>
      <c r="E2308" s="1796">
        <v>0</v>
      </c>
      <c r="F2308" s="1797">
        <v>0</v>
      </c>
      <c r="G2308" s="1999" t="s">
        <v>6796</v>
      </c>
      <c r="H2308" s="1794">
        <v>0</v>
      </c>
      <c r="I2308" s="1794">
        <v>0</v>
      </c>
      <c r="J2308" s="2000">
        <v>0</v>
      </c>
      <c r="K2308" s="1798"/>
      <c r="L2308" s="1792">
        <v>13321950500</v>
      </c>
      <c r="M2308" s="1793">
        <v>0</v>
      </c>
      <c r="N2308" s="1793">
        <v>0</v>
      </c>
      <c r="O2308" s="1794">
        <v>0</v>
      </c>
    </row>
    <row r="2309" spans="3:15">
      <c r="C2309" s="1800" t="s">
        <v>6797</v>
      </c>
      <c r="D2309" s="1801">
        <v>0</v>
      </c>
      <c r="E2309" s="1801">
        <v>0</v>
      </c>
      <c r="F2309" s="1802">
        <v>0</v>
      </c>
      <c r="G2309" s="2001" t="s">
        <v>6797</v>
      </c>
      <c r="H2309" s="2002">
        <v>1</v>
      </c>
      <c r="I2309" s="2002">
        <v>0</v>
      </c>
      <c r="J2309" s="2003">
        <v>1</v>
      </c>
      <c r="K2309" s="1798"/>
      <c r="L2309" s="1792">
        <v>13321950600</v>
      </c>
      <c r="M2309" s="1793">
        <v>1</v>
      </c>
      <c r="N2309" s="1793">
        <v>0</v>
      </c>
      <c r="O2309" s="1794">
        <v>1</v>
      </c>
    </row>
  </sheetData>
  <sheetProtection algorithmName="SHA-512" hashValue="nbOcpUjbn050nBnoOJXBea0oz4PSGoUzf/CaSW+ohoVuInrRnWSRuqBxdcs3cJ1FLoNFpBv0liI9HmJ5M8Hvbw==" saltValue="5614Mdh7oCyEqeTd7fVLog=="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workbookViewId="0">
      <selection activeCell="A1244" sqref="A1:XFD1048576"/>
    </sheetView>
  </sheetViews>
  <sheetFormatPr defaultColWidth="8.88671875" defaultRowHeight="13.2"/>
  <cols>
    <col min="1" max="5" width="9" style="1995" bestFit="1" customWidth="1"/>
    <col min="6" max="7" width="9.33203125" style="1995" bestFit="1" customWidth="1"/>
    <col min="8" max="8" width="12.3320312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3320312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957</v>
      </c>
    </row>
    <row r="2" spans="1:6" ht="13.8">
      <c r="A2" s="1818" t="str">
        <f>'Part I-Project Information'!F34</f>
        <v>Spring Creek Crossing</v>
      </c>
    </row>
    <row r="3" spans="1:6" ht="13.8">
      <c r="A3" s="1818" t="str">
        <f>CONCATENATE('Part I-Project Information'!F38,", ", 'Part I-Project Information'!J39," County")</f>
        <v>Montezuma, Macon County</v>
      </c>
    </row>
    <row r="5" spans="1:6" ht="13.2" customHeight="1">
      <c r="A5" s="1844" t="str">
        <f>'Project Narrative'!A5</f>
        <v xml:space="preserve">Spring Creek Crossing is a proposed 50-unit development consisting of 10 one-bedroom units, 20 two-bedroom units and 20 three bedroom units in a new construction townhome style community. The development is intended for family residency and all of the units will be restricted to a resident base for households at or below 50%, 60% and 70% of the AMI. 
This proposed development will meet the demand for affordable Family Housing, and will have many design features, services, and amenities for family households. It will achieve a number of valuable goals and benefits for the community, and for potential residents. Spring Creek Crossing will be an EarthCraft Community.
This proposed site is in close proximity to community amenities, including Piggly Wiggly Supermarket, Preston Williams Recreation Center as well as restaurants and retail shops. It is also within two miles of Macon County High School, banks and a post office.
At The Bennett Group, our mission is to provide happy, healthy, and sustainable communities. Building communities is more than just providing shelter, it’s creating a home. It is our focus and purpose to bring affordable housing solutions to communities around the country, and by doing that we impact each community for the better. We bring people home… and that’s a good thing. Fred Bennett is founder of Bennett &amp; Company, LLC, and co-founder of the Bennett Group, LLC. Fred’s career in affordable housing spans more than 50 years. He has worked with development partners and a wide variety of non-profit groups to develop 85 properties in six states. This has included more than 5,000 units based upon HUD, USDA, tax credit, HOME, and conventional lending programs. His goal has been, and is, to build partnerships, relationships and community--as well as quality housing. Our experience and dedication to affordable housing will serve the families and community of Byron with a high quality, affordable community with amenities and programs designed to improve the quality of life and create a place the residents are proud to call home. 
The Bennett Group received a qualification determination of Qualified in the performance workbook pre-application. No changes in the site or project team have occurred since the pre-application submission.    </v>
      </c>
      <c r="B5" s="1973" t="s">
        <v>4457</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4094</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2303</v>
      </c>
      <c r="C30" s="1819"/>
      <c r="D30" s="1819"/>
      <c r="E30" s="1819"/>
      <c r="F30" s="1821"/>
      <c r="G30" s="1820" t="s">
        <v>6915</v>
      </c>
      <c r="H30" s="1819"/>
      <c r="I30" s="1819"/>
      <c r="J30" s="1819"/>
      <c r="K30" s="1819"/>
      <c r="L30" s="1821"/>
      <c r="M30" s="1819"/>
      <c r="N30" s="1819"/>
      <c r="O30" s="1819"/>
      <c r="P30" s="1826" t="s">
        <v>3647</v>
      </c>
      <c r="Q30" s="1819"/>
      <c r="R30" s="1819"/>
      <c r="S30" s="1819"/>
      <c r="T30" s="1819"/>
      <c r="U30" s="1819"/>
    </row>
    <row r="31" spans="1:21" ht="13.95" customHeight="1">
      <c r="A31" s="1819"/>
      <c r="B31" s="2061" t="str">
        <f>'Part I-Project Information'!B6</f>
        <v>May 26, 2020 Version</v>
      </c>
      <c r="C31" s="2062"/>
      <c r="D31" s="2062"/>
      <c r="E31" s="1815"/>
      <c r="F31" s="1821"/>
      <c r="G31" s="1820" t="s">
        <v>6916</v>
      </c>
      <c r="H31" s="1821"/>
      <c r="I31" s="1821"/>
      <c r="J31" s="1821"/>
      <c r="K31" s="1819"/>
      <c r="L31" s="1819"/>
      <c r="M31" s="1819"/>
      <c r="N31" s="1819"/>
      <c r="O31" s="1819" t="str">
        <f>'Part I-Project Information'!O6</f>
        <v>2020-079</v>
      </c>
      <c r="P31" s="1819"/>
      <c r="Q31" s="1819"/>
      <c r="R31" s="1819"/>
      <c r="S31" s="1819"/>
      <c r="T31" s="1819"/>
      <c r="U31" s="1819"/>
    </row>
    <row r="32" spans="1:21" ht="13.95" customHeight="1">
      <c r="A32" s="1819"/>
      <c r="B32" s="2062"/>
      <c r="C32" s="2062"/>
      <c r="D32" s="2062"/>
      <c r="E32" s="1815"/>
      <c r="F32" s="1819"/>
      <c r="G32" s="1822" t="s">
        <v>3211</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2314</v>
      </c>
      <c r="C34" s="1819"/>
      <c r="D34" s="1827"/>
      <c r="E34" s="1821"/>
      <c r="F34" s="1823" t="s">
        <v>3603</v>
      </c>
      <c r="G34" s="1819"/>
      <c r="H34" s="1819"/>
      <c r="I34" s="1824">
        <f>'Part IV-A-Uses of Funds'!$J$184</f>
        <v>900000</v>
      </c>
      <c r="J34" s="1824"/>
      <c r="K34" s="1819"/>
      <c r="L34" s="1819" t="s">
        <v>3604</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1991</v>
      </c>
      <c r="C36" s="1819"/>
      <c r="D36" s="1819"/>
      <c r="E36" s="1819"/>
      <c r="F36" s="1849" t="str">
        <f>'Part I-Project Information'!F11</f>
        <v>9% Credit Competitive Round only</v>
      </c>
      <c r="G36" s="1849"/>
      <c r="H36" s="1849"/>
      <c r="I36" s="2186" t="s">
        <v>3534</v>
      </c>
      <c r="J36" s="1819" t="s">
        <v>6961</v>
      </c>
      <c r="K36" s="1819"/>
      <c r="L36" s="1821"/>
      <c r="M36" s="1819"/>
      <c r="N36" s="1819"/>
      <c r="O36" s="1819" t="str">
        <f>'Part I-Project Information'!O11</f>
        <v>2020PA-053</v>
      </c>
      <c r="P36" s="1819"/>
      <c r="Q36" s="1819"/>
      <c r="R36" s="1819"/>
      <c r="S36" s="1819"/>
      <c r="T36" s="1819"/>
      <c r="U36" s="1819"/>
    </row>
    <row r="37" spans="1:21" ht="13.8">
      <c r="A37" s="1821"/>
      <c r="B37" s="1827"/>
      <c r="C37" s="1827"/>
      <c r="D37" s="1827"/>
      <c r="E37" s="1827"/>
      <c r="F37" s="1819"/>
      <c r="G37" s="1819"/>
      <c r="H37" s="1821"/>
      <c r="I37" s="1819"/>
      <c r="J37" s="1820" t="s">
        <v>6846</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4815</v>
      </c>
      <c r="C39" s="1827"/>
      <c r="D39" s="1827"/>
      <c r="E39" s="1827"/>
      <c r="F39" s="1861" t="str">
        <f>'Part I-Project Information'!F14</f>
        <v>No</v>
      </c>
      <c r="G39" s="1823" t="s">
        <v>4816</v>
      </c>
      <c r="H39" s="1819"/>
      <c r="I39" s="1819"/>
      <c r="J39" s="1819"/>
      <c r="K39" s="1819"/>
      <c r="L39" s="1819"/>
      <c r="M39" s="1819"/>
      <c r="N39" s="1849">
        <f>'Part I-Project Information'!N14</f>
        <v>0</v>
      </c>
      <c r="O39" s="1849"/>
      <c r="P39" s="1849"/>
      <c r="Q39" s="1819"/>
      <c r="R39" s="1819"/>
      <c r="S39" s="1819"/>
      <c r="T39" s="1819"/>
      <c r="U39" s="1819"/>
    </row>
    <row r="40" spans="1:21" ht="13.8">
      <c r="A40" s="1821"/>
      <c r="B40" s="1819" t="s">
        <v>4798</v>
      </c>
      <c r="C40" s="1819"/>
      <c r="D40" s="1819"/>
      <c r="E40" s="1819"/>
      <c r="F40" s="1965">
        <f>'Part I-Project Information'!F15</f>
        <v>0</v>
      </c>
      <c r="G40" s="1965"/>
      <c r="H40" s="1965"/>
      <c r="I40" s="1965"/>
      <c r="J40" s="1819" t="s">
        <v>4512</v>
      </c>
      <c r="K40" s="1819"/>
      <c r="L40" s="1819">
        <f>'Part I-Project Information'!L15</f>
        <v>0</v>
      </c>
      <c r="M40" s="1819"/>
      <c r="N40" s="1819" t="s">
        <v>4511</v>
      </c>
      <c r="O40" s="1819"/>
      <c r="P40" s="1832">
        <f>'Part I-Project Information'!P15</f>
        <v>0</v>
      </c>
      <c r="Q40" s="1819"/>
      <c r="R40" s="1819"/>
      <c r="S40" s="1819"/>
      <c r="T40" s="1819"/>
      <c r="U40" s="1819"/>
    </row>
    <row r="41" spans="1:21" ht="13.8">
      <c r="A41" s="1821"/>
      <c r="B41" s="1819" t="s">
        <v>3602</v>
      </c>
      <c r="C41" s="1819"/>
      <c r="D41" s="1819"/>
      <c r="E41" s="1819"/>
      <c r="F41" s="1861">
        <f>'Part I-Project Information'!F16</f>
        <v>0</v>
      </c>
      <c r="G41" s="1819" t="s">
        <v>4450</v>
      </c>
      <c r="H41" s="1821"/>
      <c r="I41" s="1822"/>
      <c r="J41" s="1823"/>
      <c r="K41" s="1819"/>
      <c r="L41" s="1819"/>
      <c r="M41" s="1819"/>
      <c r="N41" s="1849">
        <f>'Part I-Project Information'!N16</f>
        <v>0</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4113</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3654</v>
      </c>
      <c r="C45" s="1819"/>
      <c r="D45" s="1819"/>
      <c r="E45" s="1819"/>
      <c r="F45" s="1819" t="str">
        <f>'Part I-Project Information'!F20</f>
        <v>Bennett &amp; Company, LLC</v>
      </c>
      <c r="G45" s="1819"/>
      <c r="H45" s="1819"/>
      <c r="I45" s="1819" t="s">
        <v>1753</v>
      </c>
      <c r="J45" s="1819" t="str">
        <f>'Part I-Project Information'!J20</f>
        <v>Fred Bennett</v>
      </c>
      <c r="K45" s="1819"/>
      <c r="L45" s="1819"/>
      <c r="M45" s="1823" t="s">
        <v>1932</v>
      </c>
      <c r="N45" s="1819" t="str">
        <f>'Part I-Project Information'!N20</f>
        <v>Managing Partner</v>
      </c>
      <c r="O45" s="1819"/>
      <c r="P45" s="1819"/>
      <c r="Q45" s="1819"/>
      <c r="R45" s="1819"/>
      <c r="S45" s="1819"/>
      <c r="T45" s="1819"/>
      <c r="U45" s="1819"/>
    </row>
    <row r="46" spans="1:21" ht="13.95" customHeight="1">
      <c r="A46" s="1819"/>
      <c r="B46" s="1823" t="s">
        <v>1933</v>
      </c>
      <c r="C46" s="1819"/>
      <c r="D46" s="1819"/>
      <c r="E46" s="1819"/>
      <c r="F46" s="1819" t="str">
        <f>'Part I-Project Information'!F21</f>
        <v>730 N. Dean Road, Suite 100</v>
      </c>
      <c r="G46" s="1819"/>
      <c r="H46" s="1819"/>
      <c r="I46" s="1819"/>
      <c r="J46" s="1819"/>
      <c r="K46" s="1819"/>
      <c r="L46" s="1819"/>
      <c r="M46" s="1849" t="s">
        <v>3653</v>
      </c>
      <c r="N46" s="1849"/>
      <c r="O46" s="1849"/>
      <c r="P46" s="1849"/>
      <c r="Q46" s="1819"/>
      <c r="R46" s="1819"/>
      <c r="S46" s="1819"/>
      <c r="T46" s="1819"/>
      <c r="U46" s="1819"/>
    </row>
    <row r="47" spans="1:21" ht="13.8">
      <c r="A47" s="1819"/>
      <c r="B47" s="1823" t="s">
        <v>600</v>
      </c>
      <c r="C47" s="1819"/>
      <c r="D47" s="1819"/>
      <c r="E47" s="1819"/>
      <c r="F47" s="1819" t="str">
        <f>'Part I-Project Information'!F22</f>
        <v>Auburn</v>
      </c>
      <c r="G47" s="1819"/>
      <c r="H47" s="1819"/>
      <c r="I47" s="1823" t="s">
        <v>1754</v>
      </c>
      <c r="J47" s="1838" t="str">
        <f>'Part I-Project Information'!J22</f>
        <v>AL</v>
      </c>
      <c r="K47" s="1819"/>
      <c r="L47" s="1819"/>
      <c r="M47" s="1849"/>
      <c r="N47" s="1849"/>
      <c r="O47" s="1849"/>
      <c r="P47" s="1849"/>
      <c r="Q47" s="1819"/>
      <c r="R47" s="1819"/>
      <c r="S47" s="1819"/>
      <c r="T47" s="1819"/>
      <c r="U47" s="1819"/>
    </row>
    <row r="48" spans="1:21" ht="13.8">
      <c r="A48" s="1819"/>
      <c r="B48" s="1823" t="s">
        <v>2172</v>
      </c>
      <c r="C48" s="1819"/>
      <c r="D48" s="1819"/>
      <c r="E48" s="1819"/>
      <c r="F48" s="2187">
        <f>'Part I-Project Information'!F23</f>
        <v>368304303</v>
      </c>
      <c r="G48" s="2187"/>
      <c r="H48" s="2187"/>
      <c r="I48" s="1823" t="s">
        <v>1678</v>
      </c>
      <c r="J48" s="2188">
        <f>'Part I-Project Information'!J23</f>
        <v>3343210529</v>
      </c>
      <c r="K48" s="2188"/>
      <c r="L48" s="1821" t="s">
        <v>1677</v>
      </c>
      <c r="M48" s="1821">
        <f>'Part I-Project Information'!M23</f>
        <v>0</v>
      </c>
      <c r="N48" s="1823" t="s">
        <v>1679</v>
      </c>
      <c r="O48" s="2188">
        <f>'Part I-Project Information'!O23</f>
        <v>3343210529</v>
      </c>
      <c r="P48" s="2188"/>
      <c r="Q48" s="1819"/>
      <c r="R48" s="1819"/>
      <c r="S48" s="1819"/>
      <c r="T48" s="1819"/>
      <c r="U48" s="1819"/>
    </row>
    <row r="49" spans="1:21" ht="13.8">
      <c r="A49" s="1819"/>
      <c r="B49" s="1823" t="s">
        <v>1936</v>
      </c>
      <c r="C49" s="1819"/>
      <c r="D49" s="1819"/>
      <c r="E49" s="1819"/>
      <c r="F49" s="1819" t="str">
        <f>'Part I-Project Information'!F24</f>
        <v>fred@thebennettgrp.net</v>
      </c>
      <c r="G49" s="1819"/>
      <c r="H49" s="1819"/>
      <c r="I49" s="1819"/>
      <c r="J49" s="1819"/>
      <c r="K49" s="1819"/>
      <c r="L49" s="1819"/>
      <c r="M49" s="1819"/>
      <c r="N49" s="1823" t="s">
        <v>1931</v>
      </c>
      <c r="O49" s="2188">
        <f>'Part I-Project Information'!O24</f>
        <v>3344440967</v>
      </c>
      <c r="P49" s="2188"/>
      <c r="Q49" s="1819"/>
      <c r="R49" s="1819"/>
      <c r="S49" s="1819"/>
      <c r="T49" s="1819"/>
      <c r="U49" s="1819"/>
    </row>
    <row r="50" spans="1:21" ht="13.8">
      <c r="A50" s="1821"/>
      <c r="B50" s="1819" t="s">
        <v>4112</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3654</v>
      </c>
      <c r="C51" s="1819"/>
      <c r="D51" s="1819"/>
      <c r="E51" s="1819"/>
      <c r="F51" s="1819">
        <f>'Part I-Project Information'!F26</f>
        <v>0</v>
      </c>
      <c r="G51" s="1819"/>
      <c r="H51" s="1819"/>
      <c r="I51" s="1819" t="s">
        <v>1753</v>
      </c>
      <c r="J51" s="1819">
        <f>'Part I-Project Information'!J26</f>
        <v>0</v>
      </c>
      <c r="K51" s="1819"/>
      <c r="L51" s="1819"/>
      <c r="M51" s="1823" t="s">
        <v>1932</v>
      </c>
      <c r="N51" s="1819">
        <f>'Part I-Project Information'!N26</f>
        <v>0</v>
      </c>
      <c r="O51" s="1819"/>
      <c r="P51" s="1819"/>
      <c r="Q51" s="1819"/>
      <c r="R51" s="1819"/>
      <c r="S51" s="1819"/>
      <c r="T51" s="1819"/>
      <c r="U51" s="1819"/>
    </row>
    <row r="52" spans="1:21" ht="13.95" customHeight="1">
      <c r="A52" s="1819"/>
      <c r="B52" s="1823" t="s">
        <v>1933</v>
      </c>
      <c r="C52" s="1819"/>
      <c r="D52" s="1819"/>
      <c r="E52" s="1819"/>
      <c r="F52" s="1819">
        <f>'Part I-Project Information'!F27</f>
        <v>0</v>
      </c>
      <c r="G52" s="1819"/>
      <c r="H52" s="1819"/>
      <c r="I52" s="1819"/>
      <c r="J52" s="1819"/>
      <c r="K52" s="1819"/>
      <c r="L52" s="1819"/>
      <c r="M52" s="1849" t="s">
        <v>3653</v>
      </c>
      <c r="N52" s="1849"/>
      <c r="O52" s="1849"/>
      <c r="P52" s="1849"/>
      <c r="Q52" s="1819"/>
      <c r="R52" s="1819"/>
      <c r="S52" s="1819"/>
      <c r="T52" s="1819"/>
      <c r="U52" s="1819"/>
    </row>
    <row r="53" spans="1:21" ht="13.8">
      <c r="A53" s="1819"/>
      <c r="B53" s="1823" t="s">
        <v>600</v>
      </c>
      <c r="C53" s="1819"/>
      <c r="D53" s="1819"/>
      <c r="E53" s="1819"/>
      <c r="F53" s="1819">
        <f>'Part I-Project Information'!F28</f>
        <v>0</v>
      </c>
      <c r="G53" s="1819"/>
      <c r="H53" s="1819"/>
      <c r="I53" s="1823" t="s">
        <v>1754</v>
      </c>
      <c r="J53" s="1838">
        <f>'Part I-Project Information'!J28</f>
        <v>0</v>
      </c>
      <c r="K53" s="1819"/>
      <c r="L53" s="1819"/>
      <c r="M53" s="1849"/>
      <c r="N53" s="1849"/>
      <c r="O53" s="1849"/>
      <c r="P53" s="1849"/>
      <c r="Q53" s="1819"/>
      <c r="R53" s="1819"/>
      <c r="S53" s="1819"/>
      <c r="T53" s="1819"/>
      <c r="U53" s="1819"/>
    </row>
    <row r="54" spans="1:21" ht="13.8">
      <c r="A54" s="1819"/>
      <c r="B54" s="1823" t="s">
        <v>2172</v>
      </c>
      <c r="C54" s="1819"/>
      <c r="D54" s="1819"/>
      <c r="E54" s="1819"/>
      <c r="F54" s="2187">
        <f>'Part I-Project Information'!F29</f>
        <v>0</v>
      </c>
      <c r="G54" s="2187"/>
      <c r="H54" s="2187"/>
      <c r="I54" s="1823" t="s">
        <v>1678</v>
      </c>
      <c r="J54" s="2188">
        <f>'Part I-Project Information'!J29</f>
        <v>0</v>
      </c>
      <c r="K54" s="2188"/>
      <c r="L54" s="1821" t="s">
        <v>1677</v>
      </c>
      <c r="M54" s="1821">
        <f>'Part I-Project Information'!M29</f>
        <v>0</v>
      </c>
      <c r="N54" s="1823" t="s">
        <v>1679</v>
      </c>
      <c r="O54" s="2188">
        <f>'Part I-Project Information'!O29</f>
        <v>0</v>
      </c>
      <c r="P54" s="2188"/>
      <c r="Q54" s="1819"/>
      <c r="R54" s="1819"/>
      <c r="S54" s="1819"/>
      <c r="T54" s="1819"/>
      <c r="U54" s="1819"/>
    </row>
    <row r="55" spans="1:21" ht="13.8">
      <c r="A55" s="1819"/>
      <c r="B55" s="1823" t="s">
        <v>1936</v>
      </c>
      <c r="C55" s="1819"/>
      <c r="D55" s="1819"/>
      <c r="E55" s="1819"/>
      <c r="F55" s="1819">
        <f>'Part I-Project Information'!F30</f>
        <v>0</v>
      </c>
      <c r="G55" s="1819"/>
      <c r="H55" s="1819"/>
      <c r="I55" s="1819"/>
      <c r="J55" s="1819"/>
      <c r="K55" s="1819"/>
      <c r="L55" s="1819"/>
      <c r="M55" s="1819"/>
      <c r="N55" s="1823" t="s">
        <v>1931</v>
      </c>
      <c r="O55" s="2188">
        <f>'Part I-Project Information'!O30</f>
        <v>0</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Spring Creek Crossing</v>
      </c>
      <c r="G59" s="1965"/>
      <c r="H59" s="1965"/>
      <c r="I59" s="1965"/>
      <c r="J59" s="1965"/>
      <c r="K59" s="1965"/>
      <c r="L59" s="1823" t="s">
        <v>2141</v>
      </c>
      <c r="M59" s="1819"/>
      <c r="N59" s="1819"/>
      <c r="O59" s="1819" t="str">
        <f>'Part I-Project Information'!O34</f>
        <v>No</v>
      </c>
      <c r="P59" s="1819"/>
      <c r="Q59" s="1819"/>
      <c r="R59" s="1819"/>
      <c r="S59" s="1819"/>
      <c r="T59" s="1819"/>
      <c r="U59" s="1819"/>
    </row>
    <row r="60" spans="1:21" ht="13.8">
      <c r="A60" s="1826"/>
      <c r="B60" s="1819" t="s">
        <v>2619</v>
      </c>
      <c r="C60" s="1819"/>
      <c r="D60" s="1826"/>
      <c r="E60" s="1819"/>
      <c r="F60" s="1965" t="str">
        <f>'Part I-Project Information'!F35</f>
        <v>Spaulding Road</v>
      </c>
      <c r="G60" s="1965"/>
      <c r="H60" s="1965"/>
      <c r="I60" s="1965"/>
      <c r="J60" s="1965"/>
      <c r="K60" s="1965"/>
      <c r="L60" s="1819" t="s">
        <v>3506</v>
      </c>
      <c r="M60" s="1819"/>
      <c r="N60" s="1819"/>
      <c r="O60" s="1819">
        <f>'Part I-Project Information'!O35</f>
        <v>0</v>
      </c>
      <c r="P60" s="1819"/>
      <c r="Q60" s="1819"/>
      <c r="R60" s="1819"/>
      <c r="S60" s="1819"/>
      <c r="T60" s="1819"/>
      <c r="U60" s="1819"/>
    </row>
    <row r="61" spans="1:21" ht="13.8">
      <c r="A61" s="1826"/>
      <c r="B61" s="1819" t="s">
        <v>6847</v>
      </c>
      <c r="C61" s="1819"/>
      <c r="D61" s="1826"/>
      <c r="E61" s="1819"/>
      <c r="F61" s="1965" t="str">
        <f>'Part I-Project Information'!F36</f>
        <v>616 Spaulding Road</v>
      </c>
      <c r="G61" s="1965"/>
      <c r="H61" s="1965"/>
      <c r="I61" s="1965"/>
      <c r="J61" s="1965"/>
      <c r="K61" s="1965"/>
      <c r="L61" s="1823" t="s">
        <v>2001</v>
      </c>
      <c r="M61" s="1819"/>
      <c r="N61" s="1821" t="str">
        <f>'Part I-Project Information'!N36</f>
        <v>No</v>
      </c>
      <c r="O61" s="1821" t="s">
        <v>3505</v>
      </c>
      <c r="P61" s="1821">
        <f>'Part I-Project Information'!P36</f>
        <v>1</v>
      </c>
      <c r="Q61" s="1819"/>
      <c r="R61" s="1819"/>
      <c r="S61" s="1819"/>
      <c r="T61" s="1819"/>
      <c r="U61" s="1819"/>
    </row>
    <row r="62" spans="1:21" ht="13.8">
      <c r="A62" s="1826"/>
      <c r="B62" s="1819" t="s">
        <v>3552</v>
      </c>
      <c r="C62" s="1819"/>
      <c r="D62" s="1826"/>
      <c r="E62" s="1819"/>
      <c r="F62" s="1819" t="s">
        <v>3535</v>
      </c>
      <c r="G62" s="2189">
        <f>'Part I-Project Information'!G37</f>
        <v>32.293562999999999</v>
      </c>
      <c r="H62" s="2189"/>
      <c r="I62" s="1821" t="s">
        <v>3536</v>
      </c>
      <c r="J62" s="2189">
        <f>'Part I-Project Information'!J37</f>
        <v>-84.016007999999999</v>
      </c>
      <c r="K62" s="2189"/>
      <c r="L62" s="1823" t="s">
        <v>2224</v>
      </c>
      <c r="M62" s="1819"/>
      <c r="N62" s="1819"/>
      <c r="O62" s="2190">
        <f>'Part I-Project Information'!O37</f>
        <v>7.81</v>
      </c>
      <c r="P62" s="2190"/>
      <c r="Q62" s="1819"/>
      <c r="R62" s="1819"/>
      <c r="S62" s="1819"/>
      <c r="T62" s="1819"/>
      <c r="U62" s="1819"/>
    </row>
    <row r="63" spans="1:21" ht="14.4">
      <c r="A63" s="1821"/>
      <c r="B63" s="1819" t="s">
        <v>600</v>
      </c>
      <c r="C63" s="1819"/>
      <c r="D63" s="1819"/>
      <c r="E63" s="1819"/>
      <c r="F63" s="1819" t="str">
        <f>'Part I-Project Information'!F38</f>
        <v>Montezuma</v>
      </c>
      <c r="G63" s="1819"/>
      <c r="H63" s="1819"/>
      <c r="I63" s="1829" t="s">
        <v>6962</v>
      </c>
      <c r="J63" s="2187">
        <f>'Part I-Project Information'!J38</f>
        <v>310631806</v>
      </c>
      <c r="K63" s="2187"/>
      <c r="L63" s="1819" t="str">
        <f>IF(AND(NOT(F59=""),NOT(F63="Select from list"),J63=""),"Enter Zip!","")</f>
        <v/>
      </c>
      <c r="M63" s="1830" t="s">
        <v>2801</v>
      </c>
      <c r="N63" s="1819"/>
      <c r="O63" s="2067" t="str">
        <f>'Part I-Project Information'!O38</f>
        <v>13193000400</v>
      </c>
      <c r="P63" s="1965"/>
      <c r="Q63" s="1819"/>
      <c r="R63" s="1819"/>
      <c r="S63" s="1819"/>
      <c r="T63" s="1819"/>
      <c r="U63" s="1819"/>
    </row>
    <row r="64" spans="1:21" ht="13.8">
      <c r="A64" s="1821"/>
      <c r="B64" s="1819" t="s">
        <v>4487</v>
      </c>
      <c r="C64" s="1819"/>
      <c r="D64" s="1819"/>
      <c r="E64" s="1819"/>
      <c r="F64" s="1819" t="str">
        <f>'Part I-Project Information'!F39</f>
        <v>City Limits</v>
      </c>
      <c r="G64" s="1819"/>
      <c r="H64" s="1819"/>
      <c r="I64" s="1831" t="s">
        <v>601</v>
      </c>
      <c r="J64" s="1965" t="str">
        <f>'Part I-Project Information'!J39</f>
        <v>Macon</v>
      </c>
      <c r="K64" s="1965"/>
      <c r="L64" s="1819"/>
      <c r="M64" s="1823" t="s">
        <v>442</v>
      </c>
      <c r="N64" s="1832" t="str">
        <f>'Part I-Project Information'!N39</f>
        <v>Yes</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2689</v>
      </c>
      <c r="H65" s="1819"/>
      <c r="I65" s="1821" t="str">
        <f>'Part I-Project Information'!I40</f>
        <v>Yes</v>
      </c>
      <c r="J65" s="1821" t="s">
        <v>2707</v>
      </c>
      <c r="K65" s="1821" t="str">
        <f>'Part I-Project Information'!K40</f>
        <v>Rural</v>
      </c>
      <c r="L65" s="1819"/>
      <c r="M65" s="1823" t="s">
        <v>2543</v>
      </c>
      <c r="N65" s="1821" t="str">
        <f>'Part I-Project Information'!N40</f>
        <v>Non-MSA</v>
      </c>
      <c r="O65" s="1819" t="str">
        <f>'Part I-Project Information'!O40</f>
        <v>Macon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6963</v>
      </c>
      <c r="D67" s="1819"/>
      <c r="E67" s="1819"/>
      <c r="F67" s="1827" t="s">
        <v>2672</v>
      </c>
      <c r="G67" s="1827"/>
      <c r="H67" s="1819" t="s">
        <v>718</v>
      </c>
      <c r="I67" s="1819"/>
      <c r="J67" s="1819" t="s">
        <v>719</v>
      </c>
      <c r="K67" s="1819"/>
      <c r="L67" s="1887" t="s">
        <v>6964</v>
      </c>
      <c r="M67" s="1819"/>
      <c r="N67" s="1819"/>
      <c r="O67" s="1819"/>
      <c r="P67" s="1819"/>
      <c r="Q67" s="1819"/>
      <c r="R67" s="1819"/>
      <c r="S67" s="1819"/>
      <c r="T67" s="1819"/>
      <c r="U67" s="1819"/>
    </row>
    <row r="68" spans="1:21" ht="13.8">
      <c r="A68" s="1821"/>
      <c r="B68" s="1819" t="s">
        <v>6848</v>
      </c>
      <c r="C68" s="1819"/>
      <c r="D68" s="1819"/>
      <c r="E68" s="1819"/>
      <c r="F68" s="2191">
        <f>'Part I-Project Information'!F43</f>
        <v>2</v>
      </c>
      <c r="G68" s="2191"/>
      <c r="H68" s="2191">
        <f>'Part I-Project Information'!H43</f>
        <v>15</v>
      </c>
      <c r="I68" s="2191"/>
      <c r="J68" s="2191">
        <f>'Part I-Project Information'!J43</f>
        <v>139</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2670</v>
      </c>
      <c r="M69" s="1819"/>
      <c r="N69" s="2064" t="s">
        <v>2669</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Montezuma</v>
      </c>
      <c r="G71" s="1882"/>
      <c r="H71" s="1882"/>
      <c r="I71" s="1882"/>
      <c r="J71" s="1882"/>
      <c r="K71" s="1882"/>
      <c r="L71" s="1833" t="s">
        <v>2624</v>
      </c>
      <c r="M71" s="1819" t="str">
        <f>'Part I-Project Information'!M46</f>
        <v>www.montezuma-ga.org</v>
      </c>
      <c r="N71" s="1819"/>
      <c r="O71" s="1819"/>
      <c r="P71" s="1819"/>
      <c r="Q71" s="1819"/>
      <c r="R71" s="1819"/>
      <c r="S71" s="1819"/>
      <c r="T71" s="1819"/>
      <c r="U71" s="1819"/>
    </row>
    <row r="72" spans="1:21" ht="13.8">
      <c r="A72" s="1821"/>
      <c r="B72" s="1819" t="s">
        <v>620</v>
      </c>
      <c r="C72" s="1819"/>
      <c r="D72" s="1819"/>
      <c r="E72" s="1819"/>
      <c r="F72" s="1882" t="str">
        <f>'Part I-Project Information'!F47</f>
        <v>Larry Smith</v>
      </c>
      <c r="G72" s="1882"/>
      <c r="H72" s="1882"/>
      <c r="I72" s="1821" t="s">
        <v>1932</v>
      </c>
      <c r="J72" s="1819" t="str">
        <f>'Part I-Project Information'!J47</f>
        <v>Mayor</v>
      </c>
      <c r="K72" s="1819"/>
      <c r="L72" s="1833"/>
      <c r="M72" s="1819"/>
      <c r="N72" s="1819"/>
      <c r="O72" s="1819"/>
      <c r="P72" s="1819"/>
      <c r="Q72" s="1819"/>
      <c r="R72" s="1819"/>
      <c r="S72" s="1819"/>
      <c r="T72" s="1819"/>
      <c r="U72" s="1819"/>
    </row>
    <row r="73" spans="1:21" ht="13.8">
      <c r="A73" s="1821"/>
      <c r="B73" s="1819" t="s">
        <v>1933</v>
      </c>
      <c r="C73" s="1819"/>
      <c r="D73" s="1819"/>
      <c r="E73" s="1819"/>
      <c r="F73" s="1882" t="str">
        <f>'Part I-Project Information'!F48</f>
        <v>P.O. Box 388</v>
      </c>
      <c r="G73" s="1882"/>
      <c r="H73" s="1882"/>
      <c r="I73" s="1882"/>
      <c r="J73" s="1882"/>
      <c r="K73" s="1882"/>
      <c r="L73" s="1823" t="s">
        <v>600</v>
      </c>
      <c r="M73" s="1882" t="str">
        <f>'Part I-Project Information'!M48</f>
        <v>Montezuma</v>
      </c>
      <c r="N73" s="1882"/>
      <c r="O73" s="1882"/>
      <c r="P73" s="1882"/>
      <c r="Q73" s="1819"/>
      <c r="R73" s="1819"/>
      <c r="S73" s="1819"/>
      <c r="T73" s="1819"/>
      <c r="U73" s="1819"/>
    </row>
    <row r="74" spans="1:21" ht="13.8">
      <c r="A74" s="1821"/>
      <c r="B74" s="1823" t="s">
        <v>2172</v>
      </c>
      <c r="C74" s="1819"/>
      <c r="D74" s="1819"/>
      <c r="E74" s="1819"/>
      <c r="F74" s="2187">
        <f>'Part I-Project Information'!F49</f>
        <v>310630000</v>
      </c>
      <c r="G74" s="2187"/>
      <c r="H74" s="1821" t="s">
        <v>1934</v>
      </c>
      <c r="I74" s="2188">
        <f>'Part I-Project Information'!I49</f>
        <v>4784728144</v>
      </c>
      <c r="J74" s="2188"/>
      <c r="K74" s="2188"/>
      <c r="L74" s="1823" t="s">
        <v>1755</v>
      </c>
      <c r="M74" s="1882" t="str">
        <f>'Part I-Project Information'!M49</f>
        <v>mayorsmith@windstream.net</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1935</v>
      </c>
      <c r="C78" s="1819" t="s">
        <v>6849</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2236</v>
      </c>
      <c r="D79" s="1819"/>
      <c r="E79" s="1819"/>
      <c r="F79" s="1827"/>
      <c r="G79" s="1827"/>
      <c r="H79" s="1834">
        <f>'Part I-Project Information'!H54</f>
        <v>50</v>
      </c>
      <c r="I79" s="1827"/>
      <c r="J79" s="1827"/>
      <c r="K79" s="1823" t="s">
        <v>3498</v>
      </c>
      <c r="L79" s="1819"/>
      <c r="M79" s="1955" t="s">
        <v>3497</v>
      </c>
      <c r="N79" s="1834">
        <f>'Part I-Project Information'!N54</f>
        <v>0</v>
      </c>
      <c r="O79" s="1868" t="s">
        <v>3249</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2805</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1937</v>
      </c>
      <c r="C83" s="1819" t="s">
        <v>2237</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2217</v>
      </c>
      <c r="D85" s="1819"/>
      <c r="E85" s="1819"/>
      <c r="F85" s="1819"/>
      <c r="G85" s="1819"/>
      <c r="H85" s="1819"/>
      <c r="I85" s="1829" t="s">
        <v>3432</v>
      </c>
      <c r="J85" s="1826" t="s">
        <v>2064</v>
      </c>
      <c r="K85" s="1827" t="s">
        <v>2242</v>
      </c>
      <c r="L85" s="1819"/>
      <c r="M85" s="1819"/>
      <c r="N85" s="1819"/>
      <c r="O85" s="1819"/>
      <c r="P85" s="1821"/>
      <c r="Q85" s="1821"/>
      <c r="R85" s="1821"/>
      <c r="S85" s="1819"/>
      <c r="T85" s="1819"/>
      <c r="U85" s="1819"/>
    </row>
    <row r="86" spans="1:21" ht="13.8">
      <c r="A86" s="1821"/>
      <c r="B86" s="1838"/>
      <c r="C86" s="1827" t="s">
        <v>2218</v>
      </c>
      <c r="D86" s="1819"/>
      <c r="E86" s="1819"/>
      <c r="F86" s="1819"/>
      <c r="G86" s="1819"/>
      <c r="H86" s="1839">
        <f>SUM(H87:H93)</f>
        <v>50</v>
      </c>
      <c r="I86" s="1839">
        <f>SUM(I87:I93)</f>
        <v>0</v>
      </c>
      <c r="J86" s="1821"/>
      <c r="K86" s="1827" t="s">
        <v>2681</v>
      </c>
      <c r="L86" s="1819"/>
      <c r="M86" s="1819"/>
      <c r="N86" s="1819"/>
      <c r="O86" s="1819"/>
      <c r="P86" s="1839">
        <f>SUM(P87:P93)</f>
        <v>53100</v>
      </c>
      <c r="Q86" s="1819"/>
      <c r="R86" s="1819"/>
      <c r="S86" s="1819"/>
      <c r="T86" s="1819"/>
      <c r="U86" s="1819"/>
    </row>
    <row r="87" spans="1:21" ht="13.8">
      <c r="A87" s="1821"/>
      <c r="B87" s="1838"/>
      <c r="C87" s="1827"/>
      <c r="D87" s="1827" t="s">
        <v>4214</v>
      </c>
      <c r="E87" s="1819"/>
      <c r="F87" s="1819"/>
      <c r="G87" s="1819"/>
      <c r="H87" s="1834">
        <f>'Part I-Project Information'!H62</f>
        <v>0</v>
      </c>
      <c r="I87" s="1834">
        <f>'Part I-Project Information'!I62</f>
        <v>0</v>
      </c>
      <c r="J87" s="1821"/>
      <c r="K87" s="1827"/>
      <c r="L87" s="1827" t="s">
        <v>4214</v>
      </c>
      <c r="M87" s="1819"/>
      <c r="N87" s="1819"/>
      <c r="O87" s="1819"/>
      <c r="P87" s="1834">
        <f>'Part I-Project Information'!P62</f>
        <v>0</v>
      </c>
      <c r="Q87" s="1819"/>
      <c r="R87" s="1819"/>
      <c r="S87" s="1819"/>
      <c r="T87" s="1819"/>
      <c r="U87" s="1819"/>
    </row>
    <row r="88" spans="1:21" ht="13.8">
      <c r="A88" s="1821"/>
      <c r="B88" s="1838"/>
      <c r="C88" s="1827"/>
      <c r="D88" s="1827" t="s">
        <v>4215</v>
      </c>
      <c r="E88" s="1819"/>
      <c r="F88" s="1819"/>
      <c r="G88" s="1819"/>
      <c r="H88" s="1834">
        <f>'Part I-Project Information'!H63</f>
        <v>10</v>
      </c>
      <c r="I88" s="1834">
        <f>'Part I-Project Information'!I63</f>
        <v>0</v>
      </c>
      <c r="J88" s="1821"/>
      <c r="K88" s="1827"/>
      <c r="L88" s="1827" t="s">
        <v>4215</v>
      </c>
      <c r="M88" s="1819"/>
      <c r="N88" s="1819"/>
      <c r="O88" s="1819"/>
      <c r="P88" s="1834">
        <f>'Part I-Project Information'!P63</f>
        <v>10620</v>
      </c>
      <c r="Q88" s="1819"/>
      <c r="R88" s="1819"/>
      <c r="S88" s="1819"/>
      <c r="T88" s="1819"/>
      <c r="U88" s="1819"/>
    </row>
    <row r="89" spans="1:21" ht="13.8">
      <c r="A89" s="1821"/>
      <c r="B89" s="1827"/>
      <c r="C89" s="1819"/>
      <c r="D89" s="1827" t="s">
        <v>4212</v>
      </c>
      <c r="E89" s="1827"/>
      <c r="F89" s="1819"/>
      <c r="G89" s="1819"/>
      <c r="H89" s="1834">
        <f>'Part I-Project Information'!H64</f>
        <v>20</v>
      </c>
      <c r="I89" s="1834">
        <f>'Part I-Project Information'!I64</f>
        <v>0</v>
      </c>
      <c r="J89" s="1819"/>
      <c r="K89" s="1819"/>
      <c r="L89" s="1827" t="s">
        <v>4212</v>
      </c>
      <c r="M89" s="1819"/>
      <c r="N89" s="1819"/>
      <c r="O89" s="1819"/>
      <c r="P89" s="1834">
        <f>'Part I-Project Information'!P64</f>
        <v>21240</v>
      </c>
      <c r="Q89" s="1819"/>
      <c r="R89" s="1819"/>
      <c r="S89" s="1819"/>
      <c r="T89" s="1819"/>
      <c r="U89" s="1819"/>
    </row>
    <row r="90" spans="1:21" ht="13.8">
      <c r="A90" s="1821"/>
      <c r="B90" s="1819"/>
      <c r="C90" s="1819"/>
      <c r="D90" s="1827" t="s">
        <v>4213</v>
      </c>
      <c r="E90" s="1819"/>
      <c r="F90" s="1819"/>
      <c r="G90" s="1819"/>
      <c r="H90" s="1834">
        <f>'Part I-Project Information'!H65</f>
        <v>20</v>
      </c>
      <c r="I90" s="1834">
        <f>'Part I-Project Information'!I65</f>
        <v>0</v>
      </c>
      <c r="J90" s="1819"/>
      <c r="K90" s="1819"/>
      <c r="L90" s="1827" t="s">
        <v>4213</v>
      </c>
      <c r="M90" s="1819"/>
      <c r="N90" s="1819"/>
      <c r="O90" s="1819"/>
      <c r="P90" s="1834">
        <f>'Part I-Project Information'!P65</f>
        <v>21240</v>
      </c>
      <c r="Q90" s="1819"/>
      <c r="R90" s="1819"/>
      <c r="S90" s="1819"/>
      <c r="T90" s="1819"/>
      <c r="U90" s="1819"/>
    </row>
    <row r="91" spans="1:21" ht="13.8">
      <c r="A91" s="1821"/>
      <c r="B91" s="1819"/>
      <c r="C91" s="1819"/>
      <c r="D91" s="1827" t="s">
        <v>4216</v>
      </c>
      <c r="E91" s="1827"/>
      <c r="F91" s="1819"/>
      <c r="G91" s="1819"/>
      <c r="H91" s="1834">
        <f>'Part I-Project Information'!H66</f>
        <v>0</v>
      </c>
      <c r="I91" s="1834">
        <f>'Part I-Project Information'!I66</f>
        <v>0</v>
      </c>
      <c r="J91" s="1819"/>
      <c r="K91" s="1819"/>
      <c r="L91" s="1827" t="s">
        <v>4216</v>
      </c>
      <c r="M91" s="1819"/>
      <c r="N91" s="1819"/>
      <c r="O91" s="1819"/>
      <c r="P91" s="1834">
        <f>'Part I-Project Information'!P66</f>
        <v>0</v>
      </c>
      <c r="Q91" s="1819"/>
      <c r="R91" s="1819"/>
      <c r="S91" s="1819"/>
      <c r="T91" s="1819"/>
      <c r="U91" s="1819"/>
    </row>
    <row r="92" spans="1:21" ht="13.8">
      <c r="A92" s="1821"/>
      <c r="B92" s="1819"/>
      <c r="C92" s="1819"/>
      <c r="D92" s="1827" t="s">
        <v>4217</v>
      </c>
      <c r="E92" s="1827"/>
      <c r="F92" s="1819"/>
      <c r="G92" s="1819"/>
      <c r="H92" s="1834">
        <f>'Part I-Project Information'!H67</f>
        <v>0</v>
      </c>
      <c r="I92" s="1834">
        <f>'Part I-Project Information'!I67</f>
        <v>0</v>
      </c>
      <c r="J92" s="1819"/>
      <c r="K92" s="1819"/>
      <c r="L92" s="1827" t="s">
        <v>4217</v>
      </c>
      <c r="M92" s="1819"/>
      <c r="N92" s="1819"/>
      <c r="O92" s="1819"/>
      <c r="P92" s="1834">
        <f>'Part I-Project Information'!P67</f>
        <v>0</v>
      </c>
      <c r="Q92" s="1819"/>
      <c r="R92" s="1819"/>
      <c r="S92" s="1819"/>
      <c r="T92" s="1819"/>
      <c r="U92" s="1819"/>
    </row>
    <row r="93" spans="1:21" ht="13.8">
      <c r="A93" s="1821"/>
      <c r="B93" s="1819"/>
      <c r="C93" s="1819"/>
      <c r="D93" s="1827" t="s">
        <v>4218</v>
      </c>
      <c r="E93" s="1827"/>
      <c r="F93" s="1819"/>
      <c r="G93" s="1819"/>
      <c r="H93" s="1834">
        <f>'Part I-Project Information'!H68</f>
        <v>0</v>
      </c>
      <c r="I93" s="1834">
        <f>'Part I-Project Information'!I68</f>
        <v>0</v>
      </c>
      <c r="J93" s="1819"/>
      <c r="K93" s="1819"/>
      <c r="L93" s="1827" t="s">
        <v>4218</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2682</v>
      </c>
      <c r="L94" s="1819"/>
      <c r="M94" s="1819"/>
      <c r="N94" s="1819"/>
      <c r="O94" s="1819"/>
      <c r="P94" s="1839">
        <f>'Part VI-Revenues &amp; Expenses'!$P$167</f>
        <v>0</v>
      </c>
      <c r="Q94" s="1819"/>
      <c r="R94" s="1819"/>
      <c r="S94" s="1819"/>
      <c r="T94" s="1819"/>
      <c r="U94" s="1819"/>
    </row>
    <row r="95" spans="1:21" ht="13.8">
      <c r="A95" s="1821"/>
      <c r="B95" s="1819"/>
      <c r="C95" s="1827" t="s">
        <v>2344</v>
      </c>
      <c r="D95" s="1819"/>
      <c r="E95" s="1819"/>
      <c r="F95" s="1819"/>
      <c r="G95" s="1819"/>
      <c r="H95" s="1839">
        <f>H86+H94</f>
        <v>50</v>
      </c>
      <c r="I95" s="1819"/>
      <c r="J95" s="1821"/>
      <c r="K95" s="1827" t="s">
        <v>2683</v>
      </c>
      <c r="L95" s="1819"/>
      <c r="M95" s="1819"/>
      <c r="N95" s="1819"/>
      <c r="O95" s="1819"/>
      <c r="P95" s="1839">
        <f>P86+P94</f>
        <v>53100</v>
      </c>
      <c r="Q95" s="1819"/>
      <c r="R95" s="1819"/>
      <c r="S95" s="1819"/>
      <c r="T95" s="1819"/>
      <c r="U95" s="1819"/>
    </row>
    <row r="96" spans="1:21" ht="13.8">
      <c r="A96" s="1821"/>
      <c r="B96" s="1819"/>
      <c r="C96" s="1827" t="s">
        <v>2345</v>
      </c>
      <c r="D96" s="1819"/>
      <c r="E96" s="1819"/>
      <c r="F96" s="1819"/>
      <c r="G96" s="1819"/>
      <c r="H96" s="1839">
        <f>'Part VI-Revenues &amp; Expenses'!$P$66</f>
        <v>0</v>
      </c>
      <c r="I96" s="1819"/>
      <c r="J96" s="1821"/>
      <c r="K96" s="1827" t="s">
        <v>2684</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50</v>
      </c>
      <c r="I97" s="1819"/>
      <c r="J97" s="1819"/>
      <c r="K97" s="1827" t="s">
        <v>1392</v>
      </c>
      <c r="L97" s="1819"/>
      <c r="M97" s="1819"/>
      <c r="N97" s="1819"/>
      <c r="O97" s="1819"/>
      <c r="P97" s="1839">
        <f>+P95+P96</f>
        <v>53100</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2238</v>
      </c>
      <c r="D99" s="1827" t="s">
        <v>1948</v>
      </c>
      <c r="E99" s="1819"/>
      <c r="F99" s="1819"/>
      <c r="G99" s="1819"/>
      <c r="H99" s="1839">
        <f>'Part I-Project Information'!H74</f>
        <v>9</v>
      </c>
      <c r="I99" s="1819"/>
      <c r="J99" s="1819"/>
      <c r="K99" s="1827" t="s">
        <v>6813</v>
      </c>
      <c r="L99" s="1819"/>
      <c r="M99" s="1819"/>
      <c r="N99" s="1819"/>
      <c r="O99" s="1819"/>
      <c r="P99" s="1839">
        <f>'Part I-Project Information'!P74</f>
        <v>2058</v>
      </c>
      <c r="Q99" s="1819"/>
      <c r="R99" s="1819"/>
      <c r="S99" s="1819"/>
      <c r="T99" s="1819"/>
      <c r="U99" s="1819"/>
    </row>
    <row r="100" spans="1:21" ht="13.8">
      <c r="A100" s="1821"/>
      <c r="B100" s="1821"/>
      <c r="C100" s="1819"/>
      <c r="D100" s="1838" t="s">
        <v>1949</v>
      </c>
      <c r="E100" s="1819"/>
      <c r="F100" s="1819"/>
      <c r="G100" s="1819"/>
      <c r="H100" s="1839">
        <f>'Part I-Project Information'!H75</f>
        <v>1</v>
      </c>
      <c r="I100" s="1819"/>
      <c r="J100" s="1819"/>
      <c r="K100" s="1827" t="s">
        <v>247</v>
      </c>
      <c r="L100" s="1819"/>
      <c r="M100" s="1819"/>
      <c r="N100" s="1819"/>
      <c r="O100" s="1819"/>
      <c r="P100" s="1839">
        <f>+P97+P99</f>
        <v>55158</v>
      </c>
      <c r="Q100" s="1819"/>
      <c r="R100" s="1819"/>
      <c r="S100" s="1819"/>
      <c r="T100" s="1819"/>
      <c r="U100" s="1819"/>
    </row>
    <row r="101" spans="1:21" ht="13.8">
      <c r="A101" s="1821"/>
      <c r="B101" s="1821"/>
      <c r="C101" s="1819"/>
      <c r="D101" s="1838" t="s">
        <v>1950</v>
      </c>
      <c r="E101" s="1819"/>
      <c r="F101" s="1819"/>
      <c r="G101" s="1819"/>
      <c r="H101" s="1839">
        <f>+H99+H100</f>
        <v>10</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2741</v>
      </c>
      <c r="D103" s="1819"/>
      <c r="E103" s="1819"/>
      <c r="F103" s="1819"/>
      <c r="G103" s="1819"/>
      <c r="H103" s="1839">
        <f>'Part I-Project Information'!H78</f>
        <v>100</v>
      </c>
      <c r="I103" s="1819"/>
      <c r="J103" s="1819"/>
      <c r="K103" s="1844" t="s">
        <v>3635</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1935</v>
      </c>
      <c r="C107" s="1823" t="s">
        <v>6814</v>
      </c>
      <c r="D107" s="1838"/>
      <c r="E107" s="1838"/>
      <c r="F107" s="1819"/>
      <c r="G107" s="1821"/>
      <c r="H107" s="1819" t="str">
        <f>'Part I-Project Information'!H82</f>
        <v>Family</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4389</v>
      </c>
      <c r="L109" s="1840" t="s">
        <v>2806</v>
      </c>
      <c r="M109" s="1839">
        <f>'Part I-Project Information'!M84</f>
        <v>50</v>
      </c>
      <c r="N109" s="1840" t="s">
        <v>2807</v>
      </c>
      <c r="O109" s="1839">
        <f>'Part I-Project Information'!O84</f>
        <v>0</v>
      </c>
      <c r="P109" s="1823" t="s">
        <v>4388</v>
      </c>
      <c r="Q109" s="1819"/>
      <c r="R109" s="1819"/>
      <c r="S109" s="1819"/>
      <c r="T109" s="1819"/>
      <c r="U109" s="1819"/>
    </row>
    <row r="110" spans="1:21" ht="13.8">
      <c r="A110" s="1821"/>
      <c r="B110" s="1821"/>
      <c r="C110" s="1819"/>
      <c r="D110" s="1823"/>
      <c r="E110" s="1838"/>
      <c r="F110" s="1819"/>
      <c r="G110" s="1819"/>
      <c r="H110" s="1819"/>
      <c r="I110" s="1819"/>
      <c r="J110" s="1844"/>
      <c r="K110" s="1844"/>
      <c r="L110" s="1826" t="s">
        <v>2808</v>
      </c>
      <c r="M110" s="1839">
        <f>'Part I-Project Information'!M85</f>
        <v>0</v>
      </c>
      <c r="N110" s="1826" t="s">
        <v>3650</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1937</v>
      </c>
      <c r="C112" s="1819" t="s">
        <v>1384</v>
      </c>
      <c r="D112" s="1819"/>
      <c r="E112" s="1827"/>
      <c r="F112" s="1838" t="s">
        <v>776</v>
      </c>
      <c r="G112" s="1819"/>
      <c r="H112" s="1834">
        <f>'Part I-Project Information'!H87</f>
        <v>3</v>
      </c>
      <c r="I112" s="1819"/>
      <c r="J112" s="1819"/>
      <c r="K112" s="1819" t="s">
        <v>506</v>
      </c>
      <c r="L112" s="1819"/>
      <c r="M112" s="1819"/>
      <c r="N112" s="1841">
        <f>'Part I-Project Information'!N87</f>
        <v>0.06</v>
      </c>
      <c r="O112" s="1826" t="s">
        <v>3517</v>
      </c>
      <c r="P112" s="1842">
        <f>'DCA Underwriting Assumptions'!$Q$154</f>
        <v>0.05</v>
      </c>
      <c r="Q112" s="1819"/>
      <c r="R112" s="1819"/>
      <c r="S112" s="1819"/>
      <c r="T112" s="1819"/>
      <c r="U112" s="1819"/>
    </row>
    <row r="113" spans="1:21" ht="13.8">
      <c r="A113" s="1821"/>
      <c r="B113" s="1821"/>
      <c r="C113" s="1819"/>
      <c r="D113" s="1838" t="s">
        <v>2739</v>
      </c>
      <c r="E113" s="1838"/>
      <c r="F113" s="1838" t="s">
        <v>776</v>
      </c>
      <c r="G113" s="1819"/>
      <c r="H113" s="1834">
        <f>'Part I-Project Information'!H88</f>
        <v>2</v>
      </c>
      <c r="I113" s="1819"/>
      <c r="J113" s="1819"/>
      <c r="K113" s="1819" t="s">
        <v>2740</v>
      </c>
      <c r="L113" s="1819"/>
      <c r="M113" s="1819"/>
      <c r="N113" s="1841">
        <f>'Part I-Project Information'!N88</f>
        <v>0.66666666666666663</v>
      </c>
      <c r="O113" s="1826" t="s">
        <v>3517</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1797</v>
      </c>
      <c r="D115" s="1827"/>
      <c r="E115" s="1827"/>
      <c r="F115" s="1838" t="s">
        <v>776</v>
      </c>
      <c r="G115" s="1819"/>
      <c r="H115" s="1834">
        <f>'Part I-Project Information'!H90</f>
        <v>1</v>
      </c>
      <c r="I115" s="1819"/>
      <c r="J115" s="1819"/>
      <c r="K115" s="1819" t="s">
        <v>506</v>
      </c>
      <c r="L115" s="1819"/>
      <c r="M115" s="1819"/>
      <c r="N115" s="1841">
        <f>'Part I-Project Information'!N90</f>
        <v>0.02</v>
      </c>
      <c r="O115" s="1826" t="s">
        <v>3517</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4324</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1935</v>
      </c>
      <c r="C119" s="1823" t="s">
        <v>2315</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4483</v>
      </c>
      <c r="I120" s="1819"/>
      <c r="J120" s="1819"/>
      <c r="K120" s="1819"/>
      <c r="L120" s="1821"/>
      <c r="M120" s="1821"/>
      <c r="N120" s="1819"/>
      <c r="O120" s="1819"/>
      <c r="P120" s="1819"/>
      <c r="Q120" s="1819"/>
      <c r="R120" s="1819"/>
      <c r="S120" s="1819"/>
      <c r="T120" s="1819"/>
      <c r="U120" s="1819"/>
    </row>
    <row r="121" spans="1:21" ht="13.8">
      <c r="A121" s="1819"/>
      <c r="B121" s="1821" t="s">
        <v>1937</v>
      </c>
      <c r="C121" s="1819" t="s">
        <v>1502</v>
      </c>
      <c r="D121" s="1819"/>
      <c r="E121" s="1819"/>
      <c r="F121" s="1819"/>
      <c r="G121" s="1819"/>
      <c r="H121" s="1819"/>
      <c r="I121" s="1819"/>
      <c r="J121" s="1819"/>
      <c r="K121" s="1823" t="s">
        <v>4372</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1992</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1935</v>
      </c>
      <c r="C125" s="1819" t="s">
        <v>2627</v>
      </c>
      <c r="D125" s="1819"/>
      <c r="E125" s="1819"/>
      <c r="F125" s="1827" t="s">
        <v>2532</v>
      </c>
      <c r="G125" s="1819"/>
      <c r="H125" s="1821" t="str">
        <f>'Part I-Project Information'!H100</f>
        <v>No</v>
      </c>
      <c r="I125" s="1819"/>
      <c r="J125" s="1819"/>
      <c r="K125" s="1823" t="s">
        <v>3663</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3667</v>
      </c>
      <c r="G126" s="1819"/>
      <c r="H126" s="1821" t="str">
        <f>'Part I-Project Information'!H101</f>
        <v>No</v>
      </c>
      <c r="I126" s="1819"/>
      <c r="J126" s="1819"/>
      <c r="K126" s="1823" t="s">
        <v>4227</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1937</v>
      </c>
      <c r="C128" s="1819" t="s">
        <v>2628</v>
      </c>
      <c r="D128" s="1819"/>
      <c r="E128" s="1819"/>
      <c r="F128" s="1823" t="s">
        <v>2602</v>
      </c>
      <c r="G128" s="1819"/>
      <c r="H128" s="1821" t="str">
        <f>'Part I-Project Information'!H103</f>
        <v>No</v>
      </c>
      <c r="I128" s="1819"/>
      <c r="J128" s="1821"/>
      <c r="K128" s="1843" t="s">
        <v>2629</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2691</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2172</v>
      </c>
      <c r="K136" s="2187">
        <f>'Part I-Project Information'!K111</f>
        <v>0</v>
      </c>
      <c r="L136" s="2187"/>
      <c r="M136" s="1827" t="s">
        <v>3488</v>
      </c>
      <c r="N136" s="1827"/>
      <c r="O136" s="1857">
        <f>'Part I-Project Information'!O111</f>
        <v>0</v>
      </c>
      <c r="P136" s="1857"/>
      <c r="Q136" s="1819"/>
      <c r="R136" s="1819"/>
      <c r="S136" s="1819"/>
      <c r="T136" s="1819"/>
      <c r="U136" s="1819"/>
    </row>
    <row r="137" spans="1:21" ht="13.8">
      <c r="A137" s="1819"/>
      <c r="B137" s="1819"/>
      <c r="C137" s="1819" t="s">
        <v>2143</v>
      </c>
      <c r="D137" s="1819"/>
      <c r="E137" s="1819">
        <f>'Part I-Project Information'!E112</f>
        <v>0</v>
      </c>
      <c r="F137" s="1819"/>
      <c r="G137" s="1819"/>
      <c r="H137" s="1821" t="s">
        <v>1932</v>
      </c>
      <c r="I137" s="1819">
        <f>'Part I-Project Information'!I112</f>
        <v>0</v>
      </c>
      <c r="J137" s="1819"/>
      <c r="K137" s="1819"/>
      <c r="L137" s="1821" t="s">
        <v>1936</v>
      </c>
      <c r="M137" s="1819">
        <f>'Part I-Project Information'!M112</f>
        <v>0</v>
      </c>
      <c r="N137" s="1819"/>
      <c r="O137" s="1819"/>
      <c r="P137" s="1819"/>
      <c r="Q137" s="1819"/>
      <c r="R137" s="1819"/>
      <c r="S137" s="1819"/>
      <c r="T137" s="1819"/>
      <c r="U137" s="1819"/>
    </row>
    <row r="138" spans="1:21" ht="13.8">
      <c r="A138" s="1819"/>
      <c r="B138" s="1819"/>
      <c r="C138" s="1823" t="s">
        <v>2142</v>
      </c>
      <c r="D138" s="1819"/>
      <c r="E138" s="2188">
        <f>'Part I-Project Information'!E113</f>
        <v>0</v>
      </c>
      <c r="F138" s="2188"/>
      <c r="G138" s="2188"/>
      <c r="H138" s="1821" t="s">
        <v>1756</v>
      </c>
      <c r="I138" s="2188">
        <f>'Part I-Project Information'!I113</f>
        <v>0</v>
      </c>
      <c r="J138" s="2188"/>
      <c r="K138" s="1821" t="s">
        <v>2624</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2102</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1935</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1937</v>
      </c>
      <c r="C146" s="1838" t="s">
        <v>408</v>
      </c>
      <c r="D146" s="1838"/>
      <c r="E146" s="1838"/>
      <c r="F146" s="1821"/>
      <c r="G146" s="1821"/>
      <c r="H146" s="1829">
        <f>'Part I-Project Information'!H121</f>
        <v>1800000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2084</v>
      </c>
      <c r="D149" s="1838"/>
      <c r="E149" s="1819"/>
      <c r="F149" s="1838" t="s">
        <v>1112</v>
      </c>
      <c r="G149" s="1821"/>
      <c r="H149" s="1821"/>
      <c r="I149" s="1821" t="s">
        <v>1268</v>
      </c>
      <c r="J149" s="1838" t="s">
        <v>2084</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Fred Bennett</v>
      </c>
      <c r="D150" s="1849"/>
      <c r="E150" s="1849"/>
      <c r="F150" s="1849" t="str">
        <f>'Part I-Project Information'!F125</f>
        <v>Sandy Run Court</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t="str">
        <f>'Part I-Project Information'!C126</f>
        <v>Fred Bennett</v>
      </c>
      <c r="D151" s="1849"/>
      <c r="E151" s="1849"/>
      <c r="F151" s="1849" t="str">
        <f>'Part I-Project Information'!F126</f>
        <v>Spring Creek Crossing</v>
      </c>
      <c r="G151" s="1849"/>
      <c r="H151" s="1849"/>
      <c r="I151" s="2074" t="str">
        <f>'Part I-Project Information'!I126</f>
        <v>Direct</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f>'Part I-Project Information'!C127</f>
        <v>3</v>
      </c>
      <c r="D152" s="1849"/>
      <c r="E152" s="1849"/>
      <c r="F152" s="1849">
        <f>'Part I-Project Information'!F127</f>
        <v>0</v>
      </c>
      <c r="G152" s="1849"/>
      <c r="H152" s="1849"/>
      <c r="I152" s="2074">
        <f>'Part I-Project Information'!I127</f>
        <v>0</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2064</v>
      </c>
      <c r="C157" s="1827" t="s">
        <v>1800</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2084</v>
      </c>
      <c r="D159" s="1838"/>
      <c r="E159" s="1819"/>
      <c r="F159" s="1838" t="s">
        <v>1112</v>
      </c>
      <c r="G159" s="1821"/>
      <c r="H159" s="1821"/>
      <c r="I159" s="1821"/>
      <c r="J159" s="1838" t="s">
        <v>2084</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6850</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1935</v>
      </c>
      <c r="C169" s="1823" t="s">
        <v>1671</v>
      </c>
      <c r="D169" s="1819"/>
      <c r="E169" s="1819"/>
      <c r="F169" s="1819"/>
      <c r="G169" s="1819"/>
      <c r="H169" s="1819"/>
      <c r="I169" s="1821" t="str">
        <f>'Part I-Project Information'!I144</f>
        <v>No</v>
      </c>
      <c r="J169" s="1819"/>
      <c r="K169" s="1819"/>
      <c r="L169" s="1819"/>
      <c r="M169" s="1821"/>
      <c r="N169" s="1819"/>
      <c r="O169" s="1819"/>
      <c r="P169" s="1828"/>
      <c r="Q169" s="1819"/>
      <c r="R169" s="1819"/>
      <c r="S169" s="1819"/>
      <c r="T169" s="1819"/>
      <c r="U169" s="1819"/>
    </row>
    <row r="170" spans="1:21" ht="13.8">
      <c r="A170" s="1821"/>
      <c r="B170" s="1821"/>
      <c r="C170" s="1838" t="s">
        <v>2356</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2357</v>
      </c>
      <c r="D172" s="1838"/>
      <c r="E172" s="1838"/>
      <c r="F172" s="1821"/>
      <c r="G172" s="1819"/>
      <c r="H172" s="1819"/>
      <c r="I172" s="2194">
        <f>'Part I-Project Information'!I147</f>
        <v>0</v>
      </c>
      <c r="J172" s="1819"/>
      <c r="K172" s="1827" t="s">
        <v>2187</v>
      </c>
      <c r="L172" s="1819"/>
      <c r="M172" s="1819"/>
      <c r="N172" s="1819"/>
      <c r="O172" s="1819" t="str">
        <f>'Part I-Project Information'!O147</f>
        <v>GA-</v>
      </c>
      <c r="P172" s="1819"/>
      <c r="Q172" s="1819"/>
      <c r="R172" s="1819"/>
      <c r="S172" s="1819"/>
      <c r="T172" s="1819"/>
      <c r="U172" s="1819"/>
    </row>
    <row r="173" spans="1:21" ht="13.8">
      <c r="A173" s="1821"/>
      <c r="B173" s="1821"/>
      <c r="C173" s="1838" t="s">
        <v>2355</v>
      </c>
      <c r="D173" s="1819"/>
      <c r="E173" s="1819"/>
      <c r="F173" s="1821"/>
      <c r="G173" s="1819"/>
      <c r="H173" s="1819"/>
      <c r="I173" s="1829">
        <f>'Part I-Project Information'!I148</f>
        <v>0</v>
      </c>
      <c r="J173" s="1819"/>
      <c r="K173" s="1827" t="s">
        <v>2188</v>
      </c>
      <c r="L173" s="1819"/>
      <c r="M173" s="1819"/>
      <c r="N173" s="1819"/>
      <c r="O173" s="1819" t="str">
        <f>'Part I-Project Information'!O148</f>
        <v>GA-</v>
      </c>
      <c r="P173" s="1819"/>
      <c r="Q173" s="1819"/>
      <c r="R173" s="1819"/>
      <c r="S173" s="1819"/>
      <c r="T173" s="1819"/>
      <c r="U173" s="1819"/>
    </row>
    <row r="174" spans="1:21" ht="13.8">
      <c r="A174" s="1821"/>
      <c r="B174" s="1821"/>
      <c r="C174" s="1838" t="s">
        <v>2115</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1937</v>
      </c>
      <c r="C176" s="1870" t="s">
        <v>2621</v>
      </c>
      <c r="D176" s="1838"/>
      <c r="E176" s="1827" t="s">
        <v>6917</v>
      </c>
      <c r="F176" s="1827"/>
      <c r="G176" s="1827"/>
      <c r="H176" s="1819"/>
      <c r="I176" s="1829" t="str">
        <f>'Part I-Project Information'!I151</f>
        <v>No</v>
      </c>
      <c r="J176" s="1819"/>
      <c r="K176" s="1827" t="s">
        <v>4463</v>
      </c>
      <c r="L176" s="1827"/>
      <c r="M176" s="1827"/>
      <c r="N176" s="1819"/>
      <c r="O176" s="1829" t="str">
        <f>'Part I-Project Information'!O151</f>
        <v>No</v>
      </c>
      <c r="P176" s="1828"/>
      <c r="Q176" s="1819"/>
      <c r="R176" s="1819"/>
      <c r="S176" s="1819"/>
      <c r="T176" s="1819"/>
      <c r="U176" s="1819"/>
    </row>
    <row r="177" spans="1:21" ht="13.8">
      <c r="A177" s="1821"/>
      <c r="B177" s="1819"/>
      <c r="C177" s="1838"/>
      <c r="D177" s="1838"/>
      <c r="E177" s="1827" t="s">
        <v>6918</v>
      </c>
      <c r="F177" s="1827"/>
      <c r="G177" s="1827"/>
      <c r="H177" s="1819"/>
      <c r="I177" s="1829" t="str">
        <f>'Part I-Project Information'!I152</f>
        <v>No</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4460</v>
      </c>
      <c r="D179" s="1838"/>
      <c r="E179" s="1838"/>
      <c r="F179" s="1821"/>
      <c r="G179" s="1819"/>
      <c r="H179" s="1819"/>
      <c r="I179" s="1829" t="str">
        <f>'Part I-Project Information'!I154</f>
        <v>No</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1935</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6802</v>
      </c>
      <c r="D185" s="1844"/>
      <c r="E185" s="1844"/>
      <c r="F185" s="1844"/>
      <c r="G185" s="1819" t="s">
        <v>4271</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4270</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4272</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4225</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4226</v>
      </c>
      <c r="D190" s="1819">
        <f>'Part I-Project Information'!D165</f>
        <v>0</v>
      </c>
      <c r="E190" s="1819"/>
      <c r="F190" s="1819"/>
      <c r="G190" s="1819"/>
      <c r="H190" s="1819"/>
      <c r="I190" s="1819" t="s">
        <v>1753</v>
      </c>
      <c r="J190" s="1819">
        <f>'Part I-Project Information'!J165</f>
        <v>0</v>
      </c>
      <c r="K190" s="1819"/>
      <c r="L190" s="1819"/>
      <c r="M190" s="1819" t="s">
        <v>1932</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2172</v>
      </c>
      <c r="G191" s="2187">
        <f>'Part I-Project Information'!G166</f>
        <v>0</v>
      </c>
      <c r="H191" s="2187"/>
      <c r="I191" s="1823" t="s">
        <v>1756</v>
      </c>
      <c r="J191" s="2188">
        <f>'Part I-Project Information'!J166</f>
        <v>0</v>
      </c>
      <c r="K191" s="2188"/>
      <c r="L191" s="2188"/>
      <c r="M191" s="1819" t="s">
        <v>1931</v>
      </c>
      <c r="N191" s="2188">
        <f>'Part I-Project Information'!N166</f>
        <v>0</v>
      </c>
      <c r="O191" s="2188"/>
      <c r="P191" s="2188"/>
      <c r="Q191" s="1819"/>
      <c r="R191" s="1819"/>
      <c r="S191" s="1819"/>
      <c r="T191" s="1819"/>
      <c r="U191" s="1819"/>
    </row>
    <row r="192" spans="1:21" ht="13.8">
      <c r="A192" s="1821"/>
      <c r="B192" s="1821"/>
      <c r="C192" s="1819" t="s">
        <v>2624</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4273</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1937</v>
      </c>
      <c r="C195" s="1823" t="s">
        <v>2622</v>
      </c>
      <c r="D195" s="1823"/>
      <c r="E195" s="1823"/>
      <c r="F195" s="1823"/>
      <c r="G195" s="1823"/>
      <c r="H195" s="1819"/>
      <c r="I195" s="1829">
        <f>'Part I-Project Information'!I170</f>
        <v>0</v>
      </c>
      <c r="J195" s="1819" t="s">
        <v>743</v>
      </c>
      <c r="K195" s="1819"/>
      <c r="L195" s="1829">
        <f>'Part I-Project Information'!L170</f>
        <v>0</v>
      </c>
      <c r="M195" s="1819" t="s">
        <v>2266</v>
      </c>
      <c r="N195" s="1819"/>
      <c r="O195" s="1819"/>
      <c r="P195" s="1829">
        <f>'Part I-Project Information'!P170</f>
        <v>0</v>
      </c>
      <c r="Q195" s="1819"/>
      <c r="R195" s="1819"/>
      <c r="S195" s="1819"/>
      <c r="T195" s="1819"/>
      <c r="U195" s="1819"/>
    </row>
    <row r="196" spans="1:21" ht="13.8">
      <c r="A196" s="1821"/>
      <c r="B196" s="1821"/>
      <c r="C196" s="1823" t="s">
        <v>2623</v>
      </c>
      <c r="D196" s="1823"/>
      <c r="E196" s="1823"/>
      <c r="F196" s="1823"/>
      <c r="G196" s="1823"/>
      <c r="H196" s="1819"/>
      <c r="I196" s="1829" t="str">
        <f>'Part I-Project Information'!I171</f>
        <v>Yes</v>
      </c>
      <c r="J196" s="1819" t="s">
        <v>743</v>
      </c>
      <c r="K196" s="1819"/>
      <c r="L196" s="1829">
        <f>'Part I-Project Information'!L171</f>
        <v>0</v>
      </c>
      <c r="M196" s="1819" t="s">
        <v>2266</v>
      </c>
      <c r="N196" s="1819"/>
      <c r="O196" s="1819"/>
      <c r="P196" s="1829">
        <f>'Part I-Project Information'!P171</f>
        <v>0</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2064</v>
      </c>
      <c r="C200" s="1819" t="s">
        <v>1930</v>
      </c>
      <c r="D200" s="1819"/>
      <c r="E200" s="1819"/>
      <c r="F200" s="1819"/>
      <c r="G200" s="1823"/>
      <c r="H200" s="1819"/>
      <c r="I200" s="1829" t="str">
        <f>'Part I-Project Information'!I175</f>
        <v>No</v>
      </c>
      <c r="J200" s="1847" t="s">
        <v>2664</v>
      </c>
      <c r="K200" s="1819"/>
      <c r="L200" s="1819" t="s">
        <v>6919</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2155</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2156</v>
      </c>
      <c r="D205" s="1819"/>
      <c r="E205" s="1819"/>
      <c r="F205" s="1819"/>
      <c r="G205" s="1819"/>
      <c r="H205" s="1819"/>
      <c r="I205" s="1829" t="str">
        <f>'Part I-Project Information'!I180</f>
        <v>No</v>
      </c>
      <c r="J205" s="1819"/>
      <c r="K205" s="1819"/>
      <c r="L205" s="1819" t="s">
        <v>2744</v>
      </c>
      <c r="M205" s="1819"/>
      <c r="N205" s="1819"/>
      <c r="O205" s="1819"/>
      <c r="P205" s="1829" t="str">
        <f>'Part I-Project Information'!P180</f>
        <v>No</v>
      </c>
      <c r="Q205" s="1819"/>
      <c r="R205" s="1819"/>
      <c r="S205" s="1819"/>
      <c r="T205" s="1819"/>
      <c r="U205" s="1819"/>
    </row>
    <row r="206" spans="1:21" ht="13.8">
      <c r="A206" s="1821"/>
      <c r="B206" s="1819"/>
      <c r="C206" s="1819" t="s">
        <v>2640</v>
      </c>
      <c r="D206" s="1819"/>
      <c r="E206" s="1819"/>
      <c r="F206" s="1819"/>
      <c r="G206" s="1819"/>
      <c r="H206" s="1819"/>
      <c r="I206" s="1829" t="str">
        <f>'Part I-Project Information'!I181</f>
        <v>No</v>
      </c>
      <c r="J206" s="1819"/>
      <c r="K206" s="1819"/>
      <c r="L206" s="1819" t="s">
        <v>2611</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3360</v>
      </c>
      <c r="M207" s="1819"/>
      <c r="N207" s="1819"/>
      <c r="O207" s="1819"/>
      <c r="P207" s="1829" t="str">
        <f>'Part I-Project Information'!P182</f>
        <v>No</v>
      </c>
      <c r="Q207" s="1819"/>
      <c r="R207" s="1819"/>
      <c r="S207" s="1819"/>
      <c r="T207" s="1819"/>
      <c r="U207" s="1819"/>
    </row>
    <row r="208" spans="1:21" ht="13.8">
      <c r="A208" s="1821"/>
      <c r="B208" s="1819"/>
      <c r="C208" s="1819" t="s">
        <v>4520</v>
      </c>
      <c r="D208" s="1819"/>
      <c r="E208" s="1819"/>
      <c r="F208" s="1819"/>
      <c r="G208" s="1819"/>
      <c r="H208" s="1819"/>
      <c r="I208" s="1829" t="str">
        <f>'Part I-Project Information'!I183</f>
        <v>No</v>
      </c>
      <c r="J208" s="1847" t="s">
        <v>2665</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2665</v>
      </c>
      <c r="K209" s="1819"/>
      <c r="L209" s="1819"/>
      <c r="M209" s="1819"/>
      <c r="N209" s="1819"/>
      <c r="O209" s="2195">
        <f>'Part I-Project Information'!O184</f>
        <v>0</v>
      </c>
      <c r="P209" s="2195"/>
      <c r="Q209" s="1819"/>
      <c r="R209" s="1819"/>
      <c r="S209" s="1819"/>
      <c r="T209" s="1819"/>
      <c r="U209" s="1819"/>
    </row>
    <row r="210" spans="1:21" ht="13.8">
      <c r="A210" s="1821"/>
      <c r="B210" s="1821"/>
      <c r="C210" s="1819" t="s">
        <v>2798</v>
      </c>
      <c r="D210" s="1819"/>
      <c r="E210" s="1819"/>
      <c r="F210" s="1819"/>
      <c r="G210" s="1819"/>
      <c r="H210" s="1819"/>
      <c r="I210" s="1829" t="str">
        <f>'Part I-Project Information'!I185</f>
        <v>No</v>
      </c>
      <c r="J210" s="1847" t="s">
        <v>2665</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2236</v>
      </c>
      <c r="D215" s="1838"/>
      <c r="E215" s="1838"/>
      <c r="F215" s="1821"/>
      <c r="G215" s="1821"/>
      <c r="H215" s="2193">
        <f>'Part I-Project Information'!H190</f>
        <v>44805</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2690</v>
      </c>
      <c r="B217" s="1827"/>
      <c r="C217" s="1827" t="s">
        <v>555</v>
      </c>
      <c r="D217" s="1827"/>
      <c r="E217" s="1827"/>
      <c r="F217" s="1827"/>
      <c r="G217" s="1827"/>
      <c r="H217" s="1827"/>
      <c r="I217" s="1827"/>
      <c r="J217" s="1827"/>
      <c r="K217" s="1827"/>
      <c r="L217" s="1827"/>
      <c r="M217" s="1827" t="s">
        <v>2193</v>
      </c>
      <c r="N217" s="1827" t="s">
        <v>77</v>
      </c>
      <c r="O217" s="1827"/>
      <c r="P217" s="1827"/>
      <c r="Q217" s="1827"/>
      <c r="R217" s="1827"/>
      <c r="S217" s="1827"/>
      <c r="T217" s="1827"/>
      <c r="U217" s="1827"/>
    </row>
    <row r="218" spans="1:21" ht="13.2" customHeight="1">
      <c r="A218" s="1887" t="str">
        <f>'Part I-Project Information'!A193</f>
        <v>XII. Extended Affordability Commitment: Owner is willing to forgo the Qualified Cotract "cancelation option" after the close of the compliance period.</v>
      </c>
      <c r="B218" s="1887"/>
      <c r="C218" s="1887"/>
      <c r="D218" s="1887"/>
      <c r="E218" s="1887"/>
      <c r="F218" s="1887"/>
      <c r="G218" s="1887"/>
      <c r="H218" s="1887"/>
      <c r="I218" s="1887"/>
      <c r="J218" s="1887"/>
      <c r="K218" s="1887"/>
      <c r="L218" s="1887"/>
      <c r="M218" s="1887">
        <f>'Part I-Project Information'!M193</f>
        <v>0</v>
      </c>
      <c r="N218" s="1887"/>
      <c r="O218" s="1887"/>
      <c r="P218" s="1887"/>
      <c r="Q218" s="1973" t="s">
        <v>2613</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2020-079 Spring Creek Crossing,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4093</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1811</v>
      </c>
      <c r="C224" s="1823"/>
      <c r="D224" s="1819"/>
      <c r="E224" s="1823"/>
      <c r="F224" s="1823"/>
      <c r="G224" s="1823"/>
      <c r="H224" s="1820" t="s">
        <v>3892</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1935</v>
      </c>
      <c r="C226" s="1823" t="s">
        <v>1807</v>
      </c>
      <c r="D226" s="1819"/>
      <c r="E226" s="1819"/>
      <c r="F226" s="1819"/>
      <c r="G226" s="1819"/>
      <c r="H226" s="1819" t="str">
        <f>'Part II-Development Team'!H5</f>
        <v>Spring Creek Crossing Montezuma, LP</v>
      </c>
      <c r="I226" s="1827"/>
      <c r="J226" s="1827"/>
      <c r="K226" s="1827"/>
      <c r="L226" s="1827"/>
      <c r="M226" s="1827"/>
      <c r="N226" s="1827"/>
      <c r="O226" s="1823" t="s">
        <v>1941</v>
      </c>
      <c r="P226" s="1823"/>
      <c r="Q226" s="1819" t="str">
        <f>'Part II-Development Team'!Q5</f>
        <v>Fred Bennett</v>
      </c>
      <c r="R226" s="1827"/>
      <c r="S226" s="1827"/>
    </row>
    <row r="227" spans="1:19" ht="13.8">
      <c r="A227" s="1819"/>
      <c r="B227" s="1819"/>
      <c r="C227" s="1819"/>
      <c r="D227" s="1831"/>
      <c r="E227" s="1823" t="s">
        <v>999</v>
      </c>
      <c r="F227" s="1826"/>
      <c r="G227" s="1819"/>
      <c r="H227" s="1819" t="str">
        <f>'Part II-Development Team'!H6</f>
        <v>730 N. Dean Road, Suite 100</v>
      </c>
      <c r="I227" s="1827"/>
      <c r="J227" s="1827"/>
      <c r="K227" s="1827"/>
      <c r="L227" s="1827"/>
      <c r="M227" s="1827"/>
      <c r="N227" s="1827"/>
      <c r="O227" s="1823" t="s">
        <v>1704</v>
      </c>
      <c r="P227" s="1819"/>
      <c r="Q227" s="1819" t="str">
        <f>'Part II-Development Team'!Q6</f>
        <v>Managing Partner</v>
      </c>
      <c r="R227" s="1827"/>
      <c r="S227" s="1827"/>
    </row>
    <row r="228" spans="1:19" ht="13.8">
      <c r="A228" s="1819"/>
      <c r="B228" s="1819"/>
      <c r="C228" s="1819"/>
      <c r="D228" s="1831"/>
      <c r="E228" s="1823" t="s">
        <v>600</v>
      </c>
      <c r="F228" s="1819"/>
      <c r="G228" s="1819"/>
      <c r="H228" s="1819" t="str">
        <f>'Part II-Development Team'!H7</f>
        <v>Auburn</v>
      </c>
      <c r="I228" s="1827"/>
      <c r="J228" s="1827"/>
      <c r="K228" s="1821" t="s">
        <v>744</v>
      </c>
      <c r="L228" s="1819">
        <f>'Part II-Development Team'!L7</f>
        <v>0</v>
      </c>
      <c r="M228" s="1827"/>
      <c r="N228" s="1827"/>
      <c r="O228" s="1823" t="s">
        <v>1679</v>
      </c>
      <c r="P228" s="1819"/>
      <c r="Q228" s="2188">
        <f>'Part II-Development Team'!Q7</f>
        <v>3343210529</v>
      </c>
      <c r="R228" s="2188"/>
      <c r="S228" s="2188"/>
    </row>
    <row r="229" spans="1:19" ht="13.8">
      <c r="A229" s="1819"/>
      <c r="B229" s="1819"/>
      <c r="C229" s="1819"/>
      <c r="D229" s="1831"/>
      <c r="E229" s="1823" t="s">
        <v>1754</v>
      </c>
      <c r="F229" s="1819"/>
      <c r="G229" s="1819"/>
      <c r="H229" s="1823" t="str">
        <f>'Part II-Development Team'!H8</f>
        <v>AL</v>
      </c>
      <c r="I229" s="1821" t="s">
        <v>2172</v>
      </c>
      <c r="J229" s="2187">
        <f>'Part II-Development Team'!J8</f>
        <v>368304303</v>
      </c>
      <c r="K229" s="1827"/>
      <c r="L229" s="1819" t="s">
        <v>3509</v>
      </c>
      <c r="M229" s="1819" t="str">
        <f>'Part II-Development Team'!M8</f>
        <v>For Profit</v>
      </c>
      <c r="N229" s="1819"/>
      <c r="O229" s="1823" t="s">
        <v>1931</v>
      </c>
      <c r="P229" s="1819"/>
      <c r="Q229" s="2188">
        <f>'Part II-Development Team'!Q8</f>
        <v>3344440967</v>
      </c>
      <c r="R229" s="2188"/>
      <c r="S229" s="2188"/>
    </row>
    <row r="230" spans="1:19" ht="13.8">
      <c r="A230" s="1819"/>
      <c r="B230" s="1819"/>
      <c r="C230" s="1819"/>
      <c r="D230" s="1831"/>
      <c r="E230" s="1823" t="s">
        <v>3893</v>
      </c>
      <c r="F230" s="1819"/>
      <c r="G230" s="1819"/>
      <c r="H230" s="2188">
        <f>'Part II-Development Team'!H9</f>
        <v>3343210529</v>
      </c>
      <c r="I230" s="2188"/>
      <c r="J230" s="1829">
        <f>'Part II-Development Team'!J9</f>
        <v>0</v>
      </c>
      <c r="K230" s="1821" t="s">
        <v>1936</v>
      </c>
      <c r="L230" s="1965" t="str">
        <f>'Part II-Development Team'!L9</f>
        <v>fred@thebennettgrp.net</v>
      </c>
      <c r="M230" s="1965"/>
      <c r="N230" s="1965"/>
      <c r="O230" s="1965"/>
      <c r="P230" s="1965"/>
      <c r="Q230" s="1965"/>
      <c r="R230" s="1965"/>
      <c r="S230" s="1965"/>
    </row>
    <row r="231" spans="1:19" ht="13.8">
      <c r="A231" s="1819"/>
      <c r="B231" s="1819"/>
      <c r="C231" s="1819"/>
      <c r="D231" s="1831"/>
      <c r="E231" s="1820" t="s">
        <v>3892</v>
      </c>
      <c r="F231" s="1819"/>
      <c r="G231" s="1819"/>
      <c r="H231" s="1846"/>
      <c r="I231" s="1819"/>
      <c r="J231" s="1819"/>
      <c r="K231" s="1849"/>
      <c r="L231" s="1819"/>
      <c r="M231" s="1819"/>
      <c r="N231" s="1819" t="s">
        <v>6803</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1937</v>
      </c>
      <c r="C233" s="1823" t="s">
        <v>1808</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1938</v>
      </c>
      <c r="D234" s="1827" t="s">
        <v>1939</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2065</v>
      </c>
      <c r="E235" s="1819" t="s">
        <v>1809</v>
      </c>
      <c r="F235" s="1819"/>
      <c r="G235" s="1819"/>
      <c r="H235" s="1819" t="str">
        <f>'Part II-Development Team'!H14</f>
        <v>Spring Creek Crossing GP, Inc.</v>
      </c>
      <c r="I235" s="1827"/>
      <c r="J235" s="1827"/>
      <c r="K235" s="1827"/>
      <c r="L235" s="1827"/>
      <c r="M235" s="1827"/>
      <c r="N235" s="1827"/>
      <c r="O235" s="1823" t="s">
        <v>1941</v>
      </c>
      <c r="P235" s="1823"/>
      <c r="Q235" s="1819" t="str">
        <f>'Part II-Development Team'!Q14</f>
        <v>Fred Bennett</v>
      </c>
      <c r="R235" s="1827"/>
      <c r="S235" s="1827"/>
    </row>
    <row r="236" spans="1:19" ht="13.8">
      <c r="A236" s="1819"/>
      <c r="B236" s="1819"/>
      <c r="C236" s="1819"/>
      <c r="D236" s="1831"/>
      <c r="E236" s="1823" t="s">
        <v>999</v>
      </c>
      <c r="F236" s="1826"/>
      <c r="G236" s="1819"/>
      <c r="H236" s="1819" t="str">
        <f>'Part II-Development Team'!H15</f>
        <v>730 N. Dean Road, Suite 100</v>
      </c>
      <c r="I236" s="1827"/>
      <c r="J236" s="1827"/>
      <c r="K236" s="1827"/>
      <c r="L236" s="1827"/>
      <c r="M236" s="1827"/>
      <c r="N236" s="1827"/>
      <c r="O236" s="1823" t="s">
        <v>1704</v>
      </c>
      <c r="P236" s="1819"/>
      <c r="Q236" s="1819" t="str">
        <f>'Part II-Development Team'!Q15</f>
        <v>President</v>
      </c>
      <c r="R236" s="1827"/>
      <c r="S236" s="1827"/>
    </row>
    <row r="237" spans="1:19" ht="13.8">
      <c r="A237" s="1819"/>
      <c r="B237" s="1819"/>
      <c r="C237" s="1819"/>
      <c r="D237" s="1831"/>
      <c r="E237" s="1823" t="s">
        <v>600</v>
      </c>
      <c r="F237" s="1819"/>
      <c r="G237" s="1819"/>
      <c r="H237" s="1819" t="str">
        <f>'Part II-Development Team'!H16</f>
        <v>Auburn</v>
      </c>
      <c r="I237" s="1827"/>
      <c r="J237" s="1827"/>
      <c r="K237" s="1821" t="s">
        <v>2624</v>
      </c>
      <c r="L237" s="1819">
        <f>'Part II-Development Team'!L16</f>
        <v>0</v>
      </c>
      <c r="M237" s="1827"/>
      <c r="N237" s="1827"/>
      <c r="O237" s="1823" t="s">
        <v>1679</v>
      </c>
      <c r="P237" s="1819"/>
      <c r="Q237" s="2188">
        <f>'Part II-Development Team'!Q16</f>
        <v>3343210529</v>
      </c>
      <c r="R237" s="2188"/>
      <c r="S237" s="2188"/>
    </row>
    <row r="238" spans="1:19" ht="13.8">
      <c r="A238" s="1819"/>
      <c r="B238" s="1819"/>
      <c r="C238" s="1819"/>
      <c r="D238" s="1819"/>
      <c r="E238" s="1823" t="s">
        <v>1754</v>
      </c>
      <c r="F238" s="1819"/>
      <c r="G238" s="1819"/>
      <c r="H238" s="1823" t="str">
        <f>'Part II-Development Team'!H17</f>
        <v>AL</v>
      </c>
      <c r="I238" s="1819"/>
      <c r="J238" s="1819"/>
      <c r="K238" s="1821" t="s">
        <v>2172</v>
      </c>
      <c r="L238" s="2187">
        <f>'Part II-Development Team'!L17</f>
        <v>368304303</v>
      </c>
      <c r="M238" s="1827"/>
      <c r="N238" s="1819"/>
      <c r="O238" s="1823" t="s">
        <v>1931</v>
      </c>
      <c r="P238" s="1819"/>
      <c r="Q238" s="2188">
        <f>'Part II-Development Team'!Q17</f>
        <v>3344440967</v>
      </c>
      <c r="R238" s="2188"/>
      <c r="S238" s="2188"/>
    </row>
    <row r="239" spans="1:19" ht="13.8">
      <c r="A239" s="1819"/>
      <c r="B239" s="1819"/>
      <c r="C239" s="1819"/>
      <c r="D239" s="1831"/>
      <c r="E239" s="1823" t="s">
        <v>3893</v>
      </c>
      <c r="F239" s="1819"/>
      <c r="G239" s="1819"/>
      <c r="H239" s="2188">
        <f>'Part II-Development Team'!H18</f>
        <v>3343210529</v>
      </c>
      <c r="I239" s="2188"/>
      <c r="J239" s="1829">
        <f>'Part II-Development Team'!J18</f>
        <v>0</v>
      </c>
      <c r="K239" s="1821" t="s">
        <v>1936</v>
      </c>
      <c r="L239" s="1965" t="str">
        <f>'Part II-Development Team'!L18</f>
        <v>fred@thebennettgrp.net</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2066</v>
      </c>
      <c r="E241" s="1819" t="s">
        <v>1810</v>
      </c>
      <c r="F241" s="1819"/>
      <c r="G241" s="1819"/>
      <c r="H241" s="1819">
        <f>'Part II-Development Team'!H20</f>
        <v>0</v>
      </c>
      <c r="I241" s="1827"/>
      <c r="J241" s="1827"/>
      <c r="K241" s="1827"/>
      <c r="L241" s="1827"/>
      <c r="M241" s="1827"/>
      <c r="N241" s="1827"/>
      <c r="O241" s="1823" t="s">
        <v>1941</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2624</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2172</v>
      </c>
      <c r="L244" s="2187">
        <f>'Part II-Development Team'!L23</f>
        <v>0</v>
      </c>
      <c r="M244" s="1827"/>
      <c r="N244" s="1819"/>
      <c r="O244" s="1823" t="s">
        <v>1931</v>
      </c>
      <c r="P244" s="1819"/>
      <c r="Q244" s="2188">
        <f>'Part II-Development Team'!Q23</f>
        <v>0</v>
      </c>
      <c r="R244" s="2188"/>
      <c r="S244" s="2188"/>
    </row>
    <row r="245" spans="1:19" ht="13.8">
      <c r="A245" s="1819"/>
      <c r="B245" s="1819"/>
      <c r="C245" s="1819"/>
      <c r="D245" s="1831"/>
      <c r="E245" s="1823" t="s">
        <v>3893</v>
      </c>
      <c r="F245" s="1819"/>
      <c r="G245" s="1819"/>
      <c r="H245" s="2188">
        <f>'Part II-Development Team'!H24</f>
        <v>0</v>
      </c>
      <c r="I245" s="2188"/>
      <c r="J245" s="1829">
        <f>'Part II-Development Team'!J24</f>
        <v>0</v>
      </c>
      <c r="K245" s="1821" t="s">
        <v>1936</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1810</v>
      </c>
      <c r="F247" s="1819"/>
      <c r="G247" s="1819"/>
      <c r="H247" s="1819">
        <f>'Part II-Development Team'!H26</f>
        <v>0</v>
      </c>
      <c r="I247" s="1827"/>
      <c r="J247" s="1827"/>
      <c r="K247" s="1827"/>
      <c r="L247" s="1827"/>
      <c r="M247" s="1827"/>
      <c r="N247" s="1827"/>
      <c r="O247" s="1823" t="s">
        <v>1941</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2624</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2172</v>
      </c>
      <c r="L250" s="2187">
        <f>'Part II-Development Team'!L29</f>
        <v>0</v>
      </c>
      <c r="M250" s="1827"/>
      <c r="N250" s="1819"/>
      <c r="O250" s="1823" t="s">
        <v>1931</v>
      </c>
      <c r="P250" s="1819"/>
      <c r="Q250" s="2188">
        <f>'Part II-Development Team'!Q29</f>
        <v>0</v>
      </c>
      <c r="R250" s="2188"/>
      <c r="S250" s="2188"/>
    </row>
    <row r="251" spans="1:19" ht="13.8">
      <c r="A251" s="1819"/>
      <c r="B251" s="1819"/>
      <c r="C251" s="1819"/>
      <c r="D251" s="1831"/>
      <c r="E251" s="1823" t="s">
        <v>3893</v>
      </c>
      <c r="F251" s="1819"/>
      <c r="G251" s="1819"/>
      <c r="H251" s="2188">
        <f>'Part II-Development Team'!H30</f>
        <v>0</v>
      </c>
      <c r="I251" s="2188"/>
      <c r="J251" s="1829">
        <f>'Part II-Development Team'!J30</f>
        <v>0</v>
      </c>
      <c r="K251" s="1821" t="s">
        <v>1936</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1940</v>
      </c>
      <c r="D253" s="1827" t="s">
        <v>1812</v>
      </c>
      <c r="E253" s="1819"/>
      <c r="F253" s="1819"/>
      <c r="G253" s="1819"/>
      <c r="H253" s="1819"/>
      <c r="I253" s="1819"/>
      <c r="J253" s="1819"/>
      <c r="K253" s="1820" t="s">
        <v>3892</v>
      </c>
      <c r="L253" s="1819"/>
      <c r="M253" s="1819"/>
      <c r="N253" s="1819"/>
      <c r="O253" s="1819"/>
      <c r="P253" s="1819"/>
      <c r="Q253" s="1819"/>
      <c r="R253" s="1819"/>
      <c r="S253" s="1819"/>
    </row>
    <row r="254" spans="1:19" ht="13.8">
      <c r="A254" s="1819"/>
      <c r="B254" s="1819"/>
      <c r="C254" s="1819"/>
      <c r="D254" s="1819" t="s">
        <v>2065</v>
      </c>
      <c r="E254" s="1819" t="s">
        <v>732</v>
      </c>
      <c r="F254" s="1819"/>
      <c r="G254" s="1819"/>
      <c r="H254" s="1819" t="str">
        <f>'Part II-Development Team'!H33</f>
        <v>Affordable Equity Partners, Inc.</v>
      </c>
      <c r="I254" s="1827"/>
      <c r="J254" s="1827"/>
      <c r="K254" s="1827"/>
      <c r="L254" s="1827"/>
      <c r="M254" s="1827"/>
      <c r="N254" s="1827"/>
      <c r="O254" s="1823" t="s">
        <v>1941</v>
      </c>
      <c r="P254" s="1823"/>
      <c r="Q254" s="1819" t="str">
        <f>'Part II-Development Team'!Q33</f>
        <v>Brian Kimes</v>
      </c>
      <c r="R254" s="1827"/>
      <c r="S254" s="1827"/>
    </row>
    <row r="255" spans="1:19" ht="13.8">
      <c r="A255" s="1819"/>
      <c r="B255" s="1819"/>
      <c r="C255" s="1819"/>
      <c r="D255" s="1831"/>
      <c r="E255" s="1823" t="s">
        <v>999</v>
      </c>
      <c r="F255" s="1826"/>
      <c r="G255" s="1819"/>
      <c r="H255" s="1819" t="str">
        <f>'Part II-Development Team'!H34</f>
        <v>206 Peach Way</v>
      </c>
      <c r="I255" s="1827"/>
      <c r="J255" s="1827"/>
      <c r="K255" s="1827"/>
      <c r="L255" s="1827"/>
      <c r="M255" s="1827"/>
      <c r="N255" s="1827"/>
      <c r="O255" s="1823" t="s">
        <v>1704</v>
      </c>
      <c r="P255" s="1819"/>
      <c r="Q255" s="1819" t="str">
        <f>'Part II-Development Team'!Q34</f>
        <v>Vice President</v>
      </c>
      <c r="R255" s="1827"/>
      <c r="S255" s="1827"/>
    </row>
    <row r="256" spans="1:19" ht="13.8">
      <c r="A256" s="1819"/>
      <c r="B256" s="1819"/>
      <c r="C256" s="1819"/>
      <c r="D256" s="1831"/>
      <c r="E256" s="1823" t="s">
        <v>600</v>
      </c>
      <c r="F256" s="1819"/>
      <c r="G256" s="1819"/>
      <c r="H256" s="1819" t="str">
        <f>'Part II-Development Team'!H35</f>
        <v>Columbia</v>
      </c>
      <c r="I256" s="1827"/>
      <c r="J256" s="1827"/>
      <c r="K256" s="1821" t="s">
        <v>2624</v>
      </c>
      <c r="L256" s="1819" t="str">
        <f>'Part II-Development Team'!L35</f>
        <v>www.aepartners.com</v>
      </c>
      <c r="M256" s="1827"/>
      <c r="N256" s="1827"/>
      <c r="O256" s="1823" t="s">
        <v>1679</v>
      </c>
      <c r="P256" s="1819"/>
      <c r="Q256" s="2188">
        <f>'Part II-Development Team'!Q35</f>
        <v>5734432021</v>
      </c>
      <c r="R256" s="2188"/>
      <c r="S256" s="2188"/>
    </row>
    <row r="257" spans="1:19" ht="13.8">
      <c r="A257" s="1819"/>
      <c r="B257" s="1819"/>
      <c r="C257" s="1819"/>
      <c r="D257" s="1819"/>
      <c r="E257" s="1823" t="s">
        <v>1754</v>
      </c>
      <c r="F257" s="1819"/>
      <c r="G257" s="1819"/>
      <c r="H257" s="1823" t="str">
        <f>'Part II-Development Team'!H36</f>
        <v>MO</v>
      </c>
      <c r="I257" s="1819"/>
      <c r="J257" s="1819"/>
      <c r="K257" s="1821" t="s">
        <v>2172</v>
      </c>
      <c r="L257" s="2187">
        <f>'Part II-Development Team'!L36</f>
        <v>652034905</v>
      </c>
      <c r="M257" s="1827"/>
      <c r="N257" s="1819"/>
      <c r="O257" s="1823" t="s">
        <v>1931</v>
      </c>
      <c r="P257" s="1819"/>
      <c r="Q257" s="2188">
        <f>'Part II-Development Team'!Q36</f>
        <v>5734248811</v>
      </c>
      <c r="R257" s="2188"/>
      <c r="S257" s="2188"/>
    </row>
    <row r="258" spans="1:19" ht="13.8">
      <c r="A258" s="1819"/>
      <c r="B258" s="1819"/>
      <c r="C258" s="1819"/>
      <c r="D258" s="1831"/>
      <c r="E258" s="1823" t="s">
        <v>3893</v>
      </c>
      <c r="F258" s="1819"/>
      <c r="G258" s="1819"/>
      <c r="H258" s="2188">
        <f>'Part II-Development Team'!H37</f>
        <v>5734432021</v>
      </c>
      <c r="I258" s="2188"/>
      <c r="J258" s="1829">
        <f>'Part II-Development Team'!J37</f>
        <v>0</v>
      </c>
      <c r="K258" s="1821" t="s">
        <v>1936</v>
      </c>
      <c r="L258" s="1965" t="str">
        <f>'Part II-Development Team'!L37</f>
        <v>bkimes@aepartners.com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2066</v>
      </c>
      <c r="E260" s="1819" t="s">
        <v>733</v>
      </c>
      <c r="F260" s="1819"/>
      <c r="G260" s="1819"/>
      <c r="H260" s="1819" t="str">
        <f>'Part II-Development Team'!H39</f>
        <v>Affordable Equity Partners, Inc.</v>
      </c>
      <c r="I260" s="1827"/>
      <c r="J260" s="1827"/>
      <c r="K260" s="1827"/>
      <c r="L260" s="1827"/>
      <c r="M260" s="1827"/>
      <c r="N260" s="1827"/>
      <c r="O260" s="1823" t="s">
        <v>1941</v>
      </c>
      <c r="P260" s="1823"/>
      <c r="Q260" s="1819" t="str">
        <f>'Part II-Development Team'!Q39</f>
        <v>Brian Kimes</v>
      </c>
      <c r="R260" s="1827"/>
      <c r="S260" s="1827"/>
    </row>
    <row r="261" spans="1:19" ht="13.8">
      <c r="A261" s="1819"/>
      <c r="B261" s="1819"/>
      <c r="C261" s="1819"/>
      <c r="D261" s="1831"/>
      <c r="E261" s="1823" t="s">
        <v>999</v>
      </c>
      <c r="F261" s="1826"/>
      <c r="G261" s="1819"/>
      <c r="H261" s="1819" t="str">
        <f>'Part II-Development Team'!H40</f>
        <v>206 Peach Way</v>
      </c>
      <c r="I261" s="1827"/>
      <c r="J261" s="1827"/>
      <c r="K261" s="1827"/>
      <c r="L261" s="1827"/>
      <c r="M261" s="1827"/>
      <c r="N261" s="1827"/>
      <c r="O261" s="1823" t="s">
        <v>1704</v>
      </c>
      <c r="P261" s="1819"/>
      <c r="Q261" s="1819" t="str">
        <f>'Part II-Development Team'!Q40</f>
        <v>Vice President</v>
      </c>
      <c r="R261" s="1827"/>
      <c r="S261" s="1827"/>
    </row>
    <row r="262" spans="1:19" ht="13.8">
      <c r="A262" s="1819"/>
      <c r="B262" s="1819"/>
      <c r="C262" s="1819"/>
      <c r="D262" s="1831"/>
      <c r="E262" s="1823" t="s">
        <v>600</v>
      </c>
      <c r="F262" s="1819"/>
      <c r="G262" s="1819"/>
      <c r="H262" s="1819" t="str">
        <f>'Part II-Development Team'!H41</f>
        <v>Columbia</v>
      </c>
      <c r="I262" s="1827"/>
      <c r="J262" s="1827"/>
      <c r="K262" s="1821" t="s">
        <v>2624</v>
      </c>
      <c r="L262" s="1819" t="str">
        <f>'Part II-Development Team'!L41</f>
        <v>www.aepartners.com</v>
      </c>
      <c r="M262" s="1827"/>
      <c r="N262" s="1827"/>
      <c r="O262" s="1823" t="s">
        <v>1679</v>
      </c>
      <c r="P262" s="1819"/>
      <c r="Q262" s="2188">
        <f>'Part II-Development Team'!Q41</f>
        <v>5734432021</v>
      </c>
      <c r="R262" s="2188"/>
      <c r="S262" s="2188"/>
    </row>
    <row r="263" spans="1:19" ht="13.8">
      <c r="A263" s="1819"/>
      <c r="B263" s="1819"/>
      <c r="C263" s="1819"/>
      <c r="D263" s="1819"/>
      <c r="E263" s="1823" t="s">
        <v>1754</v>
      </c>
      <c r="F263" s="1819"/>
      <c r="G263" s="1819"/>
      <c r="H263" s="1823" t="str">
        <f>'Part II-Development Team'!H42</f>
        <v>MO</v>
      </c>
      <c r="I263" s="1819"/>
      <c r="J263" s="1819"/>
      <c r="K263" s="1821" t="s">
        <v>2172</v>
      </c>
      <c r="L263" s="2187">
        <f>'Part II-Development Team'!L42</f>
        <v>652034905</v>
      </c>
      <c r="M263" s="1827"/>
      <c r="N263" s="1819"/>
      <c r="O263" s="1823" t="s">
        <v>1931</v>
      </c>
      <c r="P263" s="1819"/>
      <c r="Q263" s="2188">
        <f>'Part II-Development Team'!Q42</f>
        <v>5734248811</v>
      </c>
      <c r="R263" s="2188"/>
      <c r="S263" s="2188"/>
    </row>
    <row r="264" spans="1:19" ht="13.8">
      <c r="A264" s="1819"/>
      <c r="B264" s="1819"/>
      <c r="C264" s="1819"/>
      <c r="D264" s="1831"/>
      <c r="E264" s="1823" t="s">
        <v>3893</v>
      </c>
      <c r="F264" s="1819"/>
      <c r="G264" s="1819"/>
      <c r="H264" s="2188">
        <f>'Part II-Development Team'!H43</f>
        <v>5734432021</v>
      </c>
      <c r="I264" s="2188"/>
      <c r="J264" s="1829">
        <f>'Part II-Development Team'!J43</f>
        <v>0</v>
      </c>
      <c r="K264" s="1821" t="s">
        <v>1936</v>
      </c>
      <c r="L264" s="1965" t="str">
        <f>'Part II-Development Team'!L43</f>
        <v>bkimes@aepartners.com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2467</v>
      </c>
      <c r="D266" s="1827" t="s">
        <v>633</v>
      </c>
      <c r="E266" s="1819"/>
      <c r="F266" s="1819"/>
      <c r="G266" s="1819"/>
      <c r="H266" s="1819"/>
      <c r="I266" s="1819"/>
      <c r="J266" s="1819"/>
      <c r="K266" s="1820" t="s">
        <v>3892</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1941</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2624</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2172</v>
      </c>
      <c r="L270" s="2187">
        <f>'Part II-Development Team'!L49</f>
        <v>0</v>
      </c>
      <c r="M270" s="1827"/>
      <c r="N270" s="1819"/>
      <c r="O270" s="1823" t="s">
        <v>1931</v>
      </c>
      <c r="P270" s="1819"/>
      <c r="Q270" s="2188">
        <f>'Part II-Development Team'!Q49</f>
        <v>0</v>
      </c>
      <c r="R270" s="2188"/>
      <c r="S270" s="2188"/>
    </row>
    <row r="271" spans="1:19" ht="13.8">
      <c r="A271" s="1819"/>
      <c r="B271" s="1819"/>
      <c r="C271" s="1819"/>
      <c r="D271" s="1831"/>
      <c r="E271" s="1823" t="s">
        <v>3893</v>
      </c>
      <c r="F271" s="1819"/>
      <c r="G271" s="1819"/>
      <c r="H271" s="2188">
        <f>'Part II-Development Team'!H50</f>
        <v>0</v>
      </c>
      <c r="I271" s="2188"/>
      <c r="J271" s="1829">
        <f>'Part II-Development Team'!J50</f>
        <v>0</v>
      </c>
      <c r="K271" s="1821" t="s">
        <v>1936</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3892</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1935</v>
      </c>
      <c r="C275" s="1819" t="s">
        <v>277</v>
      </c>
      <c r="D275" s="1819"/>
      <c r="E275" s="1819"/>
      <c r="F275" s="1819"/>
      <c r="G275" s="1819"/>
      <c r="H275" s="1819" t="str">
        <f>'Part II-Development Team'!H54</f>
        <v>Bennett &amp; Company, LLC</v>
      </c>
      <c r="I275" s="1827"/>
      <c r="J275" s="1827"/>
      <c r="K275" s="1827"/>
      <c r="L275" s="1827"/>
      <c r="M275" s="1827"/>
      <c r="N275" s="1827"/>
      <c r="O275" s="1823" t="s">
        <v>1941</v>
      </c>
      <c r="P275" s="1823"/>
      <c r="Q275" s="1819" t="str">
        <f>'Part II-Development Team'!Q54</f>
        <v>Fred Bennett</v>
      </c>
      <c r="R275" s="1827"/>
      <c r="S275" s="1827"/>
    </row>
    <row r="276" spans="1:19" ht="13.8">
      <c r="A276" s="1819"/>
      <c r="B276" s="1819"/>
      <c r="C276" s="1819"/>
      <c r="D276" s="1831"/>
      <c r="E276" s="1823" t="s">
        <v>999</v>
      </c>
      <c r="F276" s="1826"/>
      <c r="G276" s="1819"/>
      <c r="H276" s="1819" t="str">
        <f>'Part II-Development Team'!H55</f>
        <v>730 N. Dean Road, Suite 100</v>
      </c>
      <c r="I276" s="1827"/>
      <c r="J276" s="1827"/>
      <c r="K276" s="1827"/>
      <c r="L276" s="1827"/>
      <c r="M276" s="1827"/>
      <c r="N276" s="1827"/>
      <c r="O276" s="1823" t="s">
        <v>1704</v>
      </c>
      <c r="P276" s="1819"/>
      <c r="Q276" s="1819" t="str">
        <f>'Part II-Development Team'!Q55</f>
        <v>Sole Member</v>
      </c>
      <c r="R276" s="1827"/>
      <c r="S276" s="1827"/>
    </row>
    <row r="277" spans="1:19" ht="13.8">
      <c r="A277" s="1819"/>
      <c r="B277" s="1819"/>
      <c r="C277" s="1819"/>
      <c r="D277" s="1831"/>
      <c r="E277" s="1823" t="s">
        <v>600</v>
      </c>
      <c r="F277" s="1819"/>
      <c r="G277" s="1819"/>
      <c r="H277" s="1819" t="str">
        <f>'Part II-Development Team'!H56</f>
        <v>Auburn</v>
      </c>
      <c r="I277" s="1827"/>
      <c r="J277" s="1827"/>
      <c r="K277" s="1821" t="s">
        <v>2624</v>
      </c>
      <c r="L277" s="1819" t="str">
        <f>'Part II-Development Team'!L56</f>
        <v>www.thebennettgrp.net</v>
      </c>
      <c r="M277" s="1827"/>
      <c r="N277" s="1827"/>
      <c r="O277" s="1823" t="s">
        <v>1679</v>
      </c>
      <c r="P277" s="1819"/>
      <c r="Q277" s="2188">
        <f>'Part II-Development Team'!Q56</f>
        <v>3343210529</v>
      </c>
      <c r="R277" s="2188"/>
      <c r="S277" s="2188"/>
    </row>
    <row r="278" spans="1:19" ht="13.8">
      <c r="A278" s="1819"/>
      <c r="B278" s="1819"/>
      <c r="C278" s="1819"/>
      <c r="D278" s="1819"/>
      <c r="E278" s="1823" t="s">
        <v>1754</v>
      </c>
      <c r="F278" s="1819"/>
      <c r="G278" s="1819"/>
      <c r="H278" s="1823" t="str">
        <f>'Part II-Development Team'!H57</f>
        <v>AL</v>
      </c>
      <c r="I278" s="1819"/>
      <c r="J278" s="1819"/>
      <c r="K278" s="1821" t="s">
        <v>2172</v>
      </c>
      <c r="L278" s="2187">
        <f>'Part II-Development Team'!L57</f>
        <v>368304303</v>
      </c>
      <c r="M278" s="1827"/>
      <c r="N278" s="1819"/>
      <c r="O278" s="1823" t="s">
        <v>1931</v>
      </c>
      <c r="P278" s="1819"/>
      <c r="Q278" s="2188">
        <f>'Part II-Development Team'!Q57</f>
        <v>3344440967</v>
      </c>
      <c r="R278" s="2188"/>
      <c r="S278" s="2188"/>
    </row>
    <row r="279" spans="1:19" ht="13.8">
      <c r="A279" s="1819"/>
      <c r="B279" s="1819"/>
      <c r="C279" s="1819"/>
      <c r="D279" s="1831"/>
      <c r="E279" s="1823" t="s">
        <v>3893</v>
      </c>
      <c r="F279" s="1819"/>
      <c r="G279" s="1819"/>
      <c r="H279" s="2188">
        <f>'Part II-Development Team'!H58</f>
        <v>3343210529</v>
      </c>
      <c r="I279" s="2188"/>
      <c r="J279" s="1829">
        <f>'Part II-Development Team'!J58</f>
        <v>0</v>
      </c>
      <c r="K279" s="1821" t="s">
        <v>1936</v>
      </c>
      <c r="L279" s="1965" t="str">
        <f>'Part II-Development Team'!L58</f>
        <v>fred@thebennettgrp.net</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1937</v>
      </c>
      <c r="C281" s="1819" t="s">
        <v>278</v>
      </c>
      <c r="D281" s="1819"/>
      <c r="E281" s="1819"/>
      <c r="F281" s="1819"/>
      <c r="G281" s="1819"/>
      <c r="H281" s="1819">
        <f>'Part II-Development Team'!H60</f>
        <v>0</v>
      </c>
      <c r="I281" s="1827"/>
      <c r="J281" s="1827"/>
      <c r="K281" s="1827"/>
      <c r="L281" s="1827"/>
      <c r="M281" s="1827"/>
      <c r="N281" s="1827"/>
      <c r="O281" s="1823" t="s">
        <v>1941</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2624</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2172</v>
      </c>
      <c r="L284" s="2187">
        <f>'Part II-Development Team'!L63</f>
        <v>0</v>
      </c>
      <c r="M284" s="1827"/>
      <c r="N284" s="1819"/>
      <c r="O284" s="1823" t="s">
        <v>1931</v>
      </c>
      <c r="P284" s="1819"/>
      <c r="Q284" s="2188">
        <f>'Part II-Development Team'!Q63</f>
        <v>0</v>
      </c>
      <c r="R284" s="2188"/>
      <c r="S284" s="2188"/>
    </row>
    <row r="285" spans="1:19" ht="13.8">
      <c r="A285" s="1819"/>
      <c r="B285" s="1819"/>
      <c r="C285" s="1819"/>
      <c r="D285" s="1831"/>
      <c r="E285" s="1823" t="s">
        <v>3893</v>
      </c>
      <c r="F285" s="1819"/>
      <c r="G285" s="1819"/>
      <c r="H285" s="2188">
        <f>'Part II-Development Team'!H64</f>
        <v>0</v>
      </c>
      <c r="I285" s="2188"/>
      <c r="J285" s="1829">
        <f>'Part II-Development Team'!J64</f>
        <v>0</v>
      </c>
      <c r="K285" s="1821" t="s">
        <v>1936</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1941</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2624</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2172</v>
      </c>
      <c r="L290" s="2187">
        <f>'Part II-Development Team'!L69</f>
        <v>0</v>
      </c>
      <c r="M290" s="1827"/>
      <c r="N290" s="1819"/>
      <c r="O290" s="1823" t="s">
        <v>1931</v>
      </c>
      <c r="P290" s="1819"/>
      <c r="Q290" s="2188">
        <f>'Part II-Development Team'!Q69</f>
        <v>0</v>
      </c>
      <c r="R290" s="2188"/>
      <c r="S290" s="2188"/>
    </row>
    <row r="291" spans="1:19" ht="13.8">
      <c r="A291" s="1819"/>
      <c r="B291" s="1819"/>
      <c r="C291" s="1819"/>
      <c r="D291" s="1831"/>
      <c r="E291" s="1823" t="s">
        <v>3893</v>
      </c>
      <c r="F291" s="1819"/>
      <c r="G291" s="1819"/>
      <c r="H291" s="2188">
        <f>'Part II-Development Team'!H70</f>
        <v>0</v>
      </c>
      <c r="I291" s="2188"/>
      <c r="J291" s="1829">
        <f>'Part II-Development Team'!J70</f>
        <v>0</v>
      </c>
      <c r="K291" s="1821" t="s">
        <v>1936</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2064</v>
      </c>
      <c r="C293" s="1819" t="s">
        <v>279</v>
      </c>
      <c r="D293" s="1819"/>
      <c r="E293" s="1819"/>
      <c r="F293" s="1819"/>
      <c r="G293" s="1819"/>
      <c r="H293" s="1819">
        <f>'Part II-Development Team'!H72</f>
        <v>0</v>
      </c>
      <c r="I293" s="1827"/>
      <c r="J293" s="1827"/>
      <c r="K293" s="1827"/>
      <c r="L293" s="1827"/>
      <c r="M293" s="1827"/>
      <c r="N293" s="1827"/>
      <c r="O293" s="1823" t="s">
        <v>1941</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2624</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2172</v>
      </c>
      <c r="L296" s="2187">
        <f>'Part II-Development Team'!L75</f>
        <v>0</v>
      </c>
      <c r="M296" s="1827"/>
      <c r="N296" s="1819"/>
      <c r="O296" s="1823" t="s">
        <v>1931</v>
      </c>
      <c r="P296" s="1819"/>
      <c r="Q296" s="2188">
        <f>'Part II-Development Team'!Q75</f>
        <v>0</v>
      </c>
      <c r="R296" s="2188"/>
      <c r="S296" s="2188"/>
    </row>
    <row r="297" spans="1:19" ht="13.8">
      <c r="A297" s="1819"/>
      <c r="B297" s="1819"/>
      <c r="C297" s="1819"/>
      <c r="D297" s="1831"/>
      <c r="E297" s="1823" t="s">
        <v>3893</v>
      </c>
      <c r="F297" s="1819"/>
      <c r="G297" s="1819"/>
      <c r="H297" s="2188">
        <f>'Part II-Development Team'!H76</f>
        <v>0</v>
      </c>
      <c r="I297" s="2188"/>
      <c r="J297" s="1829">
        <f>'Part II-Development Team'!J76</f>
        <v>0</v>
      </c>
      <c r="K297" s="1821" t="s">
        <v>1936</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3892</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1935</v>
      </c>
      <c r="C301" s="1819" t="s">
        <v>281</v>
      </c>
      <c r="D301" s="1819"/>
      <c r="E301" s="1819"/>
      <c r="F301" s="1819"/>
      <c r="G301" s="1819"/>
      <c r="H301" s="1819">
        <f>'Part II-Development Team'!H80</f>
        <v>0</v>
      </c>
      <c r="I301" s="1827"/>
      <c r="J301" s="1827"/>
      <c r="K301" s="1827"/>
      <c r="L301" s="1827"/>
      <c r="M301" s="1827"/>
      <c r="N301" s="1827"/>
      <c r="O301" s="1823" t="s">
        <v>1941</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2624</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2172</v>
      </c>
      <c r="L304" s="2187">
        <f>'Part II-Development Team'!L83</f>
        <v>0</v>
      </c>
      <c r="M304" s="1827"/>
      <c r="N304" s="1819"/>
      <c r="O304" s="1823" t="s">
        <v>1931</v>
      </c>
      <c r="P304" s="1819"/>
      <c r="Q304" s="2188">
        <f>'Part II-Development Team'!Q83</f>
        <v>0</v>
      </c>
      <c r="R304" s="2188"/>
      <c r="S304" s="2188"/>
    </row>
    <row r="305" spans="1:19" ht="13.8">
      <c r="A305" s="1819"/>
      <c r="B305" s="1819"/>
      <c r="C305" s="1819"/>
      <c r="D305" s="1831"/>
      <c r="E305" s="1823" t="s">
        <v>3893</v>
      </c>
      <c r="F305" s="1819"/>
      <c r="G305" s="1819"/>
      <c r="H305" s="2188">
        <f>'Part II-Development Team'!H84</f>
        <v>0</v>
      </c>
      <c r="I305" s="2188"/>
      <c r="J305" s="1829">
        <f>'Part II-Development Team'!J84</f>
        <v>0</v>
      </c>
      <c r="K305" s="1821" t="s">
        <v>1936</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1937</v>
      </c>
      <c r="C307" s="1819" t="s">
        <v>282</v>
      </c>
      <c r="D307" s="1819"/>
      <c r="E307" s="1819"/>
      <c r="F307" s="1819"/>
      <c r="G307" s="1819"/>
      <c r="H307" s="1819" t="str">
        <f>'Part II-Development Team'!H86</f>
        <v>Fairway Construction Company, Inc.</v>
      </c>
      <c r="I307" s="1827"/>
      <c r="J307" s="1827"/>
      <c r="K307" s="1827"/>
      <c r="L307" s="1827"/>
      <c r="M307" s="1827"/>
      <c r="N307" s="1827"/>
      <c r="O307" s="1823" t="s">
        <v>1941</v>
      </c>
      <c r="P307" s="1823"/>
      <c r="Q307" s="1819" t="str">
        <f>'Part II-Development Team'!Q86</f>
        <v>Will Markel</v>
      </c>
      <c r="R307" s="1827"/>
      <c r="S307" s="1827"/>
    </row>
    <row r="308" spans="1:19" ht="13.8">
      <c r="A308" s="1819"/>
      <c r="B308" s="1819"/>
      <c r="C308" s="1819"/>
      <c r="D308" s="1831"/>
      <c r="E308" s="1823" t="s">
        <v>999</v>
      </c>
      <c r="F308" s="1826"/>
      <c r="G308" s="1819"/>
      <c r="H308" s="1819" t="str">
        <f>'Part II-Development Team'!H87</f>
        <v>206 Peach Way</v>
      </c>
      <c r="I308" s="1827"/>
      <c r="J308" s="1827"/>
      <c r="K308" s="1827"/>
      <c r="L308" s="1827"/>
      <c r="M308" s="1827"/>
      <c r="N308" s="1827"/>
      <c r="O308" s="1823" t="s">
        <v>1704</v>
      </c>
      <c r="P308" s="1819"/>
      <c r="Q308" s="1819" t="str">
        <f>'Part II-Development Team'!Q87</f>
        <v>Executive Vice President</v>
      </c>
      <c r="R308" s="1827"/>
      <c r="S308" s="1827"/>
    </row>
    <row r="309" spans="1:19" ht="13.8">
      <c r="A309" s="1819"/>
      <c r="B309" s="1819"/>
      <c r="C309" s="1819"/>
      <c r="D309" s="1831"/>
      <c r="E309" s="1823" t="s">
        <v>600</v>
      </c>
      <c r="F309" s="1819"/>
      <c r="G309" s="1819"/>
      <c r="H309" s="1819" t="str">
        <f>'Part II-Development Team'!H88</f>
        <v>Columbia</v>
      </c>
      <c r="I309" s="1827"/>
      <c r="J309" s="1827"/>
      <c r="K309" s="1821" t="s">
        <v>2624</v>
      </c>
      <c r="L309" s="1819" t="str">
        <f>'Part II-Development Team'!L88</f>
        <v>www.fairwayconstruction.net</v>
      </c>
      <c r="M309" s="1827"/>
      <c r="N309" s="1827"/>
      <c r="O309" s="1823" t="s">
        <v>1679</v>
      </c>
      <c r="P309" s="1819"/>
      <c r="Q309" s="2188">
        <f>'Part II-Development Team'!Q88</f>
        <v>5734432021</v>
      </c>
      <c r="R309" s="2188"/>
      <c r="S309" s="2188"/>
    </row>
    <row r="310" spans="1:19" ht="13.8">
      <c r="A310" s="1819"/>
      <c r="B310" s="1819"/>
      <c r="C310" s="1819"/>
      <c r="D310" s="1819"/>
      <c r="E310" s="1823" t="s">
        <v>1754</v>
      </c>
      <c r="F310" s="1819"/>
      <c r="G310" s="1819"/>
      <c r="H310" s="1823" t="str">
        <f>'Part II-Development Team'!H89</f>
        <v>MO</v>
      </c>
      <c r="I310" s="1819"/>
      <c r="J310" s="1819"/>
      <c r="K310" s="1821" t="s">
        <v>2172</v>
      </c>
      <c r="L310" s="2187">
        <f>'Part II-Development Team'!L89</f>
        <v>652034905</v>
      </c>
      <c r="M310" s="1827"/>
      <c r="N310" s="1819"/>
      <c r="O310" s="1823" t="s">
        <v>1931</v>
      </c>
      <c r="P310" s="1819"/>
      <c r="Q310" s="2188">
        <f>'Part II-Development Team'!Q89</f>
        <v>0</v>
      </c>
      <c r="R310" s="2188"/>
      <c r="S310" s="2188"/>
    </row>
    <row r="311" spans="1:19" ht="13.8">
      <c r="A311" s="1819"/>
      <c r="B311" s="1819"/>
      <c r="C311" s="1819"/>
      <c r="D311" s="1831"/>
      <c r="E311" s="1823" t="s">
        <v>3893</v>
      </c>
      <c r="F311" s="1819"/>
      <c r="G311" s="1819"/>
      <c r="H311" s="2188">
        <f>'Part II-Development Team'!H90</f>
        <v>5734432021</v>
      </c>
      <c r="I311" s="2188"/>
      <c r="J311" s="1829">
        <f>'Part II-Development Team'!J90</f>
        <v>0</v>
      </c>
      <c r="K311" s="1821" t="s">
        <v>1936</v>
      </c>
      <c r="L311" s="1965" t="str">
        <f>'Part II-Development Team'!L90</f>
        <v>tstanley@fairwayconstruction.net</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Fairway Management Co., Inc</v>
      </c>
      <c r="I313" s="1827"/>
      <c r="J313" s="1827"/>
      <c r="K313" s="1827"/>
      <c r="L313" s="1827"/>
      <c r="M313" s="1827"/>
      <c r="N313" s="1827"/>
      <c r="O313" s="1823" t="s">
        <v>1941</v>
      </c>
      <c r="P313" s="1823"/>
      <c r="Q313" s="1819" t="str">
        <f>'Part II-Development Team'!Q92</f>
        <v>Ryan Stevens</v>
      </c>
      <c r="R313" s="1827"/>
      <c r="S313" s="1827"/>
    </row>
    <row r="314" spans="1:19" ht="13.8">
      <c r="A314" s="1819"/>
      <c r="B314" s="1819"/>
      <c r="C314" s="1819"/>
      <c r="D314" s="1831"/>
      <c r="E314" s="1823" t="s">
        <v>999</v>
      </c>
      <c r="F314" s="1826"/>
      <c r="G314" s="1819"/>
      <c r="H314" s="1819" t="str">
        <f>'Part II-Development Team'!H93</f>
        <v>3290 Northside Parkway, Suite 300</v>
      </c>
      <c r="I314" s="1827"/>
      <c r="J314" s="1827"/>
      <c r="K314" s="1827"/>
      <c r="L314" s="1827"/>
      <c r="M314" s="1827"/>
      <c r="N314" s="1827"/>
      <c r="O314" s="1823" t="s">
        <v>1704</v>
      </c>
      <c r="P314" s="1819"/>
      <c r="Q314" s="1819" t="str">
        <f>'Part II-Development Team'!Q93</f>
        <v>Director of Operations</v>
      </c>
      <c r="R314" s="1827"/>
      <c r="S314" s="1827"/>
    </row>
    <row r="315" spans="1:19" ht="13.8">
      <c r="A315" s="1819"/>
      <c r="B315" s="1819"/>
      <c r="C315" s="1819"/>
      <c r="D315" s="1831"/>
      <c r="E315" s="1823" t="s">
        <v>600</v>
      </c>
      <c r="F315" s="1819"/>
      <c r="G315" s="1819"/>
      <c r="H315" s="1819" t="str">
        <f>'Part II-Development Team'!H94</f>
        <v>Atlanta</v>
      </c>
      <c r="I315" s="1827"/>
      <c r="J315" s="1827"/>
      <c r="K315" s="1821" t="s">
        <v>2624</v>
      </c>
      <c r="L315" s="1819" t="str">
        <f>'Part II-Development Team'!L94</f>
        <v>www.fairwaymanagement.com</v>
      </c>
      <c r="M315" s="1827"/>
      <c r="N315" s="1827"/>
      <c r="O315" s="1823" t="s">
        <v>1679</v>
      </c>
      <c r="P315" s="1819"/>
      <c r="Q315" s="2188">
        <f>'Part II-Development Team'!Q94</f>
        <v>5734432021</v>
      </c>
      <c r="R315" s="2188"/>
      <c r="S315" s="2188"/>
    </row>
    <row r="316" spans="1:19" ht="13.8">
      <c r="A316" s="1819"/>
      <c r="B316" s="1819"/>
      <c r="C316" s="1819"/>
      <c r="D316" s="1831"/>
      <c r="E316" s="1823" t="s">
        <v>1754</v>
      </c>
      <c r="F316" s="1819"/>
      <c r="G316" s="1819"/>
      <c r="H316" s="1823" t="str">
        <f>'Part II-Development Team'!H95</f>
        <v>GA</v>
      </c>
      <c r="I316" s="1819"/>
      <c r="J316" s="1819"/>
      <c r="K316" s="1821" t="s">
        <v>2172</v>
      </c>
      <c r="L316" s="2187">
        <f>'Part II-Development Team'!L95</f>
        <v>303272212</v>
      </c>
      <c r="M316" s="1827"/>
      <c r="N316" s="1819"/>
      <c r="O316" s="1823" t="s">
        <v>1931</v>
      </c>
      <c r="P316" s="1819"/>
      <c r="Q316" s="2188">
        <f>'Part II-Development Team'!Q95</f>
        <v>0</v>
      </c>
      <c r="R316" s="2188"/>
      <c r="S316" s="2188"/>
    </row>
    <row r="317" spans="1:19" ht="13.8">
      <c r="A317" s="1819"/>
      <c r="B317" s="1819"/>
      <c r="C317" s="1819"/>
      <c r="D317" s="1831"/>
      <c r="E317" s="1823" t="s">
        <v>3893</v>
      </c>
      <c r="F317" s="1819"/>
      <c r="G317" s="1819"/>
      <c r="H317" s="2188">
        <f>'Part II-Development Team'!H96</f>
        <v>5734432021</v>
      </c>
      <c r="I317" s="2188"/>
      <c r="J317" s="1829">
        <f>'Part II-Development Team'!J96</f>
        <v>0</v>
      </c>
      <c r="K317" s="1821" t="s">
        <v>1936</v>
      </c>
      <c r="L317" s="1965" t="str">
        <f>'Part II-Development Team'!L96</f>
        <v>rstevens@fairwaymanagement.com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2064</v>
      </c>
      <c r="C319" s="1819" t="s">
        <v>284</v>
      </c>
      <c r="D319" s="1819"/>
      <c r="E319" s="1819"/>
      <c r="F319" s="1819"/>
      <c r="G319" s="1819"/>
      <c r="H319" s="1819" t="str">
        <f>'Part II-Development Team'!H98</f>
        <v>Bradley</v>
      </c>
      <c r="I319" s="1827"/>
      <c r="J319" s="1827"/>
      <c r="K319" s="1827"/>
      <c r="L319" s="1827"/>
      <c r="M319" s="1827"/>
      <c r="N319" s="1827"/>
      <c r="O319" s="1823" t="s">
        <v>1941</v>
      </c>
      <c r="P319" s="1823"/>
      <c r="Q319" s="1819" t="str">
        <f>'Part II-Development Team'!Q98</f>
        <v>Atkinson Roberts</v>
      </c>
      <c r="R319" s="1827"/>
      <c r="S319" s="1827"/>
    </row>
    <row r="320" spans="1:19" ht="13.8">
      <c r="A320" s="1819"/>
      <c r="B320" s="1819"/>
      <c r="C320" s="1819"/>
      <c r="D320" s="1831"/>
      <c r="E320" s="1823" t="s">
        <v>999</v>
      </c>
      <c r="F320" s="1826"/>
      <c r="G320" s="1819"/>
      <c r="H320" s="1819" t="str">
        <f>'Part II-Development Team'!H99</f>
        <v>1918 5th Avenue N</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Birmingham</v>
      </c>
      <c r="I321" s="1827"/>
      <c r="J321" s="1827"/>
      <c r="K321" s="1821" t="s">
        <v>2624</v>
      </c>
      <c r="L321" s="1819">
        <f>'Part II-Development Team'!L100</f>
        <v>0</v>
      </c>
      <c r="M321" s="1827"/>
      <c r="N321" s="1827"/>
      <c r="O321" s="1823" t="s">
        <v>1679</v>
      </c>
      <c r="P321" s="1819"/>
      <c r="Q321" s="2188">
        <f>'Part II-Development Team'!Q100</f>
        <v>2055218501</v>
      </c>
      <c r="R321" s="2188"/>
      <c r="S321" s="2188"/>
    </row>
    <row r="322" spans="1:19" ht="13.8">
      <c r="A322" s="1819"/>
      <c r="B322" s="1819"/>
      <c r="C322" s="1819"/>
      <c r="D322" s="1831"/>
      <c r="E322" s="1823" t="s">
        <v>1754</v>
      </c>
      <c r="F322" s="1819"/>
      <c r="G322" s="1819"/>
      <c r="H322" s="1823" t="str">
        <f>'Part II-Development Team'!H101</f>
        <v>AL</v>
      </c>
      <c r="I322" s="1819"/>
      <c r="J322" s="1819"/>
      <c r="K322" s="1821" t="s">
        <v>2172</v>
      </c>
      <c r="L322" s="2187">
        <f>'Part II-Development Team'!L101</f>
        <v>352030000</v>
      </c>
      <c r="M322" s="1827"/>
      <c r="N322" s="1819"/>
      <c r="O322" s="1823" t="s">
        <v>1931</v>
      </c>
      <c r="P322" s="1819"/>
      <c r="Q322" s="2188">
        <f>'Part II-Development Team'!Q101</f>
        <v>0</v>
      </c>
      <c r="R322" s="2188"/>
      <c r="S322" s="2188"/>
    </row>
    <row r="323" spans="1:19" ht="13.8">
      <c r="A323" s="1827"/>
      <c r="B323" s="1827"/>
      <c r="C323" s="1827"/>
      <c r="D323" s="1827"/>
      <c r="E323" s="1823" t="s">
        <v>3893</v>
      </c>
      <c r="F323" s="1819"/>
      <c r="G323" s="1819"/>
      <c r="H323" s="2188">
        <f>'Part II-Development Team'!H102</f>
        <v>2055669976</v>
      </c>
      <c r="I323" s="2188"/>
      <c r="J323" s="1829">
        <f>'Part II-Development Team'!J102</f>
        <v>0</v>
      </c>
      <c r="K323" s="1821" t="s">
        <v>1936</v>
      </c>
      <c r="L323" s="1965" t="str">
        <f>'Part II-Development Team'!L102</f>
        <v>aroberts@babc.com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Howe &amp; Associates</v>
      </c>
      <c r="I325" s="1827"/>
      <c r="J325" s="1827"/>
      <c r="K325" s="1827"/>
      <c r="L325" s="1827"/>
      <c r="M325" s="1827"/>
      <c r="N325" s="1827"/>
      <c r="O325" s="1823" t="s">
        <v>1941</v>
      </c>
      <c r="P325" s="1823"/>
      <c r="Q325" s="1819" t="str">
        <f>'Part II-Development Team'!Q104</f>
        <v>Bill Howe</v>
      </c>
      <c r="R325" s="1827"/>
      <c r="S325" s="1827"/>
    </row>
    <row r="326" spans="1:19" ht="13.8">
      <c r="A326" s="1819"/>
      <c r="B326" s="1819"/>
      <c r="C326" s="1819"/>
      <c r="D326" s="1831"/>
      <c r="E326" s="1823" t="s">
        <v>999</v>
      </c>
      <c r="F326" s="1826"/>
      <c r="G326" s="1819"/>
      <c r="H326" s="1819" t="str">
        <f>'Part II-Development Team'!H105</f>
        <v>104 E Broadway</v>
      </c>
      <c r="I326" s="1827"/>
      <c r="J326" s="1827"/>
      <c r="K326" s="1827"/>
      <c r="L326" s="1827"/>
      <c r="M326" s="1827"/>
      <c r="N326" s="1827"/>
      <c r="O326" s="1823" t="s">
        <v>1704</v>
      </c>
      <c r="P326" s="1819"/>
      <c r="Q326" s="1819" t="str">
        <f>'Part II-Development Team'!Q105</f>
        <v>Owner</v>
      </c>
      <c r="R326" s="1827"/>
      <c r="S326" s="1827"/>
    </row>
    <row r="327" spans="1:19" ht="13.8">
      <c r="A327" s="1819"/>
      <c r="B327" s="1819"/>
      <c r="C327" s="1819"/>
      <c r="D327" s="1831"/>
      <c r="E327" s="1823" t="s">
        <v>600</v>
      </c>
      <c r="F327" s="1819"/>
      <c r="G327" s="1819"/>
      <c r="H327" s="1819" t="str">
        <f>'Part II-Development Team'!H106</f>
        <v>Columbia</v>
      </c>
      <c r="I327" s="1827"/>
      <c r="J327" s="1827"/>
      <c r="K327" s="1821" t="s">
        <v>2624</v>
      </c>
      <c r="L327" s="1819">
        <f>'Part II-Development Team'!L106</f>
        <v>0</v>
      </c>
      <c r="M327" s="1827"/>
      <c r="N327" s="1827"/>
      <c r="O327" s="1823" t="s">
        <v>1679</v>
      </c>
      <c r="P327" s="1819"/>
      <c r="Q327" s="2188">
        <f>'Part II-Development Team'!Q106</f>
        <v>5738741040</v>
      </c>
      <c r="R327" s="2188"/>
      <c r="S327" s="2188"/>
    </row>
    <row r="328" spans="1:19" ht="13.8">
      <c r="A328" s="1819"/>
      <c r="B328" s="1819"/>
      <c r="C328" s="1819"/>
      <c r="D328" s="1831"/>
      <c r="E328" s="1823" t="s">
        <v>1754</v>
      </c>
      <c r="F328" s="1819"/>
      <c r="G328" s="1819"/>
      <c r="H328" s="1823" t="str">
        <f>'Part II-Development Team'!H107</f>
        <v>MO</v>
      </c>
      <c r="I328" s="1819"/>
      <c r="J328" s="1819"/>
      <c r="K328" s="1821" t="s">
        <v>2172</v>
      </c>
      <c r="L328" s="2187">
        <f>'Part II-Development Team'!L107</f>
        <v>652034256</v>
      </c>
      <c r="M328" s="1827"/>
      <c r="N328" s="1819"/>
      <c r="O328" s="1823" t="s">
        <v>1931</v>
      </c>
      <c r="P328" s="1819"/>
      <c r="Q328" s="2188">
        <f>'Part II-Development Team'!Q107</f>
        <v>0</v>
      </c>
      <c r="R328" s="2188"/>
      <c r="S328" s="2188"/>
    </row>
    <row r="329" spans="1:19" ht="13.8">
      <c r="A329" s="1827"/>
      <c r="B329" s="1827"/>
      <c r="C329" s="1827"/>
      <c r="D329" s="1827"/>
      <c r="E329" s="1823" t="s">
        <v>3893</v>
      </c>
      <c r="F329" s="1819"/>
      <c r="G329" s="1819"/>
      <c r="H329" s="2188">
        <f>'Part II-Development Team'!H108</f>
        <v>5738741040</v>
      </c>
      <c r="I329" s="2188"/>
      <c r="J329" s="1829">
        <f>'Part II-Development Team'!J108</f>
        <v>0</v>
      </c>
      <c r="K329" s="1821" t="s">
        <v>1936</v>
      </c>
      <c r="L329" s="1965">
        <f>'Part II-Development Team'!L108</f>
        <v>0</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McKean &amp; Associates, Architects, LLC</v>
      </c>
      <c r="I331" s="1827"/>
      <c r="J331" s="1827"/>
      <c r="K331" s="1827"/>
      <c r="L331" s="1827"/>
      <c r="M331" s="1827"/>
      <c r="N331" s="1827"/>
      <c r="O331" s="1823" t="s">
        <v>1941</v>
      </c>
      <c r="P331" s="1823"/>
      <c r="Q331" s="1819" t="str">
        <f>'Part II-Development Team'!Q110</f>
        <v>Rory McKean</v>
      </c>
      <c r="R331" s="1827"/>
      <c r="S331" s="1827"/>
    </row>
    <row r="332" spans="1:19" ht="13.8">
      <c r="A332" s="1819"/>
      <c r="B332" s="1819"/>
      <c r="C332" s="1819"/>
      <c r="D332" s="1831"/>
      <c r="E332" s="1823" t="s">
        <v>999</v>
      </c>
      <c r="F332" s="1826"/>
      <c r="G332" s="1819"/>
      <c r="H332" s="1819" t="str">
        <f>'Part II-Development Team'!H111</f>
        <v>2315 Eastchase Lane</v>
      </c>
      <c r="I332" s="1827"/>
      <c r="J332" s="1827"/>
      <c r="K332" s="1827"/>
      <c r="L332" s="1827"/>
      <c r="M332" s="1827"/>
      <c r="N332" s="1827"/>
      <c r="O332" s="1823" t="s">
        <v>1704</v>
      </c>
      <c r="P332" s="1819"/>
      <c r="Q332" s="1819" t="str">
        <f>'Part II-Development Team'!Q111</f>
        <v>President</v>
      </c>
      <c r="R332" s="1827"/>
      <c r="S332" s="1827"/>
    </row>
    <row r="333" spans="1:19" ht="13.8">
      <c r="A333" s="1819"/>
      <c r="B333" s="1819"/>
      <c r="C333" s="1819"/>
      <c r="D333" s="1831"/>
      <c r="E333" s="1823" t="s">
        <v>600</v>
      </c>
      <c r="F333" s="1819"/>
      <c r="G333" s="1819"/>
      <c r="H333" s="1819" t="str">
        <f>'Part II-Development Team'!H112</f>
        <v>Montgomery</v>
      </c>
      <c r="I333" s="1827"/>
      <c r="J333" s="1827"/>
      <c r="K333" s="1821" t="s">
        <v>2624</v>
      </c>
      <c r="L333" s="1819">
        <f>'Part II-Development Team'!L112</f>
        <v>0</v>
      </c>
      <c r="M333" s="1827"/>
      <c r="N333" s="1827"/>
      <c r="O333" s="1823" t="s">
        <v>1679</v>
      </c>
      <c r="P333" s="1819"/>
      <c r="Q333" s="2188">
        <f>'Part II-Development Team'!Q112</f>
        <v>3342724044</v>
      </c>
      <c r="R333" s="2188"/>
      <c r="S333" s="2188"/>
    </row>
    <row r="334" spans="1:19" ht="13.8">
      <c r="A334" s="1819"/>
      <c r="B334" s="1819"/>
      <c r="C334" s="1819"/>
      <c r="D334" s="1831"/>
      <c r="E334" s="1823" t="s">
        <v>1754</v>
      </c>
      <c r="F334" s="1819"/>
      <c r="G334" s="1819"/>
      <c r="H334" s="1823" t="str">
        <f>'Part II-Development Team'!H113</f>
        <v>AL</v>
      </c>
      <c r="I334" s="1819"/>
      <c r="J334" s="1819"/>
      <c r="K334" s="1821" t="s">
        <v>2172</v>
      </c>
      <c r="L334" s="2187">
        <f>'Part II-Development Team'!L113</f>
        <v>361177026</v>
      </c>
      <c r="M334" s="1827"/>
      <c r="N334" s="1819"/>
      <c r="O334" s="1823" t="s">
        <v>1931</v>
      </c>
      <c r="P334" s="1819"/>
      <c r="Q334" s="2188">
        <f>'Part II-Development Team'!Q113</f>
        <v>0</v>
      </c>
      <c r="R334" s="2188"/>
      <c r="S334" s="2188"/>
    </row>
    <row r="335" spans="1:19" ht="13.8">
      <c r="A335" s="1819"/>
      <c r="B335" s="1819"/>
      <c r="C335" s="1819"/>
      <c r="D335" s="1831"/>
      <c r="E335" s="1823" t="s">
        <v>3893</v>
      </c>
      <c r="F335" s="1819"/>
      <c r="G335" s="1819"/>
      <c r="H335" s="2188">
        <f>'Part II-Development Team'!H114</f>
        <v>3342724044</v>
      </c>
      <c r="I335" s="2188"/>
      <c r="J335" s="1829">
        <f>'Part II-Development Team'!J114</f>
        <v>0</v>
      </c>
      <c r="K335" s="1821" t="s">
        <v>1936</v>
      </c>
      <c r="L335" s="1965" t="str">
        <f>'Part II-Development Team'!L114</f>
        <v>mckean@mckeanarch.com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2535</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1935</v>
      </c>
      <c r="C338" s="1819" t="s">
        <v>6851</v>
      </c>
      <c r="D338" s="1819"/>
      <c r="E338" s="1819"/>
      <c r="F338" s="1819"/>
      <c r="G338" s="1819"/>
      <c r="H338" s="1819" t="str">
        <f>'Part II-Development Team'!H117</f>
        <v>Divine Development Group, LLC</v>
      </c>
      <c r="I338" s="1819"/>
      <c r="J338" s="1819"/>
      <c r="K338" s="1821" t="s">
        <v>2409</v>
      </c>
      <c r="L338" s="1819" t="str">
        <f>'Part II-Development Team'!L117</f>
        <v>Danny Patel</v>
      </c>
      <c r="M338" s="1827"/>
      <c r="N338" s="1827"/>
      <c r="O338" s="1823" t="s">
        <v>3440</v>
      </c>
      <c r="P338" s="1819"/>
      <c r="Q338" s="2188">
        <f>'Part II-Development Team'!Q117</f>
        <v>0</v>
      </c>
      <c r="R338" s="2188"/>
      <c r="S338" s="2188"/>
    </row>
    <row r="339" spans="1:19" ht="13.8">
      <c r="A339" s="1819"/>
      <c r="B339" s="1819"/>
      <c r="C339" s="1819"/>
      <c r="D339" s="1831"/>
      <c r="E339" s="1823" t="s">
        <v>999</v>
      </c>
      <c r="F339" s="1826"/>
      <c r="G339" s="1819"/>
      <c r="H339" s="1819" t="str">
        <f>'Part II-Development Team'!H118</f>
        <v>104 Royal Crest Circle</v>
      </c>
      <c r="I339" s="1827"/>
      <c r="J339" s="1827"/>
      <c r="K339" s="1827"/>
      <c r="L339" s="1827"/>
      <c r="M339" s="1827"/>
      <c r="N339" s="1827"/>
      <c r="O339" s="1823" t="s">
        <v>600</v>
      </c>
      <c r="P339" s="1819"/>
      <c r="Q339" s="1819" t="str">
        <f>'Part II-Development Team'!Q118</f>
        <v>Kathleen</v>
      </c>
      <c r="R339" s="1827"/>
      <c r="S339" s="1827"/>
    </row>
    <row r="340" spans="1:19" ht="13.8">
      <c r="A340" s="1819"/>
      <c r="B340" s="1819"/>
      <c r="C340" s="1819"/>
      <c r="D340" s="1831"/>
      <c r="E340" s="1823" t="s">
        <v>1754</v>
      </c>
      <c r="F340" s="1819"/>
      <c r="G340" s="1819"/>
      <c r="H340" s="1823" t="str">
        <f>'Part II-Development Team'!H119</f>
        <v>GA</v>
      </c>
      <c r="I340" s="1821" t="s">
        <v>2172</v>
      </c>
      <c r="J340" s="2187">
        <f>'Part II-Development Team'!J119</f>
        <v>300470000</v>
      </c>
      <c r="K340" s="1827"/>
      <c r="L340" s="1821" t="s">
        <v>1936</v>
      </c>
      <c r="M340" s="1965">
        <f>'Part II-Development Team'!M119</f>
        <v>0</v>
      </c>
      <c r="N340" s="1965"/>
      <c r="O340" s="1965"/>
      <c r="P340" s="1965"/>
      <c r="Q340" s="1965"/>
      <c r="R340" s="1965"/>
      <c r="S340" s="1965"/>
    </row>
    <row r="341" spans="1:19" ht="13.8">
      <c r="A341" s="1827"/>
      <c r="B341" s="1819" t="s">
        <v>1937</v>
      </c>
      <c r="C341" s="1819" t="s">
        <v>6804</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3655</v>
      </c>
      <c r="B342" s="1819"/>
      <c r="C342" s="1819"/>
      <c r="D342" s="1819"/>
      <c r="E342" s="1819"/>
      <c r="F342" s="1821" t="s">
        <v>2443</v>
      </c>
      <c r="G342" s="1819" t="s">
        <v>3356</v>
      </c>
      <c r="H342" s="1819"/>
      <c r="I342" s="1819"/>
      <c r="J342" s="1819"/>
      <c r="K342" s="1819"/>
      <c r="L342" s="1819"/>
      <c r="M342" s="1819"/>
      <c r="N342" s="1819"/>
      <c r="O342" s="1819"/>
      <c r="P342" s="1819"/>
      <c r="Q342" s="1819"/>
      <c r="R342" s="1819"/>
      <c r="S342" s="1819"/>
    </row>
    <row r="343" spans="1:19" ht="13.95" customHeight="1">
      <c r="A343" s="1819"/>
      <c r="B343" s="1844"/>
      <c r="C343" s="2070" t="s">
        <v>1938</v>
      </c>
      <c r="D343" s="1844" t="s">
        <v>2736</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1940</v>
      </c>
      <c r="D344" s="1844" t="s">
        <v>2797</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2467</v>
      </c>
      <c r="D345" s="1844" t="s">
        <v>2776</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2737</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3347</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1833</v>
      </c>
      <c r="D348" s="1844" t="s">
        <v>3348</v>
      </c>
      <c r="E348" s="1844"/>
      <c r="F348" s="2071" t="str">
        <f>'Part II-Development Team'!F127</f>
        <v>Yes</v>
      </c>
      <c r="G348" s="1956" t="str">
        <f>'Part II-Development Team'!G127</f>
        <v>The Federal and State Syndicator and the General Contractor are related parties.</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2738</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4445</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4444</v>
      </c>
      <c r="D351" s="1844" t="str">
        <f>'Part II-Development Team'!D130</f>
        <v>Syndicator &amp; Management</v>
      </c>
      <c r="E351" s="1844"/>
      <c r="F351" s="2071" t="str">
        <f>'Part II-Development Team'!F130</f>
        <v>Yes</v>
      </c>
      <c r="G351" s="1956" t="str">
        <f>'Part II-Development Team'!G130</f>
        <v>The Federal and State Syndicator and the Management Company are related parties.</v>
      </c>
      <c r="H351" s="1956"/>
      <c r="I351" s="1956"/>
      <c r="J351" s="1956"/>
      <c r="K351" s="1956"/>
      <c r="L351" s="1956"/>
      <c r="M351" s="1956"/>
      <c r="N351" s="1956"/>
      <c r="O351" s="1956"/>
      <c r="P351" s="1956"/>
      <c r="Q351" s="1956"/>
      <c r="R351" s="1956"/>
      <c r="S351" s="1956"/>
    </row>
    <row r="352" spans="1:19" ht="13.8">
      <c r="A352" s="1819" t="s">
        <v>1748</v>
      </c>
      <c r="B352" s="1819" t="s">
        <v>6920</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6805</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3332</v>
      </c>
      <c r="F355" s="1844"/>
      <c r="G355" s="1844"/>
      <c r="H355" s="1844"/>
      <c r="I355" s="1844"/>
      <c r="J355" s="1844" t="s">
        <v>3333</v>
      </c>
      <c r="K355" s="1844" t="s">
        <v>6852</v>
      </c>
      <c r="L355" s="1844" t="s">
        <v>6853</v>
      </c>
      <c r="M355" s="1844" t="s">
        <v>6854</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6895</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2443</v>
      </c>
      <c r="J359" s="1844"/>
      <c r="K359" s="1844"/>
      <c r="L359" s="1844"/>
      <c r="M359" s="1829" t="s">
        <v>2443</v>
      </c>
      <c r="N359" s="1827" t="s">
        <v>2802</v>
      </c>
      <c r="O359" s="1827"/>
      <c r="P359" s="1827"/>
      <c r="Q359" s="1827"/>
      <c r="R359" s="1827"/>
      <c r="S359" s="1827"/>
    </row>
    <row r="360" spans="1:19" ht="13.95" customHeight="1">
      <c r="A360" s="1887" t="s">
        <v>3327</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1E-4</v>
      </c>
      <c r="M360" s="2071" t="str">
        <f>'Part II-Development Team'!M139</f>
        <v>No</v>
      </c>
      <c r="N360" s="1956">
        <f>'Part II-Development Team'!N139</f>
        <v>0</v>
      </c>
      <c r="O360" s="1956"/>
      <c r="P360" s="1956"/>
      <c r="Q360" s="1956"/>
      <c r="R360" s="1956"/>
      <c r="S360" s="1956"/>
    </row>
    <row r="361" spans="1:19" ht="13.95" customHeight="1">
      <c r="A361" s="1887" t="s">
        <v>3328</v>
      </c>
      <c r="B361" s="1887"/>
      <c r="C361" s="1887"/>
      <c r="D361" s="1887"/>
      <c r="E361" s="1956">
        <f>'Part II-Development Team'!E140</f>
        <v>0</v>
      </c>
      <c r="F361" s="1956"/>
      <c r="G361" s="1956"/>
      <c r="H361" s="1956"/>
      <c r="I361" s="2071" t="str">
        <f>'Part II-Development Team'!I140</f>
        <v>Select</v>
      </c>
      <c r="J361" s="2071" t="str">
        <f>'Part II-Development Team'!J140</f>
        <v>Select</v>
      </c>
      <c r="K361" s="2197">
        <f>'Part II-Development Team'!K140</f>
        <v>0</v>
      </c>
      <c r="L361" s="2198">
        <f>'Part II-Development Team'!L140</f>
        <v>0</v>
      </c>
      <c r="M361" s="2071" t="str">
        <f>'Part II-Development Team'!M140</f>
        <v>Select</v>
      </c>
      <c r="N361" s="1956">
        <f>'Part II-Development Team'!N140</f>
        <v>0</v>
      </c>
      <c r="O361" s="1956"/>
      <c r="P361" s="1956"/>
      <c r="Q361" s="1956"/>
      <c r="R361" s="1956"/>
      <c r="S361" s="1956"/>
    </row>
    <row r="362" spans="1:19" ht="13.95" customHeight="1">
      <c r="A362" s="1887" t="s">
        <v>3329</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3330</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3331</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2791</v>
      </c>
      <c r="B365" s="1887"/>
      <c r="C365" s="1887"/>
      <c r="D365" s="1887"/>
      <c r="E365" s="1956">
        <f>'Part II-Development Team'!E144</f>
        <v>0</v>
      </c>
      <c r="F365" s="1956"/>
      <c r="G365" s="1956"/>
      <c r="H365" s="1956"/>
      <c r="I365" s="2071" t="str">
        <f>'Part II-Development Team'!I144</f>
        <v>Select</v>
      </c>
      <c r="J365" s="2071" t="str">
        <f>'Part II-Development Team'!J144</f>
        <v>Select</v>
      </c>
      <c r="K365" s="2197">
        <f>'Part II-Development Team'!K144</f>
        <v>0</v>
      </c>
      <c r="L365" s="2198">
        <f>'Part II-Development Team'!L144</f>
        <v>0</v>
      </c>
      <c r="M365" s="2071" t="str">
        <f>'Part II-Development Team'!M144</f>
        <v>Select</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No</v>
      </c>
      <c r="N366" s="1956">
        <f>'Part II-Development Team'!N145</f>
        <v>0</v>
      </c>
      <c r="O366" s="1956"/>
      <c r="P366" s="1956"/>
      <c r="Q366" s="1956"/>
      <c r="R366" s="1956"/>
      <c r="S366" s="1956"/>
    </row>
    <row r="367" spans="1:19" ht="13.95" customHeight="1">
      <c r="A367" s="1887" t="s">
        <v>2792</v>
      </c>
      <c r="B367" s="1887"/>
      <c r="C367" s="1887"/>
      <c r="D367" s="1887"/>
      <c r="E367" s="1956">
        <f>'Part II-Development Team'!E146</f>
        <v>0</v>
      </c>
      <c r="F367" s="1956"/>
      <c r="G367" s="1956"/>
      <c r="H367" s="1956"/>
      <c r="I367" s="2071" t="str">
        <f>'Part II-Development Team'!I146</f>
        <v>Select</v>
      </c>
      <c r="J367" s="2071" t="str">
        <f>'Part II-Development Team'!J146</f>
        <v>Select</v>
      </c>
      <c r="K367" s="2197">
        <f>'Part II-Development Team'!K146</f>
        <v>0</v>
      </c>
      <c r="L367" s="2198">
        <f>'Part II-Development Team'!L146</f>
        <v>0</v>
      </c>
      <c r="M367" s="2071" t="str">
        <f>'Part II-Development Team'!M146</f>
        <v>Select</v>
      </c>
      <c r="N367" s="1956">
        <f>'Part II-Development Team'!N146</f>
        <v>0</v>
      </c>
      <c r="O367" s="1956"/>
      <c r="P367" s="1956"/>
      <c r="Q367" s="1956"/>
      <c r="R367" s="1956"/>
      <c r="S367" s="1956"/>
    </row>
    <row r="368" spans="1:19" ht="13.95" customHeight="1">
      <c r="A368" s="1887" t="s">
        <v>2793</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2795</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2794</v>
      </c>
      <c r="B370" s="1887"/>
      <c r="C370" s="1887"/>
      <c r="D370" s="1887"/>
      <c r="E370" s="1956">
        <f>'Part II-Development Team'!E149</f>
        <v>0</v>
      </c>
      <c r="F370" s="1956"/>
      <c r="G370" s="1956"/>
      <c r="H370" s="1956"/>
      <c r="I370" s="2071" t="str">
        <f>'Part II-Development Team'!I149</f>
        <v>Select</v>
      </c>
      <c r="J370" s="2071" t="str">
        <f>'Part II-Development Team'!J149</f>
        <v>Select</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2796</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f>'Part II-Development Team'!A154</f>
        <v>0</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2020-079 Spring Creek Crossing, Montezuma, Macon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2425</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2606</v>
      </c>
    </row>
    <row r="384" spans="1:20" ht="13.95" customHeight="1">
      <c r="A384" s="1821"/>
      <c r="B384" s="1821" t="str">
        <f>'Part III-Sources of Funds'!B5</f>
        <v>Yes</v>
      </c>
      <c r="C384" s="1823" t="s">
        <v>2347</v>
      </c>
      <c r="D384" s="1819"/>
      <c r="E384" s="1821">
        <f>'Part III-Sources of Funds'!E5</f>
        <v>0</v>
      </c>
      <c r="F384" s="1823" t="s">
        <v>6815</v>
      </c>
      <c r="G384" s="1819"/>
      <c r="H384" s="2199">
        <f>'Part III-Sources of Funds'!H5</f>
        <v>0</v>
      </c>
      <c r="I384" s="1815"/>
      <c r="J384" s="1849"/>
      <c r="K384" s="1849"/>
      <c r="L384" s="1821">
        <f>'Part III-Sources of Funds'!L5</f>
        <v>0</v>
      </c>
      <c r="M384" s="1823" t="s">
        <v>1504</v>
      </c>
      <c r="N384" s="1849"/>
      <c r="O384" s="1821">
        <f>'Part III-Sources of Funds'!O5</f>
        <v>0</v>
      </c>
      <c r="P384" s="1887" t="s">
        <v>4486</v>
      </c>
      <c r="Q384" s="1887"/>
      <c r="R384" s="1849"/>
      <c r="S384" s="1887"/>
      <c r="T384" s="1887"/>
    </row>
    <row r="385" spans="1:20" ht="13.8">
      <c r="A385" s="1821"/>
      <c r="B385" s="1821">
        <f>'Part III-Sources of Funds'!B6</f>
        <v>0</v>
      </c>
      <c r="C385" s="1823" t="s">
        <v>4426</v>
      </c>
      <c r="D385" s="1819"/>
      <c r="E385" s="1821">
        <f>'Part III-Sources of Funds'!E6</f>
        <v>0</v>
      </c>
      <c r="F385" s="1823" t="s">
        <v>6816</v>
      </c>
      <c r="G385" s="1849"/>
      <c r="H385" s="2199">
        <f>'Part III-Sources of Funds'!H6</f>
        <v>0</v>
      </c>
      <c r="I385" s="1815"/>
      <c r="J385" s="1849"/>
      <c r="K385" s="1849"/>
      <c r="L385" s="1821">
        <f>'Part III-Sources of Funds'!L6</f>
        <v>0</v>
      </c>
      <c r="M385" s="1823" t="s">
        <v>534</v>
      </c>
      <c r="N385" s="1849"/>
      <c r="O385" s="1849"/>
      <c r="P385" s="1887"/>
      <c r="Q385" s="1887"/>
      <c r="R385" s="1849"/>
      <c r="S385" s="1887"/>
      <c r="T385" s="1887"/>
    </row>
    <row r="386" spans="1:20" ht="13.8">
      <c r="A386" s="1819"/>
      <c r="B386" s="1821">
        <f>'Part III-Sources of Funds'!B7</f>
        <v>0</v>
      </c>
      <c r="C386" s="1823" t="s">
        <v>535</v>
      </c>
      <c r="D386" s="1849"/>
      <c r="E386" s="1849"/>
      <c r="F386" s="1819" t="s">
        <v>6817</v>
      </c>
      <c r="G386" s="1849"/>
      <c r="H386" s="1849" t="str">
        <f>'Part III-Sources of Funds'!H7</f>
        <v>Specify Other HOME Source here</v>
      </c>
      <c r="I386" s="1849"/>
      <c r="J386" s="1849"/>
      <c r="K386" s="1849"/>
      <c r="L386" s="1821">
        <f>'Part III-Sources of Funds'!L7</f>
        <v>0</v>
      </c>
      <c r="M386" s="1823" t="s">
        <v>3455</v>
      </c>
      <c r="N386" s="1849"/>
      <c r="O386" s="1849"/>
      <c r="P386" s="1887"/>
      <c r="Q386" s="1887"/>
      <c r="R386" s="1849"/>
      <c r="S386" s="1887"/>
      <c r="T386" s="1887"/>
    </row>
    <row r="387" spans="1:20" ht="13.8">
      <c r="A387" s="1821"/>
      <c r="B387" s="1821">
        <f>'Part III-Sources of Funds'!B8</f>
        <v>0</v>
      </c>
      <c r="C387" s="1823" t="s">
        <v>2533</v>
      </c>
      <c r="D387" s="1849"/>
      <c r="E387" s="1821">
        <f>'Part III-Sources of Funds'!E8</f>
        <v>0</v>
      </c>
      <c r="F387" s="1823" t="s">
        <v>2541</v>
      </c>
      <c r="G387" s="1849"/>
      <c r="H387" s="1849"/>
      <c r="I387" s="1849"/>
      <c r="J387" s="1849"/>
      <c r="K387" s="1849"/>
      <c r="L387" s="1821">
        <f>'Part III-Sources of Funds'!L8</f>
        <v>0</v>
      </c>
      <c r="M387" s="1823" t="s">
        <v>4427</v>
      </c>
      <c r="N387" s="1849"/>
      <c r="O387" s="1849"/>
      <c r="P387" s="1849"/>
      <c r="Q387" s="1849"/>
      <c r="R387" s="1849"/>
      <c r="S387" s="1887"/>
      <c r="T387" s="1887"/>
    </row>
    <row r="388" spans="1:20" ht="13.8">
      <c r="A388" s="1821"/>
      <c r="B388" s="1821">
        <f>'Part III-Sources of Funds'!B9</f>
        <v>0</v>
      </c>
      <c r="C388" s="1823" t="s">
        <v>2534</v>
      </c>
      <c r="D388" s="1849"/>
      <c r="E388" s="1821">
        <f>'Part III-Sources of Funds'!E9</f>
        <v>0</v>
      </c>
      <c r="F388" s="1823" t="s">
        <v>3539</v>
      </c>
      <c r="G388" s="1849"/>
      <c r="H388" s="1849" t="str">
        <f>'Part III-Sources of Funds'!H9</f>
        <v>Specify Other PBRA Source here</v>
      </c>
      <c r="I388" s="1849"/>
      <c r="J388" s="1849"/>
      <c r="K388" s="1849"/>
      <c r="L388" s="1821">
        <f>'Part III-Sources of Funds'!L9</f>
        <v>0</v>
      </c>
      <c r="M388" s="1823" t="s">
        <v>3504</v>
      </c>
      <c r="N388" s="1849"/>
      <c r="O388" s="1849"/>
      <c r="P388" s="1849"/>
      <c r="Q388" s="1849"/>
      <c r="R388" s="1849"/>
      <c r="S388" s="1887"/>
      <c r="T388" s="1887"/>
    </row>
    <row r="389" spans="1:20" ht="13.8">
      <c r="A389" s="1821"/>
      <c r="B389" s="1821">
        <f>'Part III-Sources of Funds'!B10</f>
        <v>0</v>
      </c>
      <c r="C389" s="1823" t="s">
        <v>3508</v>
      </c>
      <c r="D389" s="1849"/>
      <c r="E389" s="1821">
        <f>'Part III-Sources of Funds'!E10</f>
        <v>0</v>
      </c>
      <c r="F389" s="1849" t="str">
        <f>'Part III-Sources of Funds'!F10</f>
        <v>Other Type of FEDERAL Funding - describe type/program here</v>
      </c>
      <c r="G389" s="1849"/>
      <c r="H389" s="1849"/>
      <c r="I389" s="1849"/>
      <c r="J389" s="1849"/>
      <c r="K389" s="1849"/>
      <c r="L389" s="1821">
        <f>'Part III-Sources of Funds'!L10</f>
        <v>0</v>
      </c>
      <c r="M389" s="1819" t="s">
        <v>2542</v>
      </c>
      <c r="N389" s="1849"/>
      <c r="O389" s="1849"/>
      <c r="P389" s="1849"/>
      <c r="Q389" s="1849"/>
      <c r="R389" s="1849"/>
      <c r="S389" s="1887"/>
      <c r="T389" s="1887"/>
    </row>
    <row r="390" spans="1:20" ht="13.8">
      <c r="A390" s="1821"/>
      <c r="B390" s="1821">
        <f>'Part III-Sources of Funds'!B11</f>
        <v>0</v>
      </c>
      <c r="C390" s="1819" t="s">
        <v>3660</v>
      </c>
      <c r="D390" s="1849"/>
      <c r="E390" s="1849"/>
      <c r="F390" s="1849" t="str">
        <f>'Part III-Sources of Funds'!F11</f>
        <v>Specify Source/Administrator of Other FEDERAL Funding here</v>
      </c>
      <c r="G390" s="1849"/>
      <c r="H390" s="1849"/>
      <c r="I390" s="1849"/>
      <c r="J390" s="1849"/>
      <c r="K390" s="1849"/>
      <c r="L390" s="1821">
        <f>'Part III-Sources of Funds'!L11</f>
        <v>0</v>
      </c>
      <c r="M390" s="1819" t="s">
        <v>3542</v>
      </c>
      <c r="N390" s="1849"/>
      <c r="O390" s="1849"/>
      <c r="P390" s="1849"/>
      <c r="Q390" s="1849"/>
      <c r="R390" s="1849"/>
      <c r="S390" s="1887"/>
      <c r="T390" s="1887"/>
    </row>
    <row r="391" spans="1:20" ht="13.8">
      <c r="A391" s="1821"/>
      <c r="B391" s="1821">
        <f>'Part III-Sources of Funds'!B12</f>
        <v>0</v>
      </c>
      <c r="C391" s="1819" t="s">
        <v>2540</v>
      </c>
      <c r="D391" s="1849"/>
      <c r="E391" s="1821">
        <f>'Part III-Sources of Funds'!E12</f>
        <v>0</v>
      </c>
      <c r="F391" s="1849" t="str">
        <f>'Part III-Sources of Funds'!F12</f>
        <v>Other Type of STATE/LOCAL Funding - describe type/program here</v>
      </c>
      <c r="G391" s="1849"/>
      <c r="H391" s="1849"/>
      <c r="I391" s="1849"/>
      <c r="J391" s="1849"/>
      <c r="K391" s="1849"/>
      <c r="L391" s="1821">
        <f>'Part III-Sources of Funds'!L12</f>
        <v>0</v>
      </c>
      <c r="M391" s="1819" t="s">
        <v>2704</v>
      </c>
      <c r="N391" s="1849"/>
      <c r="O391" s="1849"/>
      <c r="P391" s="1849"/>
      <c r="Q391" s="1849"/>
      <c r="R391" s="1849"/>
      <c r="S391" s="1887"/>
      <c r="T391" s="1887"/>
    </row>
    <row r="392" spans="1:20" ht="13.8">
      <c r="A392" s="1821"/>
      <c r="B392" s="1821">
        <f>'Part III-Sources of Funds'!B13</f>
        <v>0</v>
      </c>
      <c r="C392" s="1819" t="s">
        <v>3538</v>
      </c>
      <c r="D392" s="1849"/>
      <c r="E392" s="1849"/>
      <c r="F392" s="1849" t="str">
        <f>'Part III-Sources of Funds'!F13</f>
        <v>Specify Source/Administrator of Other STATE/LOCAL Funding here</v>
      </c>
      <c r="G392" s="1849"/>
      <c r="H392" s="1849"/>
      <c r="I392" s="1849"/>
      <c r="J392" s="1849"/>
      <c r="K392" s="1849"/>
      <c r="L392" s="1821">
        <f>'Part III-Sources of Funds'!L13</f>
        <v>0</v>
      </c>
      <c r="M392" s="1823" t="s">
        <v>3659</v>
      </c>
      <c r="N392" s="1849"/>
      <c r="O392" s="1849"/>
      <c r="P392" s="1849"/>
      <c r="Q392" s="1849"/>
      <c r="R392" s="1849"/>
      <c r="S392" s="1887"/>
      <c r="T392" s="1887"/>
    </row>
    <row r="393" spans="1:20" ht="13.8">
      <c r="A393" s="1821"/>
      <c r="B393" s="1821">
        <f>'Part III-Sources of Funds'!B14</f>
        <v>0</v>
      </c>
      <c r="C393" s="1823" t="s">
        <v>1757</v>
      </c>
      <c r="D393" s="1849"/>
      <c r="E393" s="1821">
        <f>'Part III-Sources of Funds'!E14</f>
        <v>0</v>
      </c>
      <c r="F393" s="1823" t="s">
        <v>4424</v>
      </c>
      <c r="G393" s="1849"/>
      <c r="H393" s="1849"/>
      <c r="I393" s="2199">
        <f>'Part III-Sources of Funds'!I14</f>
        <v>0</v>
      </c>
      <c r="J393" s="1815"/>
      <c r="K393" s="1849"/>
      <c r="L393" s="1821">
        <f>'Part III-Sources of Funds'!L14</f>
        <v>0</v>
      </c>
      <c r="M393" s="1820" t="s">
        <v>6818</v>
      </c>
      <c r="N393" s="1849"/>
      <c r="O393" s="1849"/>
      <c r="P393" s="1849"/>
      <c r="Q393" s="1849"/>
      <c r="R393" s="1849"/>
      <c r="S393" s="1849"/>
      <c r="T393" s="1849"/>
    </row>
    <row r="394" spans="1:20" ht="13.8">
      <c r="A394" s="1821"/>
      <c r="B394" s="1849" t="s">
        <v>4428</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2285</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1823</v>
      </c>
      <c r="C398" s="1819"/>
      <c r="D398" s="1819"/>
      <c r="E398" s="1819"/>
      <c r="F398" s="1819"/>
      <c r="G398" s="1819"/>
      <c r="H398" s="1819" t="s">
        <v>1271</v>
      </c>
      <c r="I398" s="1819"/>
      <c r="J398" s="1819"/>
      <c r="K398" s="1819"/>
      <c r="L398" s="1819" t="s">
        <v>4387</v>
      </c>
      <c r="M398" s="1819"/>
      <c r="N398" s="1819" t="s">
        <v>1475</v>
      </c>
      <c r="O398" s="1819"/>
      <c r="P398" s="1819" t="s">
        <v>1597</v>
      </c>
      <c r="Q398" s="1819"/>
      <c r="R398" s="1849"/>
      <c r="S398" s="1995" t="s">
        <v>2606</v>
      </c>
    </row>
    <row r="399" spans="1:20" ht="13.8">
      <c r="A399" s="1819"/>
      <c r="B399" s="1819" t="s">
        <v>1558</v>
      </c>
      <c r="C399" s="1819"/>
      <c r="D399" s="1819"/>
      <c r="E399" s="1819"/>
      <c r="F399" s="1819"/>
      <c r="G399" s="1819"/>
      <c r="H399" s="1819" t="str">
        <f>'Part III-Sources of Funds'!H20</f>
        <v>Sterling Bank</v>
      </c>
      <c r="I399" s="1819"/>
      <c r="J399" s="1819"/>
      <c r="K399" s="1819"/>
      <c r="L399" s="1861">
        <f>'Part III-Sources of Funds'!L20</f>
        <v>7430272</v>
      </c>
      <c r="M399" s="1861"/>
      <c r="N399" s="1850">
        <f>'Part III-Sources of Funds'!N20</f>
        <v>5.5E-2</v>
      </c>
      <c r="O399" s="1850"/>
      <c r="P399" s="2200">
        <f>'Part III-Sources of Funds'!P20</f>
        <v>18</v>
      </c>
      <c r="Q399" s="2200"/>
      <c r="R399" s="1849"/>
      <c r="S399" s="1887"/>
      <c r="T399" s="1887"/>
    </row>
    <row r="400" spans="1:20" ht="13.8">
      <c r="A400" s="1819"/>
      <c r="B400" s="1819" t="s">
        <v>1559</v>
      </c>
      <c r="C400" s="1819"/>
      <c r="D400" s="1819"/>
      <c r="E400" s="1819"/>
      <c r="F400" s="1819"/>
      <c r="G400" s="1819"/>
      <c r="H400" s="1819">
        <f>'Part III-Sources of Funds'!H21</f>
        <v>0</v>
      </c>
      <c r="I400" s="1819"/>
      <c r="J400" s="1819"/>
      <c r="K400" s="1819"/>
      <c r="L400" s="1861">
        <f>'Part III-Sources of Funds'!L21</f>
        <v>0</v>
      </c>
      <c r="M400" s="1861"/>
      <c r="N400" s="1850">
        <f>'Part III-Sources of Funds'!N21</f>
        <v>0</v>
      </c>
      <c r="O400" s="1850"/>
      <c r="P400" s="2200">
        <f>'Part III-Sources of Funds'!P21</f>
        <v>0</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2158</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Affordable Equity Partners, Inc</v>
      </c>
      <c r="I405" s="1819"/>
      <c r="J405" s="1819"/>
      <c r="K405" s="1819"/>
      <c r="L405" s="1861">
        <f>'Part III-Sources of Funds'!L26</f>
        <v>1478762</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Affordable Equity Partners, Inc</v>
      </c>
      <c r="I406" s="1819"/>
      <c r="J406" s="1819"/>
      <c r="K406" s="1819"/>
      <c r="L406" s="1861">
        <f>'Part III-Sources of Funds'!L27</f>
        <v>680940</v>
      </c>
      <c r="M406" s="1861"/>
      <c r="N406" s="1819"/>
      <c r="O406" s="1849"/>
      <c r="P406" s="1849"/>
      <c r="Q406" s="1819"/>
      <c r="R406" s="1849"/>
      <c r="S406" s="1887"/>
      <c r="T406" s="1887"/>
    </row>
    <row r="407" spans="1:20" ht="13.8">
      <c r="A407" s="1819"/>
      <c r="B407" s="1819" t="s">
        <v>237</v>
      </c>
      <c r="C407" s="1819"/>
      <c r="D407" s="1819" t="str">
        <f>'Part III-Sources of Funds'!D28</f>
        <v>GP &amp; LP Equity</v>
      </c>
      <c r="E407" s="1819"/>
      <c r="F407" s="1819"/>
      <c r="G407" s="1819"/>
      <c r="H407" s="1819">
        <f>'Part III-Sources of Funds'!H28</f>
        <v>0</v>
      </c>
      <c r="I407" s="1819"/>
      <c r="J407" s="1819"/>
      <c r="K407" s="1819"/>
      <c r="L407" s="1861">
        <f>'Part III-Sources of Funds'!L28</f>
        <v>110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9590084</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9590084</v>
      </c>
      <c r="M411" s="1852"/>
      <c r="N411" s="1827"/>
      <c r="O411" s="1849"/>
      <c r="P411" s="1849"/>
      <c r="Q411" s="1849"/>
      <c r="R411" s="1849"/>
      <c r="S411" s="1887"/>
      <c r="T411" s="1887"/>
    </row>
    <row r="412" spans="1:20" ht="13.8">
      <c r="A412" s="1819"/>
      <c r="B412" s="1823" t="s">
        <v>2106</v>
      </c>
      <c r="C412" s="1819"/>
      <c r="D412" s="1819"/>
      <c r="E412" s="1819"/>
      <c r="F412" s="1819"/>
      <c r="G412" s="1819"/>
      <c r="H412" s="1819"/>
      <c r="I412" s="1819"/>
      <c r="J412" s="1849"/>
      <c r="K412" s="1849"/>
      <c r="L412" s="1882">
        <f>L410-L411</f>
        <v>0</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2050</v>
      </c>
      <c r="L415" s="1821" t="s">
        <v>1269</v>
      </c>
      <c r="M415" s="1821" t="s">
        <v>1274</v>
      </c>
      <c r="N415" s="1849"/>
      <c r="O415" s="1849"/>
      <c r="P415" s="1827" t="s">
        <v>32</v>
      </c>
      <c r="Q415" s="1827"/>
      <c r="R415" s="1849"/>
      <c r="S415" s="1849"/>
      <c r="T415" s="1849"/>
    </row>
    <row r="416" spans="1:20" ht="13.8">
      <c r="A416" s="1819"/>
      <c r="B416" s="1823" t="s">
        <v>1823</v>
      </c>
      <c r="C416" s="1819"/>
      <c r="D416" s="1819"/>
      <c r="E416" s="1819" t="s">
        <v>1271</v>
      </c>
      <c r="F416" s="1819"/>
      <c r="G416" s="1819"/>
      <c r="H416" s="1819"/>
      <c r="I416" s="1819" t="s">
        <v>4386</v>
      </c>
      <c r="J416" s="1819"/>
      <c r="K416" s="1821" t="s">
        <v>1760</v>
      </c>
      <c r="L416" s="1821" t="s">
        <v>2157</v>
      </c>
      <c r="M416" s="1821" t="s">
        <v>2157</v>
      </c>
      <c r="N416" s="1819" t="s">
        <v>72</v>
      </c>
      <c r="O416" s="1819"/>
      <c r="P416" s="1827"/>
      <c r="Q416" s="1827"/>
      <c r="R416" s="1849"/>
      <c r="S416" s="1995" t="s">
        <v>2606</v>
      </c>
    </row>
    <row r="417" spans="1:20" ht="13.8">
      <c r="A417" s="1819"/>
      <c r="B417" s="1819" t="s">
        <v>2546</v>
      </c>
      <c r="C417" s="1819"/>
      <c r="D417" s="1819"/>
      <c r="E417" s="1819">
        <f>'Part III-Sources of Funds'!E38</f>
        <v>0</v>
      </c>
      <c r="F417" s="1819"/>
      <c r="G417" s="1819"/>
      <c r="H417" s="1819"/>
      <c r="I417" s="1882">
        <f>'Part III-Sources of Funds'!I38</f>
        <v>0</v>
      </c>
      <c r="J417" s="1819"/>
      <c r="K417" s="1851">
        <f>'Part III-Sources of Funds'!K38</f>
        <v>0</v>
      </c>
      <c r="L417" s="1821">
        <f>-'Part III-Sources of Funds'!L38</f>
        <v>0</v>
      </c>
      <c r="M417" s="1821">
        <f>-'Part III-Sources of Funds'!M38</f>
        <v>0</v>
      </c>
      <c r="N417" s="1819">
        <f>-'Part III-Sources of Funds'!N38</f>
        <v>0</v>
      </c>
      <c r="O417" s="1819"/>
      <c r="P417" s="1852" t="e">
        <f>-'Part III-Sources of Funds'!P38</f>
        <v>#VALUE!</v>
      </c>
      <c r="Q417" s="1852"/>
      <c r="R417" s="1849"/>
      <c r="S417" s="1887"/>
      <c r="T417" s="1887"/>
    </row>
    <row r="418" spans="1:20" ht="13.8">
      <c r="A418" s="1819"/>
      <c r="B418" s="1819" t="s">
        <v>2547</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2548</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4551</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4.5965600000000002E-2</v>
      </c>
      <c r="E422" s="1819" t="str">
        <f>'Part III-Sources of Funds'!E43</f>
        <v>Bennett &amp; Company, LLC</v>
      </c>
      <c r="F422" s="1819"/>
      <c r="G422" s="1819"/>
      <c r="H422" s="1819"/>
      <c r="I422" s="1882">
        <f>'Part III-Sources of Funds'!I43</f>
        <v>57457</v>
      </c>
      <c r="J422" s="1819"/>
      <c r="K422" s="1851">
        <f>'Part III-Sources of Funds'!K43</f>
        <v>0</v>
      </c>
      <c r="L422" s="1821">
        <f>-'Part III-Sources of Funds'!L43</f>
        <v>-15</v>
      </c>
      <c r="M422" s="1821">
        <f>-'Part III-Sources of Funds'!M43</f>
        <v>0</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3831</v>
      </c>
      <c r="C424" s="1819"/>
      <c r="D424" s="1849"/>
      <c r="E424" s="1849" t="s">
        <v>3770</v>
      </c>
      <c r="F424" s="1854">
        <f>'Part III-Sources of Funds'!F45</f>
        <v>687602.48204061727</v>
      </c>
      <c r="G424" s="1849"/>
      <c r="H424" s="1855" t="s">
        <v>3830</v>
      </c>
      <c r="I424" s="1854">
        <f>'Part III-Sources of Funds'!I45</f>
        <v>57457</v>
      </c>
      <c r="J424" s="1849"/>
      <c r="K424" s="1855" t="s">
        <v>3832</v>
      </c>
      <c r="L424" s="1856">
        <f>'Part III-Sources of Funds'!L45</f>
        <v>8.3561362125225677E-2</v>
      </c>
      <c r="M424" s="1856"/>
      <c r="N424" s="1852" t="s">
        <v>4394</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2158</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2493</v>
      </c>
      <c r="Q427" s="1819"/>
      <c r="R427" s="1849"/>
      <c r="S427" s="1887"/>
      <c r="T427" s="1887"/>
    </row>
    <row r="428" spans="1:20" ht="13.8">
      <c r="A428" s="1819"/>
      <c r="B428" s="1819" t="s">
        <v>782</v>
      </c>
      <c r="C428" s="1819"/>
      <c r="D428" s="1819"/>
      <c r="E428" s="1819" t="str">
        <f>'Part III-Sources of Funds'!E49</f>
        <v>Affordable Equity Partners, Inc.</v>
      </c>
      <c r="F428" s="1819"/>
      <c r="G428" s="1819"/>
      <c r="H428" s="1819"/>
      <c r="I428" s="1882">
        <f>'Part III-Sources of Funds'!I49</f>
        <v>7393806</v>
      </c>
      <c r="J428" s="1819"/>
      <c r="K428" s="1849"/>
      <c r="L428" s="1858">
        <f>'Part III-Sources of Funds'!L49</f>
        <v>7470000</v>
      </c>
      <c r="M428" s="1858"/>
      <c r="N428" s="1859">
        <f>'Part III-Sources of Funds'!N49</f>
        <v>-76194</v>
      </c>
      <c r="O428" s="1859"/>
      <c r="P428" s="1860">
        <f>I428/I438</f>
        <v>0.68107556019566196</v>
      </c>
      <c r="Q428" s="1819"/>
      <c r="R428" s="1849"/>
      <c r="S428" s="1887"/>
      <c r="T428" s="1887"/>
    </row>
    <row r="429" spans="1:20" ht="13.8">
      <c r="A429" s="1819"/>
      <c r="B429" s="1819" t="s">
        <v>783</v>
      </c>
      <c r="C429" s="1819"/>
      <c r="D429" s="1819"/>
      <c r="E429" s="1819" t="str">
        <f>'Part III-Sources of Funds'!E50</f>
        <v>Affordable Equity Partners, Inc.</v>
      </c>
      <c r="F429" s="1819"/>
      <c r="G429" s="1819"/>
      <c r="H429" s="1819"/>
      <c r="I429" s="1882">
        <f>'Part III-Sources of Funds'!I50</f>
        <v>3404700</v>
      </c>
      <c r="J429" s="1819"/>
      <c r="K429" s="1849"/>
      <c r="L429" s="1858">
        <f>'Part III-Sources of Funds'!L50</f>
        <v>3330000</v>
      </c>
      <c r="M429" s="1858"/>
      <c r="N429" s="1859">
        <f>'Part III-Sources of Funds'!N50</f>
        <v>74700</v>
      </c>
      <c r="O429" s="1859"/>
      <c r="P429" s="1860">
        <f>I429/I438</f>
        <v>0.31362169359030656</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0.99469725378596852</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1821</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1822</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t="str">
        <f>'Part III-Sources of Funds'!C55</f>
        <v>GP &amp; LP Equity</v>
      </c>
      <c r="D434" s="1819"/>
      <c r="E434" s="1819">
        <f>'Part III-Sources of Funds'!E55</f>
        <v>0</v>
      </c>
      <c r="F434" s="1819"/>
      <c r="G434" s="1819"/>
      <c r="H434" s="1819"/>
      <c r="I434" s="1882">
        <f>'Part III-Sources of Funds'!I55</f>
        <v>110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2159</v>
      </c>
      <c r="C437" s="1819"/>
      <c r="D437" s="1819"/>
      <c r="E437" s="1819"/>
      <c r="F437" s="1819"/>
      <c r="G437" s="1819"/>
      <c r="H437" s="1849"/>
      <c r="I437" s="1852">
        <f>SUM(I417:J422)+SUM(I426:J436)</f>
        <v>10856073</v>
      </c>
      <c r="J437" s="1852"/>
      <c r="K437" s="1819"/>
      <c r="L437" s="1821"/>
      <c r="M437" s="1819"/>
      <c r="N437" s="1819"/>
      <c r="O437" s="1819"/>
      <c r="P437" s="1819"/>
      <c r="Q437" s="1819"/>
      <c r="R437" s="1849"/>
      <c r="S437" s="1887"/>
      <c r="T437" s="1887"/>
    </row>
    <row r="438" spans="1:24" ht="13.8">
      <c r="A438" s="1819"/>
      <c r="B438" s="1823" t="s">
        <v>2160</v>
      </c>
      <c r="C438" s="1819"/>
      <c r="D438" s="1819"/>
      <c r="E438" s="1819"/>
      <c r="F438" s="1819"/>
      <c r="G438" s="1819"/>
      <c r="H438" s="1849"/>
      <c r="I438" s="1852">
        <f>'Part IV-A-Uses of Funds'!$G$132</f>
        <v>10856073</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4552</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f>'Part III-Sources of Funds'!A64</f>
        <v>0</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2613</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2020-079 Spring Creek Crossing,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2020-079 Spring Creek Crossing,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2606</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1952</v>
      </c>
      <c r="C454" s="1819"/>
      <c r="D454" s="1819"/>
      <c r="E454" s="1819"/>
      <c r="F454" s="1819"/>
      <c r="G454" s="1861">
        <f>'Part IV-A-Uses of Funds'!G8</f>
        <v>5000</v>
      </c>
      <c r="H454" s="1861"/>
      <c r="I454" s="1819"/>
      <c r="J454" s="1861">
        <f>'Part IV-A-Uses of Funds'!J8</f>
        <v>5000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8000</v>
      </c>
      <c r="H455" s="1861"/>
      <c r="I455" s="1819"/>
      <c r="J455" s="1861">
        <f>'Part IV-A-Uses of Funds'!J9</f>
        <v>8000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6500</v>
      </c>
      <c r="H456" s="1861"/>
      <c r="I456" s="1819"/>
      <c r="J456" s="1861">
        <f>'Part IV-A-Uses of Funds'!J10</f>
        <v>6500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9500</v>
      </c>
      <c r="H457" s="1861"/>
      <c r="I457" s="1819"/>
      <c r="J457" s="1861">
        <f>'Part IV-A-Uses of Funds'!J11</f>
        <v>9500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2434</v>
      </c>
      <c r="C458" s="1819"/>
      <c r="D458" s="1819"/>
      <c r="E458" s="1819"/>
      <c r="F458" s="1819"/>
      <c r="G458" s="1861">
        <f>'Part IV-A-Uses of Funds'!G12</f>
        <v>15000</v>
      </c>
      <c r="H458" s="1861"/>
      <c r="I458" s="1819"/>
      <c r="J458" s="1861">
        <f>'Part IV-A-Uses of Funds'!J12</f>
        <v>15000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44000</v>
      </c>
      <c r="H463" s="1861"/>
      <c r="I463" s="1819"/>
      <c r="J463" s="1861">
        <f>SUM(J454:K462)</f>
        <v>44000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2146</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2147</v>
      </c>
      <c r="C465" s="1819"/>
      <c r="D465" s="1819"/>
      <c r="E465" s="1863" t="s">
        <v>3543</v>
      </c>
      <c r="F465" s="1864">
        <f>IF('Part I-Project Information'!$O$37="","",G465/'Part I-Project Information'!$O$37)</f>
        <v>57618.437900128047</v>
      </c>
      <c r="G465" s="1861">
        <f>'Part IV-A-Uses of Funds'!G19</f>
        <v>450000</v>
      </c>
      <c r="H465" s="1861"/>
      <c r="I465" s="1819"/>
      <c r="J465" s="1832"/>
      <c r="K465" s="1861"/>
      <c r="L465" s="1832"/>
      <c r="M465" s="1832"/>
      <c r="N465" s="1861"/>
      <c r="O465" s="1819"/>
      <c r="P465" s="1832"/>
      <c r="Q465" s="1861"/>
      <c r="R465" s="1819"/>
      <c r="S465" s="1861">
        <f>'Part IV-A-Uses of Funds'!S19</f>
        <v>450000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450000</v>
      </c>
      <c r="H469" s="1861"/>
      <c r="I469" s="1819"/>
      <c r="J469" s="1832"/>
      <c r="K469" s="1861"/>
      <c r="L469" s="1832"/>
      <c r="M469" s="1861">
        <f>SUM(M467:N468)</f>
        <v>0</v>
      </c>
      <c r="N469" s="1861"/>
      <c r="O469" s="1819"/>
      <c r="P469" s="1832"/>
      <c r="Q469" s="1861"/>
      <c r="R469" s="1819"/>
      <c r="S469" s="1861">
        <f>SUM(S465:T468)</f>
        <v>450000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3543</v>
      </c>
      <c r="F471" s="1864">
        <f>IF('Part I-Project Information'!$O$37="","",G471/'Part I-Project Information'!$O$37)</f>
        <v>220870.67861715751</v>
      </c>
      <c r="G471" s="1861">
        <f>'Part IV-A-Uses of Funds'!G25</f>
        <v>1725000</v>
      </c>
      <c r="H471" s="1861"/>
      <c r="I471" s="1819"/>
      <c r="J471" s="1861">
        <f>'Part IV-A-Uses of Funds'!J25</f>
        <v>1638750</v>
      </c>
      <c r="K471" s="1861"/>
      <c r="L471" s="1832"/>
      <c r="M471" s="1861">
        <f>'Part IV-A-Uses of Funds'!M25</f>
        <v>0</v>
      </c>
      <c r="N471" s="1861"/>
      <c r="O471" s="1819"/>
      <c r="P471" s="1861">
        <f>'Part IV-A-Uses of Funds'!P25</f>
        <v>0</v>
      </c>
      <c r="Q471" s="1861"/>
      <c r="R471" s="1819"/>
      <c r="S471" s="1861">
        <f>'Part IV-A-Uses of Funds'!S25</f>
        <v>86250</v>
      </c>
      <c r="T471" s="1861"/>
      <c r="U471" s="1819"/>
      <c r="V471" s="1862"/>
      <c r="W471" s="1772"/>
      <c r="X471" s="1772"/>
    </row>
    <row r="472" spans="1:24" ht="13.8">
      <c r="A472" s="1819"/>
      <c r="B472" s="1819" t="s">
        <v>1100</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1725000</v>
      </c>
      <c r="H473" s="1861"/>
      <c r="I473" s="1819"/>
      <c r="J473" s="1861">
        <f>SUM(J471:K472)</f>
        <v>1638750</v>
      </c>
      <c r="K473" s="1861"/>
      <c r="L473" s="1832"/>
      <c r="M473" s="1861">
        <f>M471</f>
        <v>0</v>
      </c>
      <c r="N473" s="1861"/>
      <c r="O473" s="1819"/>
      <c r="P473" s="1861">
        <f>P471</f>
        <v>0</v>
      </c>
      <c r="Q473" s="1861"/>
      <c r="R473" s="1819"/>
      <c r="S473" s="1861">
        <f>SUM(S471:T472)</f>
        <v>86250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4853904</v>
      </c>
      <c r="H475" s="1861"/>
      <c r="I475" s="1819"/>
      <c r="J475" s="1861">
        <f>'Part IV-A-Uses of Funds'!J29</f>
        <v>4853904</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2688</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2687</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4853904</v>
      </c>
      <c r="H479" s="1861"/>
      <c r="I479" s="1819"/>
      <c r="J479" s="1861">
        <f>SUM(J475:K478)</f>
        <v>4853904</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2283</v>
      </c>
      <c r="C480" s="1819"/>
      <c r="D480" s="1849" t="s">
        <v>3547</v>
      </c>
      <c r="E480" s="1849"/>
      <c r="F480" s="2081">
        <f>SUM(F481:F483)</f>
        <v>0.13999991487943889</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2284</v>
      </c>
      <c r="C481" s="1819"/>
      <c r="D481" s="1865">
        <f>'DCA Underwriting Assumptions'!$R$77</f>
        <v>0.06</v>
      </c>
      <c r="E481" s="1866">
        <f>D481*(G473+G479)</f>
        <v>394734.24</v>
      </c>
      <c r="F481" s="1865">
        <f>'Part IV-A-Uses of Funds'!F35</f>
        <v>5.9999963519759524E-2</v>
      </c>
      <c r="G481" s="1861">
        <f>'Part IV-A-Uses of Funds'!G35</f>
        <v>394734</v>
      </c>
      <c r="H481" s="1861"/>
      <c r="I481" s="1827"/>
      <c r="J481" s="1861">
        <f>'Part IV-A-Uses of Funds'!J35</f>
        <v>394734</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2650</v>
      </c>
      <c r="C482" s="1819"/>
      <c r="D482" s="1865">
        <f>'DCA Underwriting Assumptions'!$R$78</f>
        <v>0.02</v>
      </c>
      <c r="E482" s="1866">
        <f>D482*(G473+G479)</f>
        <v>131578.08000000002</v>
      </c>
      <c r="F482" s="1865">
        <f>'Part IV-A-Uses of Funds'!F36</f>
        <v>1.9999987839919842E-2</v>
      </c>
      <c r="G482" s="1861">
        <f>'Part IV-A-Uses of Funds'!G36</f>
        <v>131578</v>
      </c>
      <c r="H482" s="1861"/>
      <c r="I482" s="1827"/>
      <c r="J482" s="1861">
        <f>'Part IV-A-Uses of Funds'!J36</f>
        <v>131578</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2651</v>
      </c>
      <c r="C483" s="1819"/>
      <c r="D483" s="1865">
        <f>'DCA Underwriting Assumptions'!$R$79</f>
        <v>0.06</v>
      </c>
      <c r="E483" s="1866">
        <f>D483*(G473+G479)</f>
        <v>394734.24</v>
      </c>
      <c r="F483" s="1865">
        <f>'Part IV-A-Uses of Funds'!F37</f>
        <v>5.9999963519759524E-2</v>
      </c>
      <c r="G483" s="1861">
        <f>'Part IV-A-Uses of Funds'!G37</f>
        <v>394734</v>
      </c>
      <c r="H483" s="1861"/>
      <c r="I483" s="1827"/>
      <c r="J483" s="1861">
        <f>'Part IV-A-Uses of Funds'!J37</f>
        <v>394734</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3548</v>
      </c>
      <c r="C484" s="1819"/>
      <c r="D484" s="2081">
        <f>SUM(D481:D483)</f>
        <v>0.14000000000000001</v>
      </c>
      <c r="E484" s="2082">
        <f>SUM(E481:E483)</f>
        <v>921046.56</v>
      </c>
      <c r="F484" s="1826" t="s">
        <v>187</v>
      </c>
      <c r="G484" s="1861">
        <f>SUM(G481:H483)</f>
        <v>921046</v>
      </c>
      <c r="H484" s="1861"/>
      <c r="I484" s="1819"/>
      <c r="J484" s="1861">
        <f>SUM(J481:K483)</f>
        <v>921046</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6819</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6896</v>
      </c>
      <c r="C489" s="1819"/>
      <c r="D489" s="1819"/>
      <c r="E489" s="1819" t="s">
        <v>2658</v>
      </c>
      <c r="F489" s="2083">
        <f>B490/'Part VI-Revenues &amp; Expenses'!$P$65</f>
        <v>149999</v>
      </c>
      <c r="G489" s="2084" t="s">
        <v>6897</v>
      </c>
      <c r="H489" s="1819"/>
      <c r="I489" s="1819"/>
      <c r="J489" s="1880">
        <f>B490/'Part VI-Revenues &amp; Expenses'!$P$67</f>
        <v>149999</v>
      </c>
      <c r="K489" s="1880"/>
      <c r="L489" s="1819"/>
      <c r="M489" s="2085" t="s">
        <v>1375</v>
      </c>
      <c r="N489" s="2085"/>
      <c r="O489" s="1819"/>
      <c r="P489" s="1880">
        <f>B490/'Part I-Project Information'!$P$75</f>
        <v>135.97211646542658</v>
      </c>
      <c r="Q489" s="1880"/>
      <c r="R489" s="1819"/>
      <c r="S489" s="1822" t="s">
        <v>2686</v>
      </c>
      <c r="T489" s="1822"/>
      <c r="U489" s="1819"/>
      <c r="V489" s="1862"/>
      <c r="W489" s="1772"/>
      <c r="X489" s="1772"/>
    </row>
    <row r="490" spans="1:24" ht="13.8">
      <c r="A490" s="1819"/>
      <c r="B490" s="2086">
        <f>G473+G479+G484+G487</f>
        <v>7499950</v>
      </c>
      <c r="C490" s="2086"/>
      <c r="D490" s="1819"/>
      <c r="E490" s="1819"/>
      <c r="F490" s="2083">
        <f>B490/'Part VI-Revenues &amp; Expenses'!$P$168</f>
        <v>141.24199623352166</v>
      </c>
      <c r="G490" s="1822" t="s">
        <v>6898</v>
      </c>
      <c r="H490" s="1819"/>
      <c r="I490" s="1819"/>
      <c r="J490" s="1880">
        <f>B490/'Part VI-Revenues &amp; Expenses'!$P$170</f>
        <v>141.24199623352166</v>
      </c>
      <c r="K490" s="1880"/>
      <c r="L490" s="1819"/>
      <c r="M490" s="1822" t="s">
        <v>2685</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3836</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1913</v>
      </c>
      <c r="C493" s="1827"/>
      <c r="D493" s="1868" t="s">
        <v>3835</v>
      </c>
      <c r="E493" s="2087">
        <f>'Part IV-A-Uses of Funds'!E47</f>
        <v>374997.5</v>
      </c>
      <c r="F493" s="1869">
        <f>G493/B490</f>
        <v>4.9999933332888886E-2</v>
      </c>
      <c r="G493" s="1861">
        <f>'Part IV-A-Uses of Funds'!G47</f>
        <v>374997</v>
      </c>
      <c r="H493" s="1861"/>
      <c r="I493" s="1819"/>
      <c r="J493" s="1861">
        <f>'Part IV-A-Uses of Funds'!J47</f>
        <v>374997</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6965</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2606</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3549</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3550</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2286</v>
      </c>
      <c r="C500" s="1819"/>
      <c r="D500" s="1819"/>
      <c r="E500" s="1819"/>
      <c r="F500" s="1819"/>
      <c r="G500" s="1861">
        <f>'Part IV-A-Uses of Funds'!G54</f>
        <v>74303</v>
      </c>
      <c r="H500" s="1861"/>
      <c r="I500" s="1819"/>
      <c r="J500" s="1861">
        <f>'Part IV-A-Uses of Funds'!J54</f>
        <v>74303</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2287</v>
      </c>
      <c r="C501" s="1819"/>
      <c r="D501" s="1819"/>
      <c r="E501" s="1819"/>
      <c r="F501" s="1819"/>
      <c r="G501" s="1861">
        <f>'Part IV-A-Uses of Funds'!G55</f>
        <v>276552</v>
      </c>
      <c r="H501" s="1861"/>
      <c r="I501" s="1819"/>
      <c r="J501" s="1861">
        <f>'Part IV-A-Uses of Funds'!J55</f>
        <v>276552</v>
      </c>
      <c r="K501" s="1861"/>
      <c r="L501" s="1832"/>
      <c r="M501" s="1861">
        <f>'Part IV-A-Uses of Funds'!M55</f>
        <v>0</v>
      </c>
      <c r="N501" s="1861"/>
      <c r="O501" s="1819"/>
      <c r="P501" s="1861">
        <f>'Part IV-A-Uses of Funds'!P55</f>
        <v>0</v>
      </c>
      <c r="Q501" s="1861"/>
      <c r="R501" s="1819"/>
      <c r="S501" s="1861">
        <f>'Part IV-A-Uses of Funds'!S55</f>
        <v>0</v>
      </c>
      <c r="T501" s="1861"/>
      <c r="U501" s="1819"/>
      <c r="V501" s="1862"/>
      <c r="W501" s="1772"/>
      <c r="X501" s="1772"/>
    </row>
    <row r="502" spans="1:24" ht="13.8">
      <c r="A502" s="1819"/>
      <c r="B502" s="1819" t="s">
        <v>2288</v>
      </c>
      <c r="C502" s="1819"/>
      <c r="D502" s="1819"/>
      <c r="E502" s="1819"/>
      <c r="F502" s="1819"/>
      <c r="G502" s="1861">
        <f>'Part IV-A-Uses of Funds'!G56</f>
        <v>25000</v>
      </c>
      <c r="H502" s="1861"/>
      <c r="I502" s="1819"/>
      <c r="J502" s="1861">
        <f>'Part IV-A-Uses of Funds'!J56</f>
        <v>25000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2609</v>
      </c>
      <c r="C503" s="1819"/>
      <c r="D503" s="1819"/>
      <c r="E503" s="1819"/>
      <c r="F503" s="1819"/>
      <c r="G503" s="1861">
        <f>'Part IV-A-Uses of Funds'!G57</f>
        <v>0</v>
      </c>
      <c r="H503" s="1861"/>
      <c r="I503" s="1819"/>
      <c r="J503" s="1861">
        <f>'Part IV-A-Uses of Funds'!J57</f>
        <v>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5000</v>
      </c>
      <c r="H504" s="1861"/>
      <c r="I504" s="1819"/>
      <c r="J504" s="1861">
        <f>'Part IV-A-Uses of Funds'!J58</f>
        <v>5000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2289</v>
      </c>
      <c r="C505" s="1819"/>
      <c r="D505" s="1819"/>
      <c r="E505" s="1819"/>
      <c r="F505" s="1819"/>
      <c r="G505" s="1861">
        <f>'Part IV-A-Uses of Funds'!G59</f>
        <v>20000</v>
      </c>
      <c r="H505" s="1861"/>
      <c r="I505" s="1819"/>
      <c r="J505" s="1861">
        <f>'Part IV-A-Uses of Funds'!J59</f>
        <v>20000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25000</v>
      </c>
      <c r="H506" s="1861"/>
      <c r="I506" s="1819"/>
      <c r="J506" s="1861">
        <f>'Part IV-A-Uses of Funds'!J60</f>
        <v>20000</v>
      </c>
      <c r="K506" s="1861"/>
      <c r="L506" s="1832"/>
      <c r="M506" s="1861">
        <f>'Part IV-A-Uses of Funds'!M60</f>
        <v>0</v>
      </c>
      <c r="N506" s="1861"/>
      <c r="O506" s="1819"/>
      <c r="P506" s="1861">
        <f>'Part IV-A-Uses of Funds'!P60</f>
        <v>0</v>
      </c>
      <c r="Q506" s="1861"/>
      <c r="R506" s="1819"/>
      <c r="S506" s="1861">
        <f>'Part IV-A-Uses of Funds'!S60</f>
        <v>5000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425855</v>
      </c>
      <c r="H510" s="1861"/>
      <c r="I510" s="1819"/>
      <c r="J510" s="1861">
        <f>SUM(J498:K509)</f>
        <v>420855</v>
      </c>
      <c r="K510" s="1861"/>
      <c r="L510" s="1832"/>
      <c r="M510" s="1861">
        <f>SUM(M498:N509)</f>
        <v>0</v>
      </c>
      <c r="N510" s="1861"/>
      <c r="O510" s="1819"/>
      <c r="P510" s="1861">
        <f>SUM(P498:Q509)</f>
        <v>0</v>
      </c>
      <c r="Q510" s="1861"/>
      <c r="R510" s="1819"/>
      <c r="S510" s="1861">
        <f>SUM(S498:T509)</f>
        <v>5000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120000</v>
      </c>
      <c r="H512" s="1861"/>
      <c r="I512" s="1819"/>
      <c r="J512" s="1861">
        <f>'Part IV-A-Uses of Funds'!J66</f>
        <v>120000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30000</v>
      </c>
      <c r="H513" s="1861"/>
      <c r="I513" s="1819"/>
      <c r="J513" s="1861">
        <f>'Part IV-A-Uses of Funds'!J67</f>
        <v>30000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3632</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15000</v>
      </c>
      <c r="H515" s="1861"/>
      <c r="I515" s="1819"/>
      <c r="J515" s="1861">
        <f>'Part IV-A-Uses of Funds'!J69</f>
        <v>15000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25000</v>
      </c>
      <c r="H516" s="1861"/>
      <c r="I516" s="1819"/>
      <c r="J516" s="1861">
        <f>'Part IV-A-Uses of Funds'!J70</f>
        <v>25000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25000</v>
      </c>
      <c r="H517" s="1861"/>
      <c r="I517" s="1819"/>
      <c r="J517" s="1861">
        <f>'Part IV-A-Uses of Funds'!J71</f>
        <v>25000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80000</v>
      </c>
      <c r="H518" s="1861"/>
      <c r="I518" s="1819"/>
      <c r="J518" s="1861">
        <f>'Part IV-A-Uses of Funds'!J72</f>
        <v>80000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25000</v>
      </c>
      <c r="H519" s="1861"/>
      <c r="I519" s="1819"/>
      <c r="J519" s="1861">
        <f>'Part IV-A-Uses of Funds'!J73</f>
        <v>12500</v>
      </c>
      <c r="K519" s="1861"/>
      <c r="L519" s="1832"/>
      <c r="M519" s="1861">
        <f>'Part IV-A-Uses of Funds'!M73</f>
        <v>0</v>
      </c>
      <c r="N519" s="1861"/>
      <c r="O519" s="1819"/>
      <c r="P519" s="1861">
        <f>'Part IV-A-Uses of Funds'!P73</f>
        <v>0</v>
      </c>
      <c r="Q519" s="1861"/>
      <c r="R519" s="1819"/>
      <c r="S519" s="1861">
        <f>'Part IV-A-Uses of Funds'!S73</f>
        <v>12500</v>
      </c>
      <c r="T519" s="1861"/>
      <c r="U519" s="1819"/>
      <c r="V519" s="1862"/>
      <c r="W519" s="1772"/>
      <c r="X519" s="1772"/>
    </row>
    <row r="520" spans="1:24" ht="13.8">
      <c r="A520" s="1819"/>
      <c r="B520" s="1819" t="s">
        <v>2000</v>
      </c>
      <c r="C520" s="1819"/>
      <c r="D520" s="1819"/>
      <c r="E520" s="1819"/>
      <c r="F520" s="1819"/>
      <c r="G520" s="1861">
        <f>'Part IV-A-Uses of Funds'!G74</f>
        <v>15000</v>
      </c>
      <c r="H520" s="1861"/>
      <c r="I520" s="1819"/>
      <c r="J520" s="1861">
        <f>'Part IV-A-Uses of Funds'!J74</f>
        <v>15000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10000</v>
      </c>
      <c r="H521" s="1861"/>
      <c r="I521" s="1819"/>
      <c r="J521" s="1861">
        <f>'Part IV-A-Uses of Funds'!J75</f>
        <v>10000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365000</v>
      </c>
      <c r="H523" s="1861"/>
      <c r="I523" s="1819"/>
      <c r="J523" s="1861">
        <f>SUM(J512:K522)</f>
        <v>352500</v>
      </c>
      <c r="K523" s="1861"/>
      <c r="L523" s="1832"/>
      <c r="M523" s="1861">
        <f>SUM(M512:N522)</f>
        <v>0</v>
      </c>
      <c r="N523" s="1861"/>
      <c r="O523" s="1819"/>
      <c r="P523" s="1861">
        <f>SUM(P512:Q522)</f>
        <v>0</v>
      </c>
      <c r="Q523" s="1861"/>
      <c r="R523" s="1819"/>
      <c r="S523" s="1861">
        <f>SUM(S512:T522)</f>
        <v>12500</v>
      </c>
      <c r="T523" s="1861"/>
      <c r="U523" s="1819"/>
      <c r="V523" s="1862">
        <f>SUM(V512:V522)</f>
        <v>0</v>
      </c>
      <c r="W523" s="1772"/>
      <c r="X523" s="1772"/>
    </row>
    <row r="524" spans="1:24" ht="13.8">
      <c r="A524" s="1819"/>
      <c r="B524" s="1819" t="s">
        <v>1243</v>
      </c>
      <c r="C524" s="1819"/>
      <c r="D524" s="1816" t="s">
        <v>3551</v>
      </c>
      <c r="E524" s="2088">
        <f>G529/'Part VI-Revenues &amp; Expenses'!$P$67</f>
        <v>1095.6400000000001</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36282</v>
      </c>
      <c r="H525" s="1861"/>
      <c r="I525" s="1819"/>
      <c r="J525" s="1861">
        <f>'Part IV-A-Uses of Funds'!J79</f>
        <v>36282</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16000</v>
      </c>
      <c r="H527" s="1861"/>
      <c r="I527" s="1827"/>
      <c r="J527" s="1861">
        <f>'Part IV-A-Uses of Funds'!J81</f>
        <v>16000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2500</v>
      </c>
      <c r="H528" s="1861"/>
      <c r="I528" s="1827"/>
      <c r="J528" s="1861">
        <f>'Part IV-A-Uses of Funds'!J82</f>
        <v>2500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54782</v>
      </c>
      <c r="H529" s="1861"/>
      <c r="I529" s="1819"/>
      <c r="J529" s="1861">
        <f>SUM(J525:K528)</f>
        <v>54782</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0</v>
      </c>
      <c r="H531" s="1861"/>
      <c r="I531" s="1819"/>
      <c r="J531" s="1861"/>
      <c r="K531" s="1861"/>
      <c r="L531" s="1832"/>
      <c r="M531" s="1861"/>
      <c r="N531" s="1861"/>
      <c r="O531" s="1819"/>
      <c r="P531" s="1861"/>
      <c r="Q531" s="1861"/>
      <c r="R531" s="1819"/>
      <c r="S531" s="1861">
        <f>'Part IV-A-Uses of Funds'!S85</f>
        <v>0</v>
      </c>
      <c r="T531" s="1861"/>
      <c r="U531" s="1819"/>
      <c r="V531" s="1862"/>
      <c r="W531" s="1772"/>
      <c r="X531" s="1772"/>
    </row>
    <row r="532" spans="1:24" ht="13.8">
      <c r="A532" s="1819"/>
      <c r="B532" s="1819" t="s">
        <v>1249</v>
      </c>
      <c r="C532" s="1819"/>
      <c r="D532" s="1819"/>
      <c r="E532" s="1819"/>
      <c r="F532" s="1819"/>
      <c r="G532" s="1861">
        <f>'Part IV-A-Uses of Funds'!G86</f>
        <v>0</v>
      </c>
      <c r="H532" s="1861"/>
      <c r="I532" s="1819"/>
      <c r="J532" s="1861"/>
      <c r="K532" s="1861"/>
      <c r="L532" s="1832"/>
      <c r="M532" s="1861"/>
      <c r="N532" s="1861"/>
      <c r="O532" s="1819"/>
      <c r="P532" s="1861"/>
      <c r="Q532" s="1861"/>
      <c r="R532" s="1819"/>
      <c r="S532" s="1861">
        <f>'Part IV-A-Uses of Funds'!S86</f>
        <v>0</v>
      </c>
      <c r="T532" s="1861"/>
      <c r="U532" s="1819"/>
      <c r="V532" s="1862"/>
      <c r="W532" s="1772"/>
      <c r="X532" s="1772"/>
    </row>
    <row r="533" spans="1:24" ht="13.8">
      <c r="A533" s="1819"/>
      <c r="B533" s="1819" t="s">
        <v>1250</v>
      </c>
      <c r="C533" s="1819"/>
      <c r="D533" s="1819"/>
      <c r="E533" s="1819"/>
      <c r="F533" s="1819"/>
      <c r="G533" s="1861">
        <f>'Part IV-A-Uses of Funds'!G87</f>
        <v>0</v>
      </c>
      <c r="H533" s="1861"/>
      <c r="I533" s="1819"/>
      <c r="J533" s="1861"/>
      <c r="K533" s="1861"/>
      <c r="L533" s="1832"/>
      <c r="M533" s="1861"/>
      <c r="N533" s="1861"/>
      <c r="O533" s="1819"/>
      <c r="P533" s="1861"/>
      <c r="Q533" s="1861"/>
      <c r="R533" s="1819"/>
      <c r="S533" s="1861">
        <f>'Part IV-A-Uses of Funds'!S87</f>
        <v>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2239</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0</v>
      </c>
      <c r="H537" s="1861"/>
      <c r="I537" s="1819"/>
      <c r="J537" s="1861"/>
      <c r="K537" s="1861"/>
      <c r="L537" s="1832"/>
      <c r="M537" s="1861"/>
      <c r="N537" s="1861"/>
      <c r="O537" s="1819"/>
      <c r="P537" s="1861"/>
      <c r="Q537" s="1861"/>
      <c r="R537" s="1819"/>
      <c r="S537" s="1861">
        <f>SUM(S531:T536)</f>
        <v>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6966</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2606</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3699</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1000</v>
      </c>
      <c r="T544" s="1861"/>
      <c r="U544" s="1819"/>
      <c r="V544" s="1862"/>
      <c r="W544" s="1772"/>
      <c r="X544" s="1772"/>
    </row>
    <row r="545" spans="1:33" ht="13.8">
      <c r="A545" s="1819"/>
      <c r="B545" s="1819" t="s">
        <v>505</v>
      </c>
      <c r="C545" s="1819"/>
      <c r="D545" s="1819"/>
      <c r="E545" s="1861">
        <f>'Part IV-A-Uses of Funds'!E99</f>
        <v>72000</v>
      </c>
      <c r="F545" s="1861"/>
      <c r="G545" s="1861">
        <f>'Part IV-A-Uses of Funds'!G99</f>
        <v>72000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72000</v>
      </c>
      <c r="T545" s="1861"/>
      <c r="U545" s="1819"/>
      <c r="V545" s="1862"/>
      <c r="W545" s="1772"/>
      <c r="X545" s="1772"/>
    </row>
    <row r="546" spans="1:33" ht="13.8">
      <c r="A546" s="1819"/>
      <c r="B546" s="1819" t="s">
        <v>735</v>
      </c>
      <c r="C546" s="1819"/>
      <c r="D546" s="1819"/>
      <c r="E546" s="1861">
        <f>'Part IV-A-Uses of Funds'!E100</f>
        <v>50000</v>
      </c>
      <c r="F546" s="1861"/>
      <c r="G546" s="1861">
        <f>'Part IV-A-Uses of Funds'!G100</f>
        <v>50000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50000</v>
      </c>
      <c r="T546" s="1861"/>
      <c r="U546" s="1819"/>
      <c r="V546" s="1862"/>
      <c r="W546" s="1772"/>
      <c r="X546" s="1772"/>
    </row>
    <row r="547" spans="1:33" ht="13.8">
      <c r="A547" s="1819"/>
      <c r="B547" s="1819" t="s">
        <v>3878</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3000</v>
      </c>
      <c r="T547" s="1861"/>
      <c r="U547" s="1819"/>
      <c r="V547" s="1862"/>
      <c r="W547" s="1772"/>
      <c r="X547" s="1772"/>
    </row>
    <row r="548" spans="1:33" ht="13.8">
      <c r="A548" s="1819"/>
      <c r="B548" s="1819" t="s">
        <v>3879</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135500</v>
      </c>
      <c r="H551" s="1861"/>
      <c r="I551" s="1819"/>
      <c r="J551" s="1832"/>
      <c r="K551" s="1832"/>
      <c r="L551" s="1832"/>
      <c r="M551" s="1832"/>
      <c r="N551" s="1832"/>
      <c r="O551" s="1819"/>
      <c r="P551" s="1832"/>
      <c r="Q551" s="1832"/>
      <c r="R551" s="1819"/>
      <c r="S551" s="1861">
        <f>SUM(S542:T550)</f>
        <v>135500</v>
      </c>
      <c r="T551" s="1861"/>
      <c r="U551" s="1819"/>
      <c r="V551" s="1862">
        <f>SUM(V542:V550)</f>
        <v>0</v>
      </c>
      <c r="W551" s="1910"/>
      <c r="X551" s="1910"/>
    </row>
    <row r="552" spans="1:33" ht="13.8">
      <c r="A552" s="1819"/>
      <c r="B552" s="1819" t="s">
        <v>2240</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2500</v>
      </c>
      <c r="H553" s="1861"/>
      <c r="I553" s="1819"/>
      <c r="J553" s="1861"/>
      <c r="K553" s="1861"/>
      <c r="L553" s="1832"/>
      <c r="M553" s="1861"/>
      <c r="N553" s="1861"/>
      <c r="O553" s="1819"/>
      <c r="P553" s="1861"/>
      <c r="Q553" s="1861"/>
      <c r="R553" s="1819"/>
      <c r="S553" s="1861">
        <f>'Part IV-A-Uses of Funds'!S107</f>
        <v>2500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2323</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2500</v>
      </c>
      <c r="H557" s="1861"/>
      <c r="I557" s="1819"/>
      <c r="J557" s="1861"/>
      <c r="K557" s="1861"/>
      <c r="L557" s="1832"/>
      <c r="M557" s="1861"/>
      <c r="N557" s="1861"/>
      <c r="O557" s="1819"/>
      <c r="P557" s="1861"/>
      <c r="Q557" s="1861"/>
      <c r="R557" s="1819"/>
      <c r="S557" s="1861">
        <f>SUM(S553:T556)</f>
        <v>2500</v>
      </c>
      <c r="T557" s="1861"/>
      <c r="U557" s="1819"/>
      <c r="V557" s="1862">
        <f>SUM(V553:V556)</f>
        <v>0</v>
      </c>
      <c r="W557" s="1772"/>
      <c r="X557" s="1772"/>
      <c r="Y557" s="1819"/>
      <c r="Z557" s="1819"/>
      <c r="AA557" s="1819"/>
      <c r="AB557" s="1819"/>
      <c r="AC557" s="1955" t="s">
        <v>4507</v>
      </c>
      <c r="AD557" s="1955" t="s">
        <v>4508</v>
      </c>
      <c r="AE557" s="1955" t="s">
        <v>4513</v>
      </c>
      <c r="AF557" s="1822" t="s">
        <v>4509</v>
      </c>
      <c r="AG557" s="1819"/>
    </row>
    <row r="558" spans="1:33" ht="13.8">
      <c r="A558" s="1819"/>
      <c r="B558" s="1819" t="s">
        <v>276</v>
      </c>
      <c r="C558" s="1819"/>
      <c r="D558" s="1855" t="s">
        <v>4510</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4495</v>
      </c>
      <c r="Z558" s="1955"/>
      <c r="AA558" s="1816" t="s">
        <v>4504</v>
      </c>
      <c r="AB558" s="1816" t="s">
        <v>4505</v>
      </c>
      <c r="AC558" s="1955"/>
      <c r="AD558" s="1955"/>
      <c r="AE558" s="1955"/>
      <c r="AF558" s="1822"/>
      <c r="AG558" s="1819"/>
    </row>
    <row r="559" spans="1:33" ht="13.8">
      <c r="A559" s="1819"/>
      <c r="B559" s="1819" t="s">
        <v>1813</v>
      </c>
      <c r="C559" s="1819"/>
      <c r="D559" s="1819"/>
      <c r="E559" s="1819"/>
      <c r="F559" s="1851">
        <f>'Part IV-A-Uses of Funds'!F113</f>
        <v>0.2</v>
      </c>
      <c r="G559" s="1861">
        <f>'Part IV-A-Uses of Funds'!G113</f>
        <v>250000</v>
      </c>
      <c r="H559" s="1861"/>
      <c r="I559" s="1819"/>
      <c r="J559" s="1861">
        <f>'Part IV-A-Uses of Funds'!J113</f>
        <v>250000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0</v>
      </c>
      <c r="AF559" s="1964">
        <f>SUM(AE559:AE561)</f>
        <v>0</v>
      </c>
      <c r="AG559" s="1819"/>
    </row>
    <row r="560" spans="1:33" ht="13.8">
      <c r="A560" s="1819"/>
      <c r="B560" s="1819" t="s">
        <v>3839</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1814</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3466</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1806</v>
      </c>
      <c r="C563" s="1819"/>
      <c r="D563" s="1819"/>
      <c r="E563" s="1819"/>
      <c r="F563" s="1851">
        <f>'Part IV-A-Uses of Funds'!F117</f>
        <v>0.8</v>
      </c>
      <c r="G563" s="1861">
        <f>'Part IV-A-Uses of Funds'!G117</f>
        <v>1000000</v>
      </c>
      <c r="H563" s="1861"/>
      <c r="I563" s="1819"/>
      <c r="J563" s="1861">
        <f>'Part IV-A-Uses of Funds'!J117</f>
        <v>1000000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4506</v>
      </c>
      <c r="E564" s="2091">
        <f>'Part IV-A-Uses of Funds'!E118</f>
        <v>1250000</v>
      </c>
      <c r="F564" s="1826" t="s">
        <v>187</v>
      </c>
      <c r="G564" s="1877">
        <f>SUM(G559:H563)</f>
        <v>1250000</v>
      </c>
      <c r="H564" s="1877"/>
      <c r="I564" s="1819"/>
      <c r="J564" s="1861">
        <f>SUM(J559:K563)</f>
        <v>1250000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40000</v>
      </c>
      <c r="H566" s="1861"/>
      <c r="I566" s="1819"/>
      <c r="J566" s="2089"/>
      <c r="K566" s="2089"/>
      <c r="L566" s="2089"/>
      <c r="M566" s="2089"/>
      <c r="N566" s="2089"/>
      <c r="O566" s="1819"/>
      <c r="P566" s="2089"/>
      <c r="Q566" s="2089"/>
      <c r="R566" s="1819"/>
      <c r="S566" s="1861">
        <f>'Part IV-A-Uses of Funds'!S120</f>
        <v>40000</v>
      </c>
      <c r="T566" s="1861"/>
      <c r="U566" s="1819"/>
      <c r="V566" s="1862"/>
      <c r="W566" s="1772"/>
      <c r="X566" s="1772"/>
      <c r="Y566" s="1955" t="s">
        <v>4497</v>
      </c>
      <c r="Z566" s="1817"/>
      <c r="AA566" s="1819"/>
      <c r="AB566" s="1945"/>
      <c r="AE566" s="1819"/>
    </row>
    <row r="567" spans="1:33" ht="13.8">
      <c r="A567" s="1819"/>
      <c r="B567" s="1819" t="s">
        <v>1503</v>
      </c>
      <c r="C567" s="1819"/>
      <c r="D567" s="1819"/>
      <c r="E567" s="1819"/>
      <c r="F567" s="1864">
        <f>'Part IV-A-Uses of Funds'!F121</f>
        <v>57829.5</v>
      </c>
      <c r="G567" s="1861">
        <f>'Part IV-A-Uses of Funds'!G121</f>
        <v>57830</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57830</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115659</v>
      </c>
      <c r="G568" s="1861">
        <f>'Part IV-A-Uses of Funds'!G122</f>
        <v>115659</v>
      </c>
      <c r="H568" s="1861"/>
      <c r="I568" s="1819"/>
      <c r="J568" s="1895" t="str">
        <f>IF(E568&gt;G568,"WARNING! ODR proposed is below minimum - add comment.","")</f>
        <v/>
      </c>
      <c r="K568" s="2089"/>
      <c r="L568" s="2089"/>
      <c r="M568" s="2089"/>
      <c r="N568" s="2089"/>
      <c r="O568" s="1819"/>
      <c r="P568" s="2089"/>
      <c r="Q568" s="2089"/>
      <c r="R568" s="1819"/>
      <c r="S568" s="1861">
        <f>'Part IV-A-Uses of Funds'!S122</f>
        <v>115659</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3434</v>
      </c>
      <c r="F570" s="1864">
        <f>'Part IV-A-Uses of Funds'!F124</f>
        <v>800</v>
      </c>
      <c r="G570" s="1861">
        <f>'Part IV-A-Uses of Funds'!G124</f>
        <v>40000</v>
      </c>
      <c r="H570" s="1861"/>
      <c r="I570" s="1819"/>
      <c r="J570" s="1861">
        <f>'Part IV-A-Uses of Funds'!J124</f>
        <v>40000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253489</v>
      </c>
      <c r="H572" s="1861"/>
      <c r="I572" s="1819"/>
      <c r="J572" s="1861">
        <f>SUM(J570:K571)</f>
        <v>40000</v>
      </c>
      <c r="K572" s="1861"/>
      <c r="L572" s="1832"/>
      <c r="M572" s="1861">
        <f>SUM(M570:N571)</f>
        <v>0</v>
      </c>
      <c r="N572" s="1861"/>
      <c r="O572" s="1819"/>
      <c r="P572" s="1861">
        <f>SUM(P570:Q571)</f>
        <v>0</v>
      </c>
      <c r="Q572" s="1861"/>
      <c r="R572" s="1819"/>
      <c r="S572" s="1861">
        <f>SUM(S566:T571)</f>
        <v>213489</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6899</v>
      </c>
      <c r="C578" s="1819"/>
      <c r="D578" s="1819"/>
      <c r="E578" s="1863"/>
      <c r="F578" s="1879"/>
      <c r="G578" s="1861">
        <f>G463+G469+G473+G479+G484+G487+G493+G510+G523+G529+G537+G551+G557+G564+G572+G576</f>
        <v>10856073</v>
      </c>
      <c r="H578" s="1861"/>
      <c r="I578" s="1819"/>
      <c r="J578" s="1861">
        <f>J463+J469+J473+J479+J484+J487+J493+J510+J523+J529+J537+J551+J557+J564+J572+J576</f>
        <v>9950834</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905239</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6855</v>
      </c>
      <c r="C580" s="1819"/>
      <c r="D580" s="1880">
        <f>IF('Part VI-Revenues &amp; Expenses'!$P$67=0,0,G578/'Part VI-Revenues &amp; Expenses'!$P$67)</f>
        <v>217121.46</v>
      </c>
      <c r="E580" s="1880"/>
      <c r="F580" s="1821" t="s">
        <v>2673</v>
      </c>
      <c r="G580" s="1880">
        <f>IF('Part I-Project Information'!$P$75=0,0,G578/'Part I-Project Information'!$P$75)</f>
        <v>196.81774176003481</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1995</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2101</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1816</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1817</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1818</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2280</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9950834</v>
      </c>
      <c r="K595" s="1882"/>
      <c r="L595" s="1819"/>
      <c r="M595" s="1882">
        <f>M578</f>
        <v>0</v>
      </c>
      <c r="N595" s="1882"/>
      <c r="O595" s="1819"/>
      <c r="P595" s="1882">
        <f>P578</f>
        <v>0</v>
      </c>
      <c r="Q595" s="1882"/>
      <c r="R595" s="1822" t="s">
        <v>4228</v>
      </c>
      <c r="S595" s="1822"/>
      <c r="T595" s="1822"/>
      <c r="U595" s="1819"/>
      <c r="V595" s="1862"/>
      <c r="W595" s="1772"/>
      <c r="X595" s="1772"/>
    </row>
    <row r="596" spans="1:24" ht="13.8">
      <c r="A596" s="1819"/>
      <c r="B596" s="1819" t="s">
        <v>2163</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2164</v>
      </c>
      <c r="C597" s="1819"/>
      <c r="D597" s="1819"/>
      <c r="E597" s="1819"/>
      <c r="F597" s="1819"/>
      <c r="G597" s="1819"/>
      <c r="H597" s="1819"/>
      <c r="I597" s="1819"/>
      <c r="J597" s="1882">
        <f>J595-J596</f>
        <v>9950834</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DDA/QCT</v>
      </c>
      <c r="I598" s="1819"/>
      <c r="J598" s="1861">
        <f>'Part IV-A-Uses of Funds'!J152</f>
        <v>1.3</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2005</v>
      </c>
      <c r="C599" s="1819"/>
      <c r="D599" s="1819"/>
      <c r="E599" s="1819"/>
      <c r="F599" s="1819"/>
      <c r="G599" s="1819"/>
      <c r="H599" s="1819"/>
      <c r="I599" s="1819"/>
      <c r="J599" s="1882">
        <f>J597*J598</f>
        <v>12936084.200000001</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2474</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1996</v>
      </c>
      <c r="C601" s="1819"/>
      <c r="D601" s="1819"/>
      <c r="E601" s="1819"/>
      <c r="F601" s="1819"/>
      <c r="G601" s="1819"/>
      <c r="H601" s="1819"/>
      <c r="I601" s="1819"/>
      <c r="J601" s="1882">
        <f>J599*J600</f>
        <v>12936084.200000001</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1997</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2475</v>
      </c>
      <c r="C603" s="1819"/>
      <c r="D603" s="1819"/>
      <c r="E603" s="1819"/>
      <c r="F603" s="1819"/>
      <c r="G603" s="1819"/>
      <c r="H603" s="1819"/>
      <c r="I603" s="1819"/>
      <c r="J603" s="1882">
        <f>J601*J602</f>
        <v>1164247.578</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1164247</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4522</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6900</v>
      </c>
      <c r="C609" s="1819"/>
      <c r="D609" s="1819"/>
      <c r="E609" s="1819"/>
      <c r="F609" s="1819"/>
      <c r="G609" s="1819"/>
      <c r="H609" s="1819"/>
      <c r="I609" s="1819"/>
      <c r="J609" s="2200">
        <f>G578</f>
        <v>10856073</v>
      </c>
      <c r="K609" s="2200"/>
      <c r="L609" s="2200"/>
      <c r="M609" s="1819"/>
      <c r="N609" s="1819"/>
      <c r="O609" s="1819"/>
      <c r="P609" s="1819"/>
      <c r="Q609" s="1819"/>
      <c r="R609" s="1819"/>
      <c r="S609" s="1819"/>
      <c r="T609" s="1819"/>
      <c r="U609" s="1819"/>
      <c r="V609" s="1862"/>
      <c r="W609" s="1963"/>
      <c r="X609" s="1819"/>
    </row>
    <row r="610" spans="1:24" ht="13.8">
      <c r="A610" s="1819"/>
      <c r="B610" s="1819" t="s">
        <v>4526</v>
      </c>
      <c r="C610" s="1819"/>
      <c r="D610" s="1819"/>
      <c r="E610" s="1819"/>
      <c r="F610" s="1819"/>
      <c r="G610" s="1819"/>
      <c r="H610" s="1819"/>
      <c r="I610" s="1819"/>
      <c r="J610" s="2200">
        <f>'Part IV-A-Uses of Funds'!$G$83+'Part IV-A-Uses of Funds'!$G$105+SUM('Part IV-A-Uses of Funds'!$G$121:$H$123)</f>
        <v>363771</v>
      </c>
      <c r="K610" s="2200"/>
      <c r="L610" s="2200"/>
      <c r="M610" s="1819"/>
      <c r="N610" s="1819"/>
      <c r="O610" s="1819"/>
      <c r="P610" s="1819"/>
      <c r="Q610" s="1819"/>
      <c r="R610" s="1819"/>
      <c r="S610" s="1819"/>
      <c r="T610" s="1819"/>
      <c r="U610" s="1819"/>
      <c r="V610" s="1862"/>
      <c r="W610" s="1963"/>
      <c r="X610" s="1819"/>
    </row>
    <row r="611" spans="1:24" ht="13.8">
      <c r="A611" s="1819"/>
      <c r="B611" s="1823" t="s">
        <v>4525</v>
      </c>
      <c r="C611" s="1819"/>
      <c r="D611" s="1819"/>
      <c r="E611" s="1819"/>
      <c r="F611" s="1819"/>
      <c r="G611" s="1819"/>
      <c r="H611" s="1819"/>
      <c r="I611" s="1819"/>
      <c r="J611" s="2200">
        <f>J609-J610</f>
        <v>10492302</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2678</v>
      </c>
      <c r="C612" s="1823"/>
      <c r="D612" s="1823"/>
      <c r="E612" s="1819"/>
      <c r="F612" s="1819"/>
      <c r="G612" s="1819"/>
      <c r="H612" s="1819"/>
      <c r="I612" s="1819"/>
      <c r="J612" s="2200">
        <f>'Part VIII-Threshold Criteria'!$P$63</f>
        <v>11601485.5</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4527</v>
      </c>
      <c r="C615" s="1819"/>
      <c r="D615" s="1819"/>
      <c r="E615" s="1819"/>
      <c r="F615" s="1819"/>
      <c r="G615" s="1819"/>
      <c r="H615" s="1819"/>
      <c r="I615" s="1819"/>
      <c r="J615" s="1882">
        <f>'Part IV-A-Uses of Funds'!J169</f>
        <v>10856073</v>
      </c>
      <c r="K615" s="1882"/>
      <c r="L615" s="1882"/>
      <c r="M615" s="1822" t="s">
        <v>4550</v>
      </c>
      <c r="N615" s="1822"/>
      <c r="O615" s="1822"/>
      <c r="P615" s="1822"/>
      <c r="Q615" s="1822"/>
      <c r="R615" s="1822"/>
      <c r="S615" s="1822" t="s">
        <v>3499</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110</v>
      </c>
      <c r="K616" s="1882"/>
      <c r="L616" s="1882"/>
      <c r="M616" s="1822"/>
      <c r="N616" s="1822"/>
      <c r="O616" s="1822"/>
      <c r="P616" s="1822"/>
      <c r="Q616" s="1822"/>
      <c r="R616" s="1822"/>
      <c r="S616" s="1822"/>
      <c r="T616" s="1822"/>
      <c r="U616" s="1819"/>
      <c r="V616" s="1862"/>
      <c r="W616" s="1772"/>
      <c r="X616" s="1772"/>
    </row>
    <row r="617" spans="1:24" ht="13.8">
      <c r="A617" s="1819"/>
      <c r="B617" s="1819" t="s">
        <v>2175</v>
      </c>
      <c r="C617" s="1819"/>
      <c r="D617" s="1819"/>
      <c r="E617" s="1819"/>
      <c r="F617" s="1819"/>
      <c r="G617" s="1819"/>
      <c r="H617" s="1819"/>
      <c r="I617" s="1819"/>
      <c r="J617" s="1882">
        <f>+J615-J616</f>
        <v>10855963</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2660</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1085596.3</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6856</v>
      </c>
      <c r="C621" s="1819"/>
      <c r="D621" s="1819"/>
      <c r="E621" s="1819"/>
      <c r="F621" s="1819"/>
      <c r="G621" s="1819"/>
      <c r="H621" s="1819"/>
      <c r="I621" s="1819"/>
      <c r="J621" s="1888">
        <f>N621+Q621</f>
        <v>1.2</v>
      </c>
      <c r="K621" s="1888"/>
      <c r="L621" s="1888"/>
      <c r="M621" s="1821" t="s">
        <v>1263</v>
      </c>
      <c r="N621" s="2206">
        <f>'Part IV-A-Uses of Funds'!N175</f>
        <v>0.83</v>
      </c>
      <c r="O621" s="2206"/>
      <c r="P621" s="1821" t="s">
        <v>595</v>
      </c>
      <c r="Q621" s="2206">
        <f>'Part IV-A-Uses of Funds'!Q175</f>
        <v>0.37</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904663</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4523</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6857</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900000</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6858</v>
      </c>
      <c r="C628" s="1819"/>
      <c r="D628" s="1819"/>
      <c r="E628" s="1819"/>
      <c r="F628" s="1819"/>
      <c r="G628" s="1819"/>
      <c r="H628" s="1819"/>
      <c r="I628" s="1819"/>
      <c r="J628" s="1882">
        <f>'Part IV-A-Uses of Funds'!J182</f>
        <v>900000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6967</v>
      </c>
      <c r="C630" s="1819"/>
      <c r="D630" s="1827"/>
      <c r="E630" s="1827"/>
      <c r="F630" s="1823"/>
      <c r="G630" s="1819"/>
      <c r="H630" s="1819"/>
      <c r="I630" s="1819"/>
      <c r="J630" s="1882">
        <f>IF(J628="",0,+MIN(J626,J628))</f>
        <v>900000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Please see Tab 1 of this application for a breakout of the Local Government fees.</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2613</v>
      </c>
      <c r="X634" s="1973"/>
    </row>
    <row r="638" spans="1:24" ht="15">
      <c r="A638" s="2094" t="str">
        <f>CONCATENATE("PART FOUR (b) -  OTHER COSTS","  -  ",'Part I-Project Information'!$O$6," - ",'Part I-Project Information'!$F$34,"  -  ",'Part I-Project Information'!$F$38,"  -  ",'Part I-Project Information'!$J$39,",  ","County")</f>
        <v>PART FOUR (b) -  OTHER COSTS  -  2020-079 - Spring Creek Crossing  -  Montezuma  -  Macon,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3533</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6859</v>
      </c>
      <c r="B642" s="2095"/>
      <c r="C642" s="2095"/>
      <c r="D642" s="2095"/>
      <c r="E642" s="2207"/>
      <c r="F642" s="2096" t="s">
        <v>3524</v>
      </c>
      <c r="G642" s="1890"/>
      <c r="H642" s="2096" t="s">
        <v>3525</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3527</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3527</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3527</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3526</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3527</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3527</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3527</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3527</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3527</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6860</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3527</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3527</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6861</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3527</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3527</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6862</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3527</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2020-079 Spring Creek Crossing,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4115</v>
      </c>
      <c r="I723" s="1922" t="str">
        <f>VLOOKUP('Part I-Project Information'!$J$39,'DCA Underwriting Assumptions'!$G$173:$H$332,2)</f>
        <v>South</v>
      </c>
    </row>
    <row r="725" spans="1:13">
      <c r="A725" s="1918" t="s">
        <v>3610</v>
      </c>
    </row>
    <row r="727" spans="1:13">
      <c r="A727" s="1995" t="s">
        <v>598</v>
      </c>
      <c r="B727" s="1995" t="s">
        <v>2170</v>
      </c>
      <c r="F727" s="1815" t="s">
        <v>2452</v>
      </c>
      <c r="G727" s="1815"/>
      <c r="H727" s="1815"/>
      <c r="I727" s="1815" t="str">
        <f>'Part V-Utility Allowances'!I7</f>
        <v>Georgia DCA - Georgia South</v>
      </c>
      <c r="J727" s="1815"/>
      <c r="K727" s="1815"/>
      <c r="L727" s="1815"/>
      <c r="M727" s="1815"/>
    </row>
    <row r="728" spans="1:13">
      <c r="F728" s="1815" t="s">
        <v>618</v>
      </c>
      <c r="G728" s="1815"/>
      <c r="H728" s="1815"/>
      <c r="I728" s="2211" t="str">
        <f>'Part V-Utility Allowances'!I8</f>
        <v>1.1.2020</v>
      </c>
      <c r="J728" s="2211"/>
      <c r="K728" s="1896" t="s">
        <v>525</v>
      </c>
      <c r="L728" s="1815" t="str">
        <f>'Part V-Utility Allowances'!L8</f>
        <v>Townhome</v>
      </c>
      <c r="M728" s="1815"/>
    </row>
    <row r="730" spans="1:13">
      <c r="F730" s="1995" t="s">
        <v>592</v>
      </c>
      <c r="I730" s="1995" t="s">
        <v>196</v>
      </c>
    </row>
    <row r="731" spans="1:13">
      <c r="B731" s="1995" t="s">
        <v>778</v>
      </c>
      <c r="D731" s="1995" t="s">
        <v>1566</v>
      </c>
      <c r="F731" s="1874" t="s">
        <v>624</v>
      </c>
      <c r="G731" s="1874" t="s">
        <v>1803</v>
      </c>
      <c r="I731" s="1874" t="s">
        <v>551</v>
      </c>
      <c r="J731" s="1874">
        <v>1</v>
      </c>
      <c r="K731" s="1874">
        <v>2</v>
      </c>
      <c r="L731" s="1874">
        <v>3</v>
      </c>
      <c r="M731" s="1874">
        <v>4</v>
      </c>
    </row>
    <row r="732" spans="1:13">
      <c r="B732" s="1815" t="s">
        <v>1805</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4</v>
      </c>
      <c r="K732" s="1896">
        <f>'Part V-Utility Allowances'!K12</f>
        <v>5</v>
      </c>
      <c r="L732" s="1896">
        <f>'Part V-Utility Allowances'!L12</f>
        <v>6</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7</v>
      </c>
      <c r="K733" s="1896">
        <f>'Part V-Utility Allowances'!K13</f>
        <v>9</v>
      </c>
      <c r="L733" s="1896">
        <f>'Part V-Utility Allowances'!L13</f>
        <v>11</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14</v>
      </c>
      <c r="K734" s="1896">
        <f>'Part V-Utility Allowances'!K14</f>
        <v>18</v>
      </c>
      <c r="L734" s="1896">
        <f>'Part V-Utility Allowances'!L14</f>
        <v>23</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12</v>
      </c>
      <c r="K735" s="1896">
        <f>'Part V-Utility Allowances'!K15</f>
        <v>15</v>
      </c>
      <c r="L735" s="1896">
        <f>'Part V-Utility Allowances'!L15</f>
        <v>18</v>
      </c>
      <c r="M735" s="1896">
        <f>'Part V-Utility Allowances'!M15</f>
        <v>0</v>
      </c>
    </row>
    <row r="736" spans="1:13">
      <c r="B736" s="1815" t="s">
        <v>3607</v>
      </c>
      <c r="C736" s="1815"/>
      <c r="D736" s="1815" t="s">
        <v>1563</v>
      </c>
      <c r="F736" s="2109">
        <f>'Part V-Utility Allowances'!F16</f>
        <v>0</v>
      </c>
      <c r="G736" s="2109" t="str">
        <f>'Part V-Utility Allowances'!G16</f>
        <v>X</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3608</v>
      </c>
      <c r="C737" s="1815"/>
      <c r="D737" s="1815" t="s">
        <v>1563</v>
      </c>
      <c r="F737" s="2109">
        <f>'Part V-Utility Allowances'!F17</f>
        <v>0</v>
      </c>
      <c r="G737" s="2109" t="str">
        <f>'Part V-Utility Allowances'!G17</f>
        <v>X</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3609</v>
      </c>
      <c r="C738" s="1815"/>
      <c r="D738" s="1815" t="s">
        <v>1563</v>
      </c>
      <c r="F738" s="2109" t="str">
        <f>'Part V-Utility Allowances'!F18</f>
        <v>X</v>
      </c>
      <c r="G738" s="2109">
        <f>'Part V-Utility Allowances'!G18</f>
        <v>0</v>
      </c>
      <c r="I738" s="1896">
        <f>'Part V-Utility Allowances'!I18</f>
        <v>0</v>
      </c>
      <c r="J738" s="1896">
        <f>'Part V-Utility Allowances'!J18</f>
        <v>21</v>
      </c>
      <c r="K738" s="1896">
        <f>'Part V-Utility Allowances'!K18</f>
        <v>27</v>
      </c>
      <c r="L738" s="1896">
        <f>'Part V-Utility Allowances'!L18</f>
        <v>33</v>
      </c>
      <c r="M738" s="1896">
        <f>'Part V-Utility Allowances'!M18</f>
        <v>0</v>
      </c>
    </row>
    <row r="739" spans="1:13">
      <c r="B739" s="1815" t="s">
        <v>1343</v>
      </c>
      <c r="C739" s="1815"/>
      <c r="D739" s="1815" t="s">
        <v>6806</v>
      </c>
      <c r="E739" s="1896" t="str">
        <f>'Part V-Utility Allowances'!E19</f>
        <v>Yes</v>
      </c>
      <c r="F739" s="2109" t="str">
        <f>'Part V-Utility Allowances'!F19</f>
        <v>X</v>
      </c>
      <c r="G739" s="2109">
        <f>'Part V-Utility Allowances'!G19</f>
        <v>0</v>
      </c>
      <c r="I739" s="1896">
        <f>'Part V-Utility Allowances'!I19</f>
        <v>0</v>
      </c>
      <c r="J739" s="1896">
        <f>'Part V-Utility Allowances'!J19</f>
        <v>39</v>
      </c>
      <c r="K739" s="1896">
        <f>'Part V-Utility Allowances'!K19</f>
        <v>49</v>
      </c>
      <c r="L739" s="1896">
        <f>'Part V-Utility Allowances'!L19</f>
        <v>59</v>
      </c>
      <c r="M739" s="1896">
        <f>'Part V-Utility Allowances'!M19</f>
        <v>0</v>
      </c>
    </row>
    <row r="740" spans="1:13">
      <c r="B740" s="1815" t="s">
        <v>1804</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97</v>
      </c>
      <c r="K742" s="1896">
        <f>IF(SUM(K732:K741)=0,0,IF(OR($D732="&lt;&lt;Select Fuel &gt;&gt;",$D733="&lt;&lt;Select Fuel &gt;&gt;",$D734="&lt;&lt;Select Fuel &gt;&gt;"),"Select Fuel",IF($E739="&lt;Select&gt;","Submeter?",SUM(K732:K741))))</f>
        <v>123</v>
      </c>
      <c r="L742" s="1896">
        <f>IF(SUM(L732:L741)=0,0,IF(OR($D732="&lt;&lt;Select Fuel &gt;&gt;",$D733="&lt;&lt;Select Fuel &gt;&gt;",$D734="&lt;&lt;Select Fuel &gt;&gt;"),"Select Fuel",IF($E739="&lt;Select&gt;","Submeter?",SUM(L732:L741))))</f>
        <v>150</v>
      </c>
      <c r="M742" s="1896">
        <f>IF(SUM(M732:M741)=0,0,IF(OR($D732="&lt;&lt;Select Fuel &gt;&gt;",$D733="&lt;&lt;Select Fuel &gt;&gt;",$D734="&lt;&lt;Select Fuel &gt;&gt;"),"Select Fuel",IF($E739="&lt;Select&gt;","Submeter?",SUM(M732:M741))))</f>
        <v>0</v>
      </c>
    </row>
    <row r="744" spans="1:13">
      <c r="A744" s="1995" t="s">
        <v>722</v>
      </c>
      <c r="B744" s="1995" t="s">
        <v>2171</v>
      </c>
      <c r="F744" s="1815" t="s">
        <v>2452</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1803</v>
      </c>
      <c r="I748" s="1874" t="s">
        <v>551</v>
      </c>
      <c r="J748" s="1874">
        <v>1</v>
      </c>
      <c r="K748" s="1874">
        <v>2</v>
      </c>
      <c r="L748" s="1874">
        <v>3</v>
      </c>
      <c r="M748" s="1874">
        <v>4</v>
      </c>
    </row>
    <row r="749" spans="1:13">
      <c r="B749" s="1815" t="s">
        <v>1805</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3607</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3608</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3609</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6806</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1804</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6807</v>
      </c>
      <c r="F761" s="1874"/>
      <c r="G761" s="1874"/>
      <c r="I761" s="1874"/>
      <c r="J761" s="1874"/>
      <c r="K761" s="1874"/>
      <c r="L761" s="1874"/>
      <c r="M761" s="1874"/>
    </row>
    <row r="762" spans="2:13">
      <c r="B762" s="1995" t="s">
        <v>555</v>
      </c>
    </row>
    <row r="763" spans="2:13">
      <c r="B763" s="1772" t="str">
        <f>'Part V-Utility Allowances'!B43</f>
        <v>Applicant has used the GA DCA - Georgia South utility allowances for Rowhouse/Townhouse. Please see tab 01 for documentation.</v>
      </c>
      <c r="C763" s="1772"/>
      <c r="D763" s="1772"/>
      <c r="E763" s="1772"/>
      <c r="F763" s="1772"/>
      <c r="G763" s="1772"/>
      <c r="H763" s="1772"/>
      <c r="I763" s="1772"/>
      <c r="J763" s="1772"/>
      <c r="K763" s="1772"/>
      <c r="L763" s="1772"/>
      <c r="M763" s="1772"/>
    </row>
    <row r="765" spans="2:13">
      <c r="B765" s="1995"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2020-079 Spring Creek Crossing, ,  County</v>
      </c>
      <c r="T770" s="1815" t="str">
        <f>A770</f>
        <v>PART SIX - PROJECTED REVENUES &amp; EXPENSES  -  2020-079 Spring Creek Crossing,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2305</v>
      </c>
      <c r="D772" s="1822" t="s">
        <v>3435</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476</v>
      </c>
      <c r="IF772" s="2240" t="s">
        <v>2376</v>
      </c>
      <c r="IG772" s="2240" t="s">
        <v>2377</v>
      </c>
      <c r="IH772" s="2240" t="s">
        <v>2378</v>
      </c>
      <c r="II772" s="2240" t="s">
        <v>2379</v>
      </c>
      <c r="IJ772" s="2240" t="s">
        <v>476</v>
      </c>
      <c r="IK772" s="2240" t="s">
        <v>2376</v>
      </c>
      <c r="IL772" s="2240" t="s">
        <v>2377</v>
      </c>
      <c r="IM772" s="2240" t="s">
        <v>2378</v>
      </c>
      <c r="IN772" s="2240" t="s">
        <v>2379</v>
      </c>
      <c r="IO772" s="1732"/>
      <c r="IP772" s="1732"/>
      <c r="IQ772" s="1732"/>
      <c r="IR772" s="1732"/>
      <c r="IS772" s="1732"/>
      <c r="IT772" s="1732"/>
      <c r="IU772" s="1732"/>
      <c r="IV772" s="1732"/>
      <c r="IW772" s="1732"/>
      <c r="IX772" s="1732"/>
      <c r="IY772" s="2240" t="s">
        <v>476</v>
      </c>
      <c r="IZ772" s="2240" t="s">
        <v>2376</v>
      </c>
      <c r="JA772" s="2240" t="s">
        <v>2377</v>
      </c>
      <c r="JB772" s="2240" t="s">
        <v>2378</v>
      </c>
      <c r="JC772" s="2240" t="s">
        <v>2379</v>
      </c>
      <c r="JD772" s="2240" t="s">
        <v>476</v>
      </c>
      <c r="JE772" s="2240" t="s">
        <v>2376</v>
      </c>
      <c r="JF772" s="2240" t="s">
        <v>2377</v>
      </c>
      <c r="JG772" s="2240" t="s">
        <v>2378</v>
      </c>
      <c r="JH772" s="2240" t="s">
        <v>2379</v>
      </c>
      <c r="JI772" s="2240" t="s">
        <v>476</v>
      </c>
      <c r="JJ772" s="2240" t="s">
        <v>2376</v>
      </c>
      <c r="JK772" s="2240" t="s">
        <v>2377</v>
      </c>
      <c r="JL772" s="2240" t="s">
        <v>2378</v>
      </c>
      <c r="JM772" s="2240" t="s">
        <v>2379</v>
      </c>
      <c r="JN772" s="2240" t="s">
        <v>476</v>
      </c>
      <c r="JO772" s="2240" t="s">
        <v>2376</v>
      </c>
      <c r="JP772" s="2240" t="s">
        <v>2377</v>
      </c>
      <c r="JQ772" s="2240" t="s">
        <v>2378</v>
      </c>
      <c r="JR772" s="2240" t="s">
        <v>2379</v>
      </c>
      <c r="JS772" s="2240" t="s">
        <v>476</v>
      </c>
      <c r="JT772" s="2240" t="s">
        <v>2376</v>
      </c>
      <c r="JU772" s="2240" t="s">
        <v>2377</v>
      </c>
      <c r="JV772" s="2240" t="s">
        <v>2378</v>
      </c>
      <c r="JW772" s="2240" t="s">
        <v>2379</v>
      </c>
      <c r="JX772" s="2240" t="s">
        <v>476</v>
      </c>
      <c r="JY772" s="2240" t="s">
        <v>2376</v>
      </c>
      <c r="JZ772" s="2240" t="s">
        <v>2377</v>
      </c>
      <c r="KA772" s="2240" t="s">
        <v>2378</v>
      </c>
      <c r="KB772" s="2240" t="s">
        <v>2379</v>
      </c>
      <c r="KC772" s="2240" t="s">
        <v>476</v>
      </c>
      <c r="KD772" s="2240" t="s">
        <v>2376</v>
      </c>
      <c r="KE772" s="2240" t="s">
        <v>2377</v>
      </c>
      <c r="KF772" s="2240" t="s">
        <v>2378</v>
      </c>
      <c r="KG772" s="2240" t="s">
        <v>2379</v>
      </c>
      <c r="KH772" s="2240" t="s">
        <v>476</v>
      </c>
      <c r="KI772" s="2240" t="s">
        <v>2376</v>
      </c>
      <c r="KJ772" s="2240" t="s">
        <v>2377</v>
      </c>
      <c r="KK772" s="2240" t="s">
        <v>2378</v>
      </c>
      <c r="KL772" s="2240" t="s">
        <v>2379</v>
      </c>
      <c r="KM772" s="2240" t="s">
        <v>476</v>
      </c>
      <c r="KN772" s="2240" t="s">
        <v>2376</v>
      </c>
      <c r="KO772" s="2240" t="s">
        <v>2377</v>
      </c>
      <c r="KP772" s="2240" t="s">
        <v>2378</v>
      </c>
      <c r="KQ772" s="2240" t="s">
        <v>2379</v>
      </c>
      <c r="KR772" s="2240" t="s">
        <v>476</v>
      </c>
      <c r="KS772" s="2240" t="s">
        <v>2376</v>
      </c>
      <c r="KT772" s="2240" t="s">
        <v>2377</v>
      </c>
      <c r="KU772" s="2240" t="s">
        <v>2378</v>
      </c>
      <c r="KV772" s="2240" t="s">
        <v>2379</v>
      </c>
      <c r="KW772" s="2240" t="s">
        <v>476</v>
      </c>
      <c r="KX772" s="2240" t="s">
        <v>2376</v>
      </c>
      <c r="KY772" s="2240" t="s">
        <v>2377</v>
      </c>
      <c r="KZ772" s="2240" t="s">
        <v>2378</v>
      </c>
      <c r="LA772" s="2240" t="s">
        <v>2379</v>
      </c>
      <c r="LB772" s="2240" t="s">
        <v>476</v>
      </c>
      <c r="LC772" s="2240" t="s">
        <v>2376</v>
      </c>
      <c r="LD772" s="2240" t="s">
        <v>2377</v>
      </c>
      <c r="LE772" s="2240" t="s">
        <v>2378</v>
      </c>
      <c r="LF772" s="2240" t="s">
        <v>2379</v>
      </c>
      <c r="LG772" s="2240" t="s">
        <v>476</v>
      </c>
      <c r="LH772" s="2240" t="s">
        <v>2376</v>
      </c>
      <c r="LI772" s="2240" t="s">
        <v>2377</v>
      </c>
      <c r="LJ772" s="2240" t="s">
        <v>2378</v>
      </c>
      <c r="LK772" s="2240" t="s">
        <v>2379</v>
      </c>
      <c r="LL772" s="2240" t="s">
        <v>476</v>
      </c>
      <c r="LM772" s="2240" t="s">
        <v>2376</v>
      </c>
      <c r="LN772" s="2240" t="s">
        <v>2377</v>
      </c>
      <c r="LO772" s="2240" t="s">
        <v>2378</v>
      </c>
      <c r="LP772" s="2240" t="s">
        <v>2379</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3307</v>
      </c>
      <c r="MQ772" s="1995" t="s">
        <v>3308</v>
      </c>
      <c r="MR772" s="1995" t="s">
        <v>3309</v>
      </c>
      <c r="MS772" s="1995" t="s">
        <v>3310</v>
      </c>
      <c r="MT772" s="1995" t="s">
        <v>3311</v>
      </c>
    </row>
    <row r="773" spans="1:368" s="1815" customFormat="1" ht="3" customHeight="1">
      <c r="Q773" s="1918" t="s">
        <v>6820</v>
      </c>
      <c r="R773" s="2240"/>
      <c r="X773" s="1918" t="s">
        <v>4124</v>
      </c>
      <c r="Y773" s="1918" t="s">
        <v>4125</v>
      </c>
      <c r="Z773" s="1918" t="s">
        <v>4126</v>
      </c>
      <c r="AA773" s="1918" t="s">
        <v>4127</v>
      </c>
      <c r="AB773" s="1918" t="s">
        <v>4128</v>
      </c>
      <c r="AC773" s="1918" t="s">
        <v>4129</v>
      </c>
      <c r="AD773" s="1918" t="s">
        <v>4130</v>
      </c>
      <c r="AE773" s="1918" t="s">
        <v>4131</v>
      </c>
      <c r="AF773" s="1918" t="s">
        <v>4132</v>
      </c>
      <c r="AG773" s="1918" t="s">
        <v>4133</v>
      </c>
      <c r="AH773" s="1918" t="s">
        <v>898</v>
      </c>
      <c r="AI773" s="1918" t="s">
        <v>738</v>
      </c>
      <c r="AJ773" s="1918" t="s">
        <v>739</v>
      </c>
      <c r="AK773" s="1918" t="s">
        <v>740</v>
      </c>
      <c r="AL773" s="1918" t="s">
        <v>741</v>
      </c>
      <c r="AM773" s="1918" t="s">
        <v>899</v>
      </c>
      <c r="AN773" s="1918" t="s">
        <v>2250</v>
      </c>
      <c r="AO773" s="1918" t="s">
        <v>2251</v>
      </c>
      <c r="AP773" s="1918" t="s">
        <v>2252</v>
      </c>
      <c r="AQ773" s="1918" t="s">
        <v>2253</v>
      </c>
      <c r="AR773" s="1918" t="s">
        <v>4135</v>
      </c>
      <c r="AS773" s="1918" t="s">
        <v>4136</v>
      </c>
      <c r="AT773" s="1918" t="s">
        <v>4137</v>
      </c>
      <c r="AU773" s="1918" t="s">
        <v>4138</v>
      </c>
      <c r="AV773" s="1918" t="s">
        <v>4134</v>
      </c>
      <c r="AW773" s="1918" t="s">
        <v>900</v>
      </c>
      <c r="AX773" s="1918" t="s">
        <v>2254</v>
      </c>
      <c r="AY773" s="1918" t="s">
        <v>2255</v>
      </c>
      <c r="AZ773" s="1918" t="s">
        <v>2256</v>
      </c>
      <c r="BA773" s="1918" t="s">
        <v>2257</v>
      </c>
      <c r="BB773" s="1918" t="s">
        <v>4139</v>
      </c>
      <c r="BC773" s="1918" t="s">
        <v>4140</v>
      </c>
      <c r="BD773" s="1918" t="s">
        <v>4141</v>
      </c>
      <c r="BE773" s="1918" t="s">
        <v>4142</v>
      </c>
      <c r="BF773" s="1918" t="s">
        <v>4143</v>
      </c>
      <c r="BG773" s="1918" t="s">
        <v>126</v>
      </c>
      <c r="BH773" s="1918" t="s">
        <v>2258</v>
      </c>
      <c r="BI773" s="1918" t="s">
        <v>2259</v>
      </c>
      <c r="BJ773" s="1918" t="s">
        <v>2260</v>
      </c>
      <c r="BK773" s="1918" t="s">
        <v>1126</v>
      </c>
      <c r="BL773" s="1918" t="s">
        <v>4144</v>
      </c>
      <c r="BM773" s="1918" t="s">
        <v>4145</v>
      </c>
      <c r="BN773" s="1918" t="s">
        <v>4146</v>
      </c>
      <c r="BO773" s="1918" t="s">
        <v>4147</v>
      </c>
      <c r="BP773" s="1918" t="s">
        <v>4148</v>
      </c>
      <c r="BQ773" s="1918" t="s">
        <v>540</v>
      </c>
      <c r="BR773" s="1918" t="s">
        <v>541</v>
      </c>
      <c r="BS773" s="1918" t="s">
        <v>560</v>
      </c>
      <c r="BT773" s="1918" t="s">
        <v>561</v>
      </c>
      <c r="BU773" s="1918" t="s">
        <v>562</v>
      </c>
      <c r="BV773" s="1918" t="s">
        <v>4149</v>
      </c>
      <c r="BW773" s="1918" t="s">
        <v>4150</v>
      </c>
      <c r="BX773" s="1918" t="s">
        <v>4151</v>
      </c>
      <c r="BY773" s="1918" t="s">
        <v>4152</v>
      </c>
      <c r="BZ773" s="1918" t="s">
        <v>4153</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4159</v>
      </c>
      <c r="CL773" s="1918" t="s">
        <v>4160</v>
      </c>
      <c r="CM773" s="1918" t="s">
        <v>4161</v>
      </c>
      <c r="CN773" s="1918" t="s">
        <v>4162</v>
      </c>
      <c r="CO773" s="1918" t="s">
        <v>4163</v>
      </c>
      <c r="CP773" s="1918" t="s">
        <v>4154</v>
      </c>
      <c r="CQ773" s="1918" t="s">
        <v>4155</v>
      </c>
      <c r="CR773" s="1918" t="s">
        <v>4156</v>
      </c>
      <c r="CS773" s="1918" t="s">
        <v>4157</v>
      </c>
      <c r="CT773" s="1918" t="s">
        <v>4158</v>
      </c>
      <c r="CU773" s="1918" t="s">
        <v>4164</v>
      </c>
      <c r="CV773" s="1918" t="s">
        <v>4165</v>
      </c>
      <c r="CW773" s="1918" t="s">
        <v>4166</v>
      </c>
      <c r="CX773" s="1918" t="s">
        <v>4167</v>
      </c>
      <c r="CY773" s="1918" t="s">
        <v>4168</v>
      </c>
      <c r="CZ773" s="1918" t="s">
        <v>485</v>
      </c>
      <c r="DA773" s="1918" t="s">
        <v>486</v>
      </c>
      <c r="DB773" s="1918" t="s">
        <v>487</v>
      </c>
      <c r="DC773" s="1918" t="s">
        <v>488</v>
      </c>
      <c r="DD773" s="1918" t="s">
        <v>489</v>
      </c>
      <c r="DE773" s="1918" t="s">
        <v>4169</v>
      </c>
      <c r="DF773" s="1918" t="s">
        <v>4170</v>
      </c>
      <c r="DG773" s="1918" t="s">
        <v>4171</v>
      </c>
      <c r="DH773" s="1918" t="s">
        <v>4172</v>
      </c>
      <c r="DI773" s="1918" t="s">
        <v>4173</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4174</v>
      </c>
      <c r="DU773" s="1918" t="s">
        <v>4175</v>
      </c>
      <c r="DV773" s="1918" t="s">
        <v>4176</v>
      </c>
      <c r="DW773" s="1918" t="s">
        <v>4177</v>
      </c>
      <c r="DX773" s="1918" t="s">
        <v>4178</v>
      </c>
      <c r="DY773" s="1918" t="s">
        <v>4179</v>
      </c>
      <c r="DZ773" s="1918" t="s">
        <v>4180</v>
      </c>
      <c r="EA773" s="1918" t="s">
        <v>4181</v>
      </c>
      <c r="EB773" s="1918" t="s">
        <v>4182</v>
      </c>
      <c r="EC773" s="1918" t="s">
        <v>4183</v>
      </c>
      <c r="ED773" s="1918" t="s">
        <v>2366</v>
      </c>
      <c r="EE773" s="1918" t="s">
        <v>2367</v>
      </c>
      <c r="EF773" s="1918" t="s">
        <v>2368</v>
      </c>
      <c r="EG773" s="1918" t="s">
        <v>2369</v>
      </c>
      <c r="EH773" s="1918" t="s">
        <v>2370</v>
      </c>
      <c r="EI773" s="1918" t="s">
        <v>4184</v>
      </c>
      <c r="EJ773" s="1918" t="s">
        <v>4185</v>
      </c>
      <c r="EK773" s="1918" t="s">
        <v>4186</v>
      </c>
      <c r="EL773" s="1918" t="s">
        <v>4187</v>
      </c>
      <c r="EM773" s="1918" t="s">
        <v>4188</v>
      </c>
      <c r="EN773" s="1918" t="s">
        <v>4189</v>
      </c>
      <c r="EO773" s="1918" t="s">
        <v>4190</v>
      </c>
      <c r="EP773" s="1918" t="s">
        <v>4191</v>
      </c>
      <c r="EQ773" s="1918" t="s">
        <v>4192</v>
      </c>
      <c r="ER773" s="1918" t="s">
        <v>4193</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4194</v>
      </c>
      <c r="FD773" s="1918" t="s">
        <v>4195</v>
      </c>
      <c r="FE773" s="1918" t="s">
        <v>4196</v>
      </c>
      <c r="FF773" s="1918" t="s">
        <v>4197</v>
      </c>
      <c r="FG773" s="1918" t="s">
        <v>4198</v>
      </c>
      <c r="FH773" s="1995" t="s">
        <v>128</v>
      </c>
      <c r="FI773" s="1995" t="s">
        <v>890</v>
      </c>
      <c r="FJ773" s="1995" t="s">
        <v>891</v>
      </c>
      <c r="FK773" s="1995" t="s">
        <v>892</v>
      </c>
      <c r="FL773" s="1995" t="s">
        <v>893</v>
      </c>
      <c r="FM773" s="1918" t="s">
        <v>4199</v>
      </c>
      <c r="FN773" s="1918" t="s">
        <v>4200</v>
      </c>
      <c r="FO773" s="1918" t="s">
        <v>4201</v>
      </c>
      <c r="FP773" s="1918" t="s">
        <v>4202</v>
      </c>
      <c r="FQ773" s="1918" t="s">
        <v>4203</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2365</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2151</v>
      </c>
      <c r="HQ773" s="1995" t="s">
        <v>2152</v>
      </c>
      <c r="HR773" s="1995" t="s">
        <v>2153</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2456</v>
      </c>
      <c r="LS773" s="1995" t="s">
        <v>2457</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1799</v>
      </c>
      <c r="G774" s="1896" t="str">
        <f>'Part VI-Revenues &amp; Expenses'!G5</f>
        <v>&lt;Select&gt;</v>
      </c>
      <c r="I774" s="1918" t="s">
        <v>4791</v>
      </c>
      <c r="K774" s="1732" t="s">
        <v>3432</v>
      </c>
      <c r="L774" s="2102" t="str">
        <f>'Part I-Project Information'!$B$6</f>
        <v>May 26, 2020 Version</v>
      </c>
      <c r="M774" s="2103"/>
      <c r="N774" s="1922" t="s">
        <v>559</v>
      </c>
      <c r="P774" s="1896" t="s">
        <v>6821</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3302</v>
      </c>
      <c r="MV774" s="1815" t="s">
        <v>3303</v>
      </c>
      <c r="MW774" s="1815" t="s">
        <v>3304</v>
      </c>
      <c r="MX774" s="1815" t="s">
        <v>3305</v>
      </c>
      <c r="MY774" s="1815" t="s">
        <v>3306</v>
      </c>
      <c r="MZ774" s="1995" t="s">
        <v>3316</v>
      </c>
      <c r="NA774" s="1995" t="s">
        <v>3318</v>
      </c>
      <c r="NB774" s="1995" t="s">
        <v>3319</v>
      </c>
      <c r="NC774" s="1995" t="s">
        <v>3320</v>
      </c>
      <c r="ND774" s="1995" t="s">
        <v>3321</v>
      </c>
    </row>
    <row r="775" spans="1:368" s="1815" customFormat="1" ht="13.35" customHeight="1">
      <c r="A775" s="2101"/>
      <c r="B775" s="1913" t="s">
        <v>1759</v>
      </c>
      <c r="F775" s="1896" t="str">
        <f>'Part VI-Revenues &amp; Expenses'!F6</f>
        <v>No</v>
      </c>
      <c r="G775" s="1732" t="s">
        <v>3489</v>
      </c>
      <c r="H775" s="1918" t="s">
        <v>3661</v>
      </c>
      <c r="I775" s="1918"/>
      <c r="J775" s="1732" t="s">
        <v>778</v>
      </c>
      <c r="K775" s="1732" t="s">
        <v>3492</v>
      </c>
      <c r="L775" s="2103"/>
      <c r="M775" s="2103"/>
      <c r="N775" s="2104" t="str">
        <f>'Part I-Project Information'!$O$40</f>
        <v>Macon Co.</v>
      </c>
      <c r="O775" s="2104"/>
      <c r="P775" s="1916">
        <f>VLOOKUP('Part I-Project Information'!$O$40,'DCA Underwriting Assumptions'!$C$173:$D$283,2)</f>
        <v>53900</v>
      </c>
      <c r="Q775" s="1918"/>
      <c r="R775" s="1815" t="s">
        <v>2618</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4206</v>
      </c>
      <c r="G776" s="1732" t="s">
        <v>3490</v>
      </c>
      <c r="H776" s="1918"/>
      <c r="I776" s="1918"/>
      <c r="J776" s="1732" t="s">
        <v>779</v>
      </c>
      <c r="K776" s="1732" t="s">
        <v>3493</v>
      </c>
      <c r="N776" s="2104"/>
      <c r="O776" s="2104"/>
      <c r="Q776" s="1918"/>
      <c r="S776" s="1896" t="s">
        <v>2615</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2376</v>
      </c>
      <c r="JA776" s="1874" t="s">
        <v>2377</v>
      </c>
      <c r="JB776" s="1874" t="s">
        <v>2378</v>
      </c>
      <c r="JC776" s="1874" t="s">
        <v>2379</v>
      </c>
      <c r="JD776" s="1874" t="s">
        <v>551</v>
      </c>
      <c r="JE776" s="1874" t="s">
        <v>2376</v>
      </c>
      <c r="JF776" s="1874" t="s">
        <v>2377</v>
      </c>
      <c r="JG776" s="1874" t="s">
        <v>2378</v>
      </c>
      <c r="JH776" s="1874" t="s">
        <v>2379</v>
      </c>
      <c r="JI776" s="1874" t="s">
        <v>551</v>
      </c>
      <c r="JJ776" s="1874" t="s">
        <v>2376</v>
      </c>
      <c r="JK776" s="1874" t="s">
        <v>2377</v>
      </c>
      <c r="JL776" s="1874" t="s">
        <v>2378</v>
      </c>
      <c r="JM776" s="1874" t="s">
        <v>2379</v>
      </c>
      <c r="JN776" s="1874" t="s">
        <v>551</v>
      </c>
      <c r="JO776" s="1874" t="s">
        <v>2376</v>
      </c>
      <c r="JP776" s="1874" t="s">
        <v>2377</v>
      </c>
      <c r="JQ776" s="1874" t="s">
        <v>2378</v>
      </c>
      <c r="JR776" s="1874" t="s">
        <v>2379</v>
      </c>
      <c r="JS776" s="1874" t="s">
        <v>551</v>
      </c>
      <c r="JT776" s="1874" t="s">
        <v>2376</v>
      </c>
      <c r="JU776" s="1874" t="s">
        <v>2377</v>
      </c>
      <c r="JV776" s="1874" t="s">
        <v>2378</v>
      </c>
      <c r="JW776" s="1874" t="s">
        <v>2379</v>
      </c>
      <c r="JX776" s="1874" t="s">
        <v>551</v>
      </c>
      <c r="JY776" s="1874" t="s">
        <v>2376</v>
      </c>
      <c r="JZ776" s="1874" t="s">
        <v>2377</v>
      </c>
      <c r="KA776" s="1874" t="s">
        <v>2378</v>
      </c>
      <c r="KB776" s="1874" t="s">
        <v>2379</v>
      </c>
      <c r="KC776" s="1874" t="s">
        <v>551</v>
      </c>
      <c r="KD776" s="1874" t="s">
        <v>2376</v>
      </c>
      <c r="KE776" s="1874" t="s">
        <v>2377</v>
      </c>
      <c r="KF776" s="1874" t="s">
        <v>2378</v>
      </c>
      <c r="KG776" s="1874" t="s">
        <v>2379</v>
      </c>
      <c r="KH776" s="1874" t="s">
        <v>551</v>
      </c>
      <c r="KI776" s="1874" t="s">
        <v>2376</v>
      </c>
      <c r="KJ776" s="1874" t="s">
        <v>2377</v>
      </c>
      <c r="KK776" s="1874" t="s">
        <v>2378</v>
      </c>
      <c r="KL776" s="1874" t="s">
        <v>2379</v>
      </c>
      <c r="KM776" s="1874" t="s">
        <v>551</v>
      </c>
      <c r="KN776" s="1874" t="s">
        <v>2376</v>
      </c>
      <c r="KO776" s="1874" t="s">
        <v>2377</v>
      </c>
      <c r="KP776" s="1874" t="s">
        <v>2378</v>
      </c>
      <c r="KQ776" s="1874" t="s">
        <v>2379</v>
      </c>
      <c r="KR776" s="1874" t="s">
        <v>551</v>
      </c>
      <c r="KS776" s="1874" t="s">
        <v>2376</v>
      </c>
      <c r="KT776" s="1874" t="s">
        <v>2377</v>
      </c>
      <c r="KU776" s="1874" t="s">
        <v>2378</v>
      </c>
      <c r="KV776" s="1874" t="s">
        <v>2379</v>
      </c>
      <c r="KW776" s="1874" t="s">
        <v>551</v>
      </c>
      <c r="KX776" s="1874" t="s">
        <v>2376</v>
      </c>
      <c r="KY776" s="1874" t="s">
        <v>2377</v>
      </c>
      <c r="KZ776" s="1874" t="s">
        <v>2378</v>
      </c>
      <c r="LA776" s="1874" t="s">
        <v>2379</v>
      </c>
      <c r="LB776" s="1874" t="s">
        <v>551</v>
      </c>
      <c r="LC776" s="1874" t="s">
        <v>2376</v>
      </c>
      <c r="LD776" s="1874" t="s">
        <v>2377</v>
      </c>
      <c r="LE776" s="1874" t="s">
        <v>2378</v>
      </c>
      <c r="LF776" s="1874" t="s">
        <v>2379</v>
      </c>
      <c r="LG776" s="1874" t="s">
        <v>551</v>
      </c>
      <c r="LH776" s="1874" t="s">
        <v>2376</v>
      </c>
      <c r="LI776" s="1874" t="s">
        <v>2377</v>
      </c>
      <c r="LJ776" s="1874" t="s">
        <v>2378</v>
      </c>
      <c r="LK776" s="1874" t="s">
        <v>2379</v>
      </c>
      <c r="LL776" s="1874" t="s">
        <v>551</v>
      </c>
      <c r="LM776" s="1874" t="s">
        <v>2376</v>
      </c>
      <c r="LN776" s="1874" t="s">
        <v>2377</v>
      </c>
      <c r="LO776" s="1874" t="s">
        <v>2378</v>
      </c>
      <c r="LP776" s="1874" t="s">
        <v>2379</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4207</v>
      </c>
      <c r="C777" s="1732" t="s">
        <v>168</v>
      </c>
      <c r="D777" s="1732" t="s">
        <v>530</v>
      </c>
      <c r="E777" s="1732" t="s">
        <v>1445</v>
      </c>
      <c r="F777" s="1732" t="s">
        <v>1445</v>
      </c>
      <c r="G777" s="1732" t="s">
        <v>1447</v>
      </c>
      <c r="H777" s="1732" t="s">
        <v>3490</v>
      </c>
      <c r="J777" s="2105" t="s">
        <v>4473</v>
      </c>
      <c r="K777" s="1732" t="s">
        <v>6968</v>
      </c>
      <c r="L777" s="1897" t="s">
        <v>142</v>
      </c>
      <c r="M777" s="1897"/>
      <c r="N777" s="1732" t="s">
        <v>2306</v>
      </c>
      <c r="O777" s="1732" t="s">
        <v>4786</v>
      </c>
      <c r="P777" s="1732" t="s">
        <v>377</v>
      </c>
      <c r="R777" s="1732" t="s">
        <v>2614</v>
      </c>
      <c r="S777" s="1732" t="s">
        <v>2616</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2376</v>
      </c>
      <c r="IB777" s="1874" t="s">
        <v>2377</v>
      </c>
      <c r="IC777" s="1874" t="s">
        <v>2378</v>
      </c>
      <c r="ID777" s="1874" t="s">
        <v>2379</v>
      </c>
      <c r="IE777" s="1995" t="s">
        <v>2431</v>
      </c>
      <c r="IF777" s="1995" t="s">
        <v>2431</v>
      </c>
      <c r="IG777" s="1995" t="s">
        <v>2431</v>
      </c>
      <c r="IH777" s="1995" t="s">
        <v>2431</v>
      </c>
      <c r="II777" s="1995" t="s">
        <v>2431</v>
      </c>
      <c r="IJ777" s="1995" t="s">
        <v>3258</v>
      </c>
      <c r="IK777" s="1995" t="s">
        <v>3258</v>
      </c>
      <c r="IL777" s="1995" t="s">
        <v>3258</v>
      </c>
      <c r="IM777" s="1995" t="s">
        <v>3258</v>
      </c>
      <c r="IN777" s="1995" t="s">
        <v>3258</v>
      </c>
      <c r="IO777" s="1874" t="s">
        <v>551</v>
      </c>
      <c r="IP777" s="1874" t="s">
        <v>2376</v>
      </c>
      <c r="IQ777" s="1874" t="s">
        <v>2377</v>
      </c>
      <c r="IR777" s="1874" t="s">
        <v>2378</v>
      </c>
      <c r="IS777" s="1874" t="s">
        <v>2379</v>
      </c>
      <c r="IT777" s="1874" t="s">
        <v>551</v>
      </c>
      <c r="IU777" s="1874" t="s">
        <v>2376</v>
      </c>
      <c r="IV777" s="1874" t="s">
        <v>2377</v>
      </c>
      <c r="IW777" s="1874" t="s">
        <v>2378</v>
      </c>
      <c r="IX777" s="1874" t="s">
        <v>2379</v>
      </c>
      <c r="IY777" s="1995" t="s">
        <v>2433</v>
      </c>
      <c r="IZ777" s="1995" t="s">
        <v>2433</v>
      </c>
      <c r="JA777" s="1995" t="s">
        <v>2433</v>
      </c>
      <c r="JB777" s="1995" t="s">
        <v>2433</v>
      </c>
      <c r="JC777" s="1995" t="s">
        <v>2433</v>
      </c>
      <c r="JD777" s="1995" t="s">
        <v>3254</v>
      </c>
      <c r="JE777" s="1995" t="s">
        <v>3254</v>
      </c>
      <c r="JF777" s="1995" t="s">
        <v>3254</v>
      </c>
      <c r="JG777" s="1995" t="s">
        <v>3254</v>
      </c>
      <c r="JH777" s="1995" t="s">
        <v>3254</v>
      </c>
      <c r="JI777" s="1995" t="s">
        <v>352</v>
      </c>
      <c r="JJ777" s="1995" t="s">
        <v>352</v>
      </c>
      <c r="JK777" s="1995" t="s">
        <v>352</v>
      </c>
      <c r="JL777" s="1995" t="s">
        <v>352</v>
      </c>
      <c r="JM777" s="1995" t="s">
        <v>352</v>
      </c>
      <c r="JN777" s="1995" t="s">
        <v>3253</v>
      </c>
      <c r="JO777" s="1995" t="s">
        <v>3253</v>
      </c>
      <c r="JP777" s="1995" t="s">
        <v>3253</v>
      </c>
      <c r="JQ777" s="1995" t="s">
        <v>3253</v>
      </c>
      <c r="JR777" s="1995" t="s">
        <v>3253</v>
      </c>
      <c r="JS777" s="1995" t="s">
        <v>353</v>
      </c>
      <c r="JT777" s="1995" t="s">
        <v>353</v>
      </c>
      <c r="JU777" s="1995" t="s">
        <v>353</v>
      </c>
      <c r="JV777" s="1995" t="s">
        <v>353</v>
      </c>
      <c r="JW777" s="1995" t="s">
        <v>353</v>
      </c>
      <c r="JX777" s="1995" t="s">
        <v>3252</v>
      </c>
      <c r="JY777" s="1995" t="s">
        <v>3252</v>
      </c>
      <c r="JZ777" s="1995" t="s">
        <v>3252</v>
      </c>
      <c r="KA777" s="1995" t="s">
        <v>3252</v>
      </c>
      <c r="KB777" s="1995" t="s">
        <v>3252</v>
      </c>
      <c r="KC777" s="1995" t="s">
        <v>354</v>
      </c>
      <c r="KD777" s="1995" t="s">
        <v>354</v>
      </c>
      <c r="KE777" s="1995" t="s">
        <v>354</v>
      </c>
      <c r="KF777" s="1995" t="s">
        <v>354</v>
      </c>
      <c r="KG777" s="1995" t="s">
        <v>354</v>
      </c>
      <c r="KH777" s="1995" t="s">
        <v>3255</v>
      </c>
      <c r="KI777" s="1995" t="s">
        <v>3255</v>
      </c>
      <c r="KJ777" s="1995" t="s">
        <v>3255</v>
      </c>
      <c r="KK777" s="1995" t="s">
        <v>3255</v>
      </c>
      <c r="KL777" s="1995" t="s">
        <v>3255</v>
      </c>
      <c r="KM777" s="1995" t="s">
        <v>355</v>
      </c>
      <c r="KN777" s="1995" t="s">
        <v>355</v>
      </c>
      <c r="KO777" s="1995" t="s">
        <v>355</v>
      </c>
      <c r="KP777" s="1995" t="s">
        <v>355</v>
      </c>
      <c r="KQ777" s="1995" t="s">
        <v>355</v>
      </c>
      <c r="KR777" s="1995" t="s">
        <v>3256</v>
      </c>
      <c r="KS777" s="1995" t="s">
        <v>3256</v>
      </c>
      <c r="KT777" s="1995" t="s">
        <v>3256</v>
      </c>
      <c r="KU777" s="1995" t="s">
        <v>3256</v>
      </c>
      <c r="KV777" s="1995" t="s">
        <v>3256</v>
      </c>
      <c r="KW777" s="1995" t="s">
        <v>1432</v>
      </c>
      <c r="KX777" s="1995" t="s">
        <v>1432</v>
      </c>
      <c r="KY777" s="1995" t="s">
        <v>1432</v>
      </c>
      <c r="KZ777" s="1995" t="s">
        <v>1432</v>
      </c>
      <c r="LA777" s="1995" t="s">
        <v>1432</v>
      </c>
      <c r="LB777" s="1995" t="s">
        <v>3257</v>
      </c>
      <c r="LC777" s="1995" t="s">
        <v>3257</v>
      </c>
      <c r="LD777" s="1995" t="s">
        <v>3257</v>
      </c>
      <c r="LE777" s="1995" t="s">
        <v>3257</v>
      </c>
      <c r="LF777" s="1995" t="s">
        <v>3257</v>
      </c>
      <c r="LG777" s="1995" t="s">
        <v>4792</v>
      </c>
      <c r="LH777" s="1995" t="s">
        <v>4792</v>
      </c>
      <c r="LI777" s="1995" t="s">
        <v>4792</v>
      </c>
      <c r="LJ777" s="1995" t="s">
        <v>4792</v>
      </c>
      <c r="LK777" s="1995" t="s">
        <v>4792</v>
      </c>
      <c r="LL777" s="1995" t="s">
        <v>4793</v>
      </c>
      <c r="LM777" s="1995" t="s">
        <v>4793</v>
      </c>
      <c r="LN777" s="1995" t="s">
        <v>4793</v>
      </c>
      <c r="LO777" s="1995" t="s">
        <v>4793</v>
      </c>
      <c r="LP777" s="1995" t="s">
        <v>4793</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4519</v>
      </c>
      <c r="C778" s="1732" t="s">
        <v>167</v>
      </c>
      <c r="D778" s="1732" t="s">
        <v>169</v>
      </c>
      <c r="E778" s="1732" t="s">
        <v>1446</v>
      </c>
      <c r="F778" s="1732" t="s">
        <v>1253</v>
      </c>
      <c r="G778" s="1732" t="s">
        <v>3491</v>
      </c>
      <c r="H778" s="1732" t="s">
        <v>1447</v>
      </c>
      <c r="J778" s="2105"/>
      <c r="K778" s="1898" t="s">
        <v>344</v>
      </c>
      <c r="L778" s="1732" t="s">
        <v>1498</v>
      </c>
      <c r="M778" s="1732" t="s">
        <v>524</v>
      </c>
      <c r="N778" s="1732" t="s">
        <v>1445</v>
      </c>
      <c r="O778" s="1732" t="s">
        <v>3208</v>
      </c>
      <c r="P778" s="1732" t="s">
        <v>378</v>
      </c>
      <c r="R778" s="1732" t="s">
        <v>1447</v>
      </c>
      <c r="S778" s="1732" t="s">
        <v>2617</v>
      </c>
      <c r="T778" s="1995" t="s">
        <v>1798</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2430</v>
      </c>
      <c r="IB778" s="1874" t="s">
        <v>2430</v>
      </c>
      <c r="IC778" s="1874" t="s">
        <v>2430</v>
      </c>
      <c r="ID778" s="1874" t="s">
        <v>2430</v>
      </c>
      <c r="IE778" s="1995"/>
      <c r="IF778" s="1995"/>
      <c r="IG778" s="1995"/>
      <c r="IH778" s="1995"/>
      <c r="II778" s="1995"/>
      <c r="IJ778" s="1995"/>
      <c r="IK778" s="1995"/>
      <c r="IL778" s="1995"/>
      <c r="IM778" s="1995"/>
      <c r="IN778" s="1995"/>
      <c r="IO778" s="1874" t="s">
        <v>2432</v>
      </c>
      <c r="IP778" s="1874" t="s">
        <v>2432</v>
      </c>
      <c r="IQ778" s="1874" t="s">
        <v>2432</v>
      </c>
      <c r="IR778" s="1874" t="s">
        <v>2432</v>
      </c>
      <c r="IS778" s="1874" t="s">
        <v>2432</v>
      </c>
      <c r="IT778" s="1874" t="s">
        <v>3259</v>
      </c>
      <c r="IU778" s="1874" t="s">
        <v>3259</v>
      </c>
      <c r="IV778" s="1874" t="s">
        <v>3259</v>
      </c>
      <c r="IW778" s="1874" t="s">
        <v>3259</v>
      </c>
      <c r="IX778" s="1874" t="s">
        <v>3259</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1</v>
      </c>
      <c r="D786" s="2214">
        <f>'Part VI-Revenues &amp; Expenses'!D17</f>
        <v>1</v>
      </c>
      <c r="E786" s="2215">
        <f>'Part VI-Revenues &amp; Expenses'!E17</f>
        <v>4</v>
      </c>
      <c r="F786" s="2215">
        <f>'Part VI-Revenues &amp; Expenses'!F17</f>
        <v>780</v>
      </c>
      <c r="G786" s="2215">
        <f>'Part VI-Revenues &amp; Expenses'!G17</f>
        <v>568</v>
      </c>
      <c r="H786" s="2215">
        <f>'Part VI-Revenues &amp; Expenses'!H17</f>
        <v>492</v>
      </c>
      <c r="I786" s="2215">
        <f>'Part VI-Revenues &amp; Expenses'!I17</f>
        <v>0</v>
      </c>
      <c r="J786" s="2215">
        <f>'Part VI-Revenues &amp; Expenses'!J17</f>
        <v>97</v>
      </c>
      <c r="K786" s="2216">
        <f>'Part VI-Revenues &amp; Expenses'!K17</f>
        <v>0</v>
      </c>
      <c r="L786" s="1899">
        <f t="shared" si="0"/>
        <v>395</v>
      </c>
      <c r="M786" s="1899">
        <f t="shared" si="1"/>
        <v>1580</v>
      </c>
      <c r="N786" s="2074" t="str">
        <f>'Part VI-Revenues &amp; Expenses'!N17</f>
        <v>No</v>
      </c>
      <c r="O786" s="2074" t="str">
        <f>'Part VI-Revenues &amp; Expenses'!O17</f>
        <v>Townhome</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f t="shared" si="18"/>
        <v>4</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f t="shared" si="133"/>
        <v>3120</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4</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t="str">
        <f t="shared" si="213"/>
        <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f t="shared" si="248"/>
        <v>4</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4</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60</v>
      </c>
      <c r="C787" s="2213">
        <f>'Part VI-Revenues &amp; Expenses'!C18</f>
        <v>1</v>
      </c>
      <c r="D787" s="2214">
        <f>'Part VI-Revenues &amp; Expenses'!D18</f>
        <v>1</v>
      </c>
      <c r="E787" s="2215">
        <f>'Part VI-Revenues &amp; Expenses'!E18</f>
        <v>4</v>
      </c>
      <c r="F787" s="2215">
        <f>'Part VI-Revenues &amp; Expenses'!F18</f>
        <v>780</v>
      </c>
      <c r="G787" s="2215">
        <f>'Part VI-Revenues &amp; Expenses'!G18</f>
        <v>681</v>
      </c>
      <c r="H787" s="2215">
        <f>'Part VI-Revenues &amp; Expenses'!H18</f>
        <v>502</v>
      </c>
      <c r="I787" s="2215">
        <f>'Part VI-Revenues &amp; Expenses'!I18</f>
        <v>0</v>
      </c>
      <c r="J787" s="2215">
        <f>'Part VI-Revenues &amp; Expenses'!J18</f>
        <v>97</v>
      </c>
      <c r="K787" s="2216">
        <f>'Part VI-Revenues &amp; Expenses'!K18</f>
        <v>0</v>
      </c>
      <c r="L787" s="1899">
        <f t="shared" si="0"/>
        <v>405</v>
      </c>
      <c r="M787" s="1899">
        <f t="shared" si="1"/>
        <v>1620</v>
      </c>
      <c r="N787" s="2074" t="str">
        <f>'Part VI-Revenues &amp; Expenses'!N18</f>
        <v>No</v>
      </c>
      <c r="O787" s="2074" t="str">
        <f>'Part VI-Revenues &amp; Expenses'!O18</f>
        <v>Townhome</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f t="shared" si="13"/>
        <v>4</v>
      </c>
      <c r="AJ787" s="1995" t="str">
        <f t="shared" si="14"/>
        <v/>
      </c>
      <c r="AK787" s="1995" t="str">
        <f t="shared" si="15"/>
        <v/>
      </c>
      <c r="AL787" s="1995" t="str">
        <f t="shared" si="16"/>
        <v/>
      </c>
      <c r="AM787" s="1995" t="str">
        <f t="shared" si="17"/>
        <v/>
      </c>
      <c r="AN787" s="1995" t="str">
        <f t="shared" si="18"/>
        <v/>
      </c>
      <c r="AO787" s="1995" t="str">
        <f t="shared" si="19"/>
        <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f t="shared" si="128"/>
        <v>3120</v>
      </c>
      <c r="EU787" s="1995" t="str">
        <f t="shared" si="129"/>
        <v/>
      </c>
      <c r="EV787" s="1995" t="str">
        <f t="shared" si="130"/>
        <v/>
      </c>
      <c r="EW787" s="1995" t="str">
        <f t="shared" si="131"/>
        <v/>
      </c>
      <c r="EX787" s="1995" t="str">
        <f t="shared" si="132"/>
        <v/>
      </c>
      <c r="EY787" s="1995" t="str">
        <f t="shared" si="133"/>
        <v/>
      </c>
      <c r="EZ787" s="1995" t="str">
        <f t="shared" si="134"/>
        <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f t="shared" si="168"/>
        <v>4</v>
      </c>
      <c r="GI787" s="1995" t="str">
        <f t="shared" si="169"/>
        <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t="str">
        <f t="shared" si="214"/>
        <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f t="shared" si="248"/>
        <v>4</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4</v>
      </c>
      <c r="MW787" s="1874">
        <f t="shared" si="345"/>
        <v>0</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70</v>
      </c>
      <c r="C788" s="2213">
        <f>'Part VI-Revenues &amp; Expenses'!C19</f>
        <v>1</v>
      </c>
      <c r="D788" s="2214">
        <f>'Part VI-Revenues &amp; Expenses'!D19</f>
        <v>1</v>
      </c>
      <c r="E788" s="2215">
        <f>'Part VI-Revenues &amp; Expenses'!E19</f>
        <v>2</v>
      </c>
      <c r="F788" s="2215">
        <f>'Part VI-Revenues &amp; Expenses'!F19</f>
        <v>780</v>
      </c>
      <c r="G788" s="2215">
        <f>'Part VI-Revenues &amp; Expenses'!G19</f>
        <v>795</v>
      </c>
      <c r="H788" s="2215">
        <f>'Part VI-Revenues &amp; Expenses'!H19</f>
        <v>522</v>
      </c>
      <c r="I788" s="2215">
        <f>'Part VI-Revenues &amp; Expenses'!I19</f>
        <v>0</v>
      </c>
      <c r="J788" s="2215">
        <f>'Part VI-Revenues &amp; Expenses'!J19</f>
        <v>97</v>
      </c>
      <c r="K788" s="2216">
        <f>'Part VI-Revenues &amp; Expenses'!K19</f>
        <v>0</v>
      </c>
      <c r="L788" s="1899">
        <f t="shared" si="0"/>
        <v>425</v>
      </c>
      <c r="M788" s="1899">
        <f t="shared" si="1"/>
        <v>850</v>
      </c>
      <c r="N788" s="2074" t="str">
        <f>'Part VI-Revenues &amp; Expenses'!N19</f>
        <v>No</v>
      </c>
      <c r="O788" s="2074" t="str">
        <f>'Part VI-Revenues &amp; Expenses'!O19</f>
        <v>Townhome</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f t="shared" si="8"/>
        <v>2</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t="str">
        <f t="shared" si="18"/>
        <v/>
      </c>
      <c r="AO788" s="1995" t="str">
        <f t="shared" si="19"/>
        <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f t="shared" si="68"/>
        <v>2</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f t="shared" si="123"/>
        <v>1560</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t="str">
        <f t="shared" si="133"/>
        <v/>
      </c>
      <c r="EZ788" s="1995" t="str">
        <f t="shared" si="134"/>
        <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f t="shared" si="168"/>
        <v>2</v>
      </c>
      <c r="GI788" s="1995" t="str">
        <f t="shared" si="169"/>
        <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f t="shared" si="248"/>
        <v>2</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2</v>
      </c>
      <c r="MW788" s="1874">
        <f t="shared" si="345"/>
        <v>0</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50</v>
      </c>
      <c r="C789" s="2213">
        <f>'Part VI-Revenues &amp; Expenses'!C20</f>
        <v>2</v>
      </c>
      <c r="D789" s="2214">
        <f>'Part VI-Revenues &amp; Expenses'!D20</f>
        <v>2</v>
      </c>
      <c r="E789" s="2215">
        <f>'Part VI-Revenues &amp; Expenses'!E20</f>
        <v>8</v>
      </c>
      <c r="F789" s="2215">
        <f>'Part VI-Revenues &amp; Expenses'!F20</f>
        <v>1015</v>
      </c>
      <c r="G789" s="2215">
        <f>'Part VI-Revenues &amp; Expenses'!G20</f>
        <v>681</v>
      </c>
      <c r="H789" s="2215">
        <f>'Part VI-Revenues &amp; Expenses'!H20</f>
        <v>613</v>
      </c>
      <c r="I789" s="2215">
        <f>'Part VI-Revenues &amp; Expenses'!I20</f>
        <v>0</v>
      </c>
      <c r="J789" s="2215">
        <f>'Part VI-Revenues &amp; Expenses'!J20</f>
        <v>123</v>
      </c>
      <c r="K789" s="2216">
        <f>'Part VI-Revenues &amp; Expenses'!K20</f>
        <v>0</v>
      </c>
      <c r="L789" s="1899">
        <f t="shared" si="0"/>
        <v>490</v>
      </c>
      <c r="M789" s="1899">
        <f t="shared" si="1"/>
        <v>3920</v>
      </c>
      <c r="N789" s="2074" t="str">
        <f>'Part VI-Revenues &amp; Expenses'!N20</f>
        <v>No</v>
      </c>
      <c r="O789" s="2074" t="str">
        <f>'Part VI-Revenues &amp; Expenses'!O20</f>
        <v>Townhome</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t="str">
        <f t="shared" si="14"/>
        <v/>
      </c>
      <c r="AK789" s="1995" t="str">
        <f t="shared" si="15"/>
        <v/>
      </c>
      <c r="AL789" s="1995" t="str">
        <f t="shared" si="16"/>
        <v/>
      </c>
      <c r="AM789" s="1995" t="str">
        <f t="shared" si="17"/>
        <v/>
      </c>
      <c r="AN789" s="1995" t="str">
        <f t="shared" si="18"/>
        <v/>
      </c>
      <c r="AO789" s="1995">
        <f t="shared" si="19"/>
        <v>8</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t="str">
        <f t="shared" si="129"/>
        <v/>
      </c>
      <c r="EV789" s="1995" t="str">
        <f t="shared" si="130"/>
        <v/>
      </c>
      <c r="EW789" s="1995" t="str">
        <f t="shared" si="131"/>
        <v/>
      </c>
      <c r="EX789" s="1995" t="str">
        <f t="shared" si="132"/>
        <v/>
      </c>
      <c r="EY789" s="1995" t="str">
        <f t="shared" si="133"/>
        <v/>
      </c>
      <c r="EZ789" s="1995">
        <f t="shared" si="134"/>
        <v>8120</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f t="shared" si="169"/>
        <v>8</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f t="shared" si="249"/>
        <v>8</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8</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60</v>
      </c>
      <c r="C790" s="2213">
        <f>'Part VI-Revenues &amp; Expenses'!C21</f>
        <v>2</v>
      </c>
      <c r="D790" s="2214">
        <f>'Part VI-Revenues &amp; Expenses'!D21</f>
        <v>2</v>
      </c>
      <c r="E790" s="2215">
        <f>'Part VI-Revenues &amp; Expenses'!E21</f>
        <v>8</v>
      </c>
      <c r="F790" s="2215">
        <f>'Part VI-Revenues &amp; Expenses'!F21</f>
        <v>1015</v>
      </c>
      <c r="G790" s="2215">
        <f>'Part VI-Revenues &amp; Expenses'!G21</f>
        <v>817</v>
      </c>
      <c r="H790" s="2215">
        <f>'Part VI-Revenues &amp; Expenses'!H21</f>
        <v>628</v>
      </c>
      <c r="I790" s="2215">
        <f>'Part VI-Revenues &amp; Expenses'!I21</f>
        <v>0</v>
      </c>
      <c r="J790" s="2215">
        <f>'Part VI-Revenues &amp; Expenses'!J21</f>
        <v>123</v>
      </c>
      <c r="K790" s="2216">
        <f>'Part VI-Revenues &amp; Expenses'!K21</f>
        <v>0</v>
      </c>
      <c r="L790" s="1899">
        <f t="shared" si="0"/>
        <v>505</v>
      </c>
      <c r="M790" s="1899">
        <f t="shared" si="1"/>
        <v>4040</v>
      </c>
      <c r="N790" s="2074" t="str">
        <f>'Part VI-Revenues &amp; Expenses'!N21</f>
        <v>No</v>
      </c>
      <c r="O790" s="2074" t="str">
        <f>'Part VI-Revenues &amp; Expenses'!O21</f>
        <v>Townhome</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f t="shared" si="14"/>
        <v>8</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f t="shared" si="129"/>
        <v>8120</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f t="shared" si="169"/>
        <v>8</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f t="shared" si="249"/>
        <v>8</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8</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70</v>
      </c>
      <c r="C791" s="2213">
        <f>'Part VI-Revenues &amp; Expenses'!C22</f>
        <v>2</v>
      </c>
      <c r="D791" s="2214">
        <f>'Part VI-Revenues &amp; Expenses'!D22</f>
        <v>2</v>
      </c>
      <c r="E791" s="2215">
        <f>'Part VI-Revenues &amp; Expenses'!E22</f>
        <v>4</v>
      </c>
      <c r="F791" s="2215">
        <f>'Part VI-Revenues &amp; Expenses'!F22</f>
        <v>1015</v>
      </c>
      <c r="G791" s="2215">
        <f>'Part VI-Revenues &amp; Expenses'!G22</f>
        <v>953</v>
      </c>
      <c r="H791" s="2215">
        <f>'Part VI-Revenues &amp; Expenses'!H22</f>
        <v>673</v>
      </c>
      <c r="I791" s="2215">
        <f>'Part VI-Revenues &amp; Expenses'!I22</f>
        <v>0</v>
      </c>
      <c r="J791" s="2215">
        <f>'Part VI-Revenues &amp; Expenses'!J22</f>
        <v>123</v>
      </c>
      <c r="K791" s="2216">
        <f>'Part VI-Revenues &amp; Expenses'!K22</f>
        <v>0</v>
      </c>
      <c r="L791" s="1899">
        <f t="shared" si="0"/>
        <v>550</v>
      </c>
      <c r="M791" s="1899">
        <f t="shared" si="1"/>
        <v>2200</v>
      </c>
      <c r="N791" s="2074" t="str">
        <f>'Part VI-Revenues &amp; Expenses'!N22</f>
        <v>No</v>
      </c>
      <c r="O791" s="2074" t="str">
        <f>'Part VI-Revenues &amp; Expenses'!O22</f>
        <v>Townhome</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f t="shared" si="9"/>
        <v>4</v>
      </c>
      <c r="AF791" s="1995" t="str">
        <f t="shared" si="10"/>
        <v/>
      </c>
      <c r="AG791" s="1995" t="str">
        <f t="shared" si="11"/>
        <v/>
      </c>
      <c r="AH791" s="1995" t="str">
        <f t="shared" si="12"/>
        <v/>
      </c>
      <c r="AI791" s="1995" t="str">
        <f t="shared" si="13"/>
        <v/>
      </c>
      <c r="AJ791" s="1995" t="str">
        <f t="shared" si="14"/>
        <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f t="shared" si="69"/>
        <v>4</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f t="shared" si="124"/>
        <v>4060</v>
      </c>
      <c r="EQ791" s="1995" t="str">
        <f t="shared" si="125"/>
        <v/>
      </c>
      <c r="ER791" s="1995" t="str">
        <f t="shared" si="126"/>
        <v/>
      </c>
      <c r="ES791" s="1995" t="str">
        <f t="shared" si="127"/>
        <v/>
      </c>
      <c r="ET791" s="1995" t="str">
        <f t="shared" si="128"/>
        <v/>
      </c>
      <c r="EU791" s="1995" t="str">
        <f t="shared" si="129"/>
        <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f t="shared" si="169"/>
        <v>4</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f t="shared" si="249"/>
        <v>4</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4</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50</v>
      </c>
      <c r="C792" s="2213">
        <f>'Part VI-Revenues &amp; Expenses'!C23</f>
        <v>3</v>
      </c>
      <c r="D792" s="2214">
        <f>'Part VI-Revenues &amp; Expenses'!D23</f>
        <v>2</v>
      </c>
      <c r="E792" s="2215">
        <f>'Part VI-Revenues &amp; Expenses'!E23</f>
        <v>8</v>
      </c>
      <c r="F792" s="2215">
        <f>'Part VI-Revenues &amp; Expenses'!F23</f>
        <v>1250</v>
      </c>
      <c r="G792" s="2215">
        <f>'Part VI-Revenues &amp; Expenses'!G23</f>
        <v>787</v>
      </c>
      <c r="H792" s="2215">
        <f>'Part VI-Revenues &amp; Expenses'!H23</f>
        <v>760</v>
      </c>
      <c r="I792" s="2215">
        <f>'Part VI-Revenues &amp; Expenses'!I23</f>
        <v>0</v>
      </c>
      <c r="J792" s="2215">
        <f>'Part VI-Revenues &amp; Expenses'!J23</f>
        <v>150</v>
      </c>
      <c r="K792" s="2216">
        <f>'Part VI-Revenues &amp; Expenses'!K23</f>
        <v>0</v>
      </c>
      <c r="L792" s="1899">
        <f t="shared" si="0"/>
        <v>610</v>
      </c>
      <c r="M792" s="1899">
        <f t="shared" si="1"/>
        <v>4880</v>
      </c>
      <c r="N792" s="2074" t="str">
        <f>'Part VI-Revenues &amp; Expenses'!N23</f>
        <v>No</v>
      </c>
      <c r="O792" s="2074" t="str">
        <f>'Part VI-Revenues &amp; Expenses'!O23</f>
        <v>Townhome</v>
      </c>
      <c r="P792" s="2074" t="str">
        <f>'Part VI-Revenues &amp; Expenses'!P23</f>
        <v>New Construction</v>
      </c>
      <c r="Q792" s="1732" t="str">
        <f>'Part VI-Revenues &amp; Expenses'!Q23</f>
        <v>No</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f t="shared" si="20"/>
        <v>8</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f t="shared" si="135"/>
        <v>10000</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f t="shared" si="170"/>
        <v>8</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f t="shared" si="250"/>
        <v>8</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8</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60</v>
      </c>
      <c r="C793" s="2213">
        <f>'Part VI-Revenues &amp; Expenses'!C24</f>
        <v>3</v>
      </c>
      <c r="D793" s="2214">
        <f>'Part VI-Revenues &amp; Expenses'!D24</f>
        <v>2</v>
      </c>
      <c r="E793" s="2215">
        <f>'Part VI-Revenues &amp; Expenses'!E24</f>
        <v>8</v>
      </c>
      <c r="F793" s="2215">
        <f>'Part VI-Revenues &amp; Expenses'!F24</f>
        <v>1250</v>
      </c>
      <c r="G793" s="2215">
        <f>'Part VI-Revenues &amp; Expenses'!G24</f>
        <v>945</v>
      </c>
      <c r="H793" s="2215">
        <f>'Part VI-Revenues &amp; Expenses'!H24</f>
        <v>790</v>
      </c>
      <c r="I793" s="2215">
        <f>'Part VI-Revenues &amp; Expenses'!I24</f>
        <v>0</v>
      </c>
      <c r="J793" s="2215">
        <f>'Part VI-Revenues &amp; Expenses'!J24</f>
        <v>150</v>
      </c>
      <c r="K793" s="2216">
        <f>'Part VI-Revenues &amp; Expenses'!K24</f>
        <v>0</v>
      </c>
      <c r="L793" s="1899">
        <f t="shared" si="0"/>
        <v>640</v>
      </c>
      <c r="M793" s="1899">
        <f t="shared" si="1"/>
        <v>5120</v>
      </c>
      <c r="N793" s="2074" t="str">
        <f>'Part VI-Revenues &amp; Expenses'!N24</f>
        <v>No</v>
      </c>
      <c r="O793" s="2074" t="str">
        <f>'Part VI-Revenues &amp; Expenses'!O24</f>
        <v>Townhome</v>
      </c>
      <c r="P793" s="2074" t="str">
        <f>'Part VI-Revenues &amp; Expenses'!P24</f>
        <v>New Construction</v>
      </c>
      <c r="Q793" s="1732" t="str">
        <f>'Part VI-Revenues &amp; Expenses'!Q24</f>
        <v>No</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f t="shared" si="15"/>
        <v>8</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f t="shared" si="130"/>
        <v>10000</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f t="shared" si="170"/>
        <v>8</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f t="shared" si="250"/>
        <v>8</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8</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70</v>
      </c>
      <c r="C794" s="2213">
        <f>'Part VI-Revenues &amp; Expenses'!C25</f>
        <v>3</v>
      </c>
      <c r="D794" s="2214">
        <f>'Part VI-Revenues &amp; Expenses'!D25</f>
        <v>2</v>
      </c>
      <c r="E794" s="2215">
        <f>'Part VI-Revenues &amp; Expenses'!E25</f>
        <v>4</v>
      </c>
      <c r="F794" s="2215">
        <f>'Part VI-Revenues &amp; Expenses'!F25</f>
        <v>1250</v>
      </c>
      <c r="G794" s="2215">
        <f>'Part VI-Revenues &amp; Expenses'!G25</f>
        <v>1102</v>
      </c>
      <c r="H794" s="2215">
        <f>'Part VI-Revenues &amp; Expenses'!H25</f>
        <v>825</v>
      </c>
      <c r="I794" s="2215">
        <f>'Part VI-Revenues &amp; Expenses'!I25</f>
        <v>0</v>
      </c>
      <c r="J794" s="2215">
        <f>'Part VI-Revenues &amp; Expenses'!J25</f>
        <v>150</v>
      </c>
      <c r="K794" s="2216">
        <f>'Part VI-Revenues &amp; Expenses'!K25</f>
        <v>0</v>
      </c>
      <c r="L794" s="1899">
        <f t="shared" si="0"/>
        <v>675</v>
      </c>
      <c r="M794" s="1899">
        <f t="shared" si="1"/>
        <v>2700</v>
      </c>
      <c r="N794" s="2074" t="str">
        <f>'Part VI-Revenues &amp; Expenses'!N25</f>
        <v>No</v>
      </c>
      <c r="O794" s="2074" t="str">
        <f>'Part VI-Revenues &amp; Expenses'!O25</f>
        <v>Townhome</v>
      </c>
      <c r="P794" s="2074" t="str">
        <f>'Part VI-Revenues &amp; Expenses'!P25</f>
        <v>New Construction</v>
      </c>
      <c r="Q794" s="1732" t="str">
        <f>'Part VI-Revenues &amp; Expenses'!Q25</f>
        <v>No</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f t="shared" si="10"/>
        <v>4</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f t="shared" si="70"/>
        <v>4</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f t="shared" si="125"/>
        <v>5000</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f t="shared" si="170"/>
        <v>4</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f t="shared" si="250"/>
        <v>4</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4</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4211</v>
      </c>
      <c r="C817" s="449"/>
      <c r="D817" s="1904" t="s">
        <v>996</v>
      </c>
      <c r="E817" s="1901">
        <f>SUM(E779:E816)</f>
        <v>50</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53100</v>
      </c>
      <c r="H817" s="2107" t="s">
        <v>4208</v>
      </c>
      <c r="I817" s="1229" t="s">
        <v>4209</v>
      </c>
      <c r="J817" s="1903" t="str">
        <f>IF(P836=0,"",IF(SUM(P827:P831)/P836&gt;=0.4,"Pass","Fail"))</f>
        <v>Pass</v>
      </c>
      <c r="K817" s="450"/>
      <c r="L817" s="1904" t="s">
        <v>1276</v>
      </c>
      <c r="M817" s="1905">
        <f>SUM(M779:M816)</f>
        <v>26910</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2</v>
      </c>
      <c r="AE817" s="1900">
        <f t="shared" si="348"/>
        <v>4</v>
      </c>
      <c r="AF817" s="1900">
        <f t="shared" si="348"/>
        <v>4</v>
      </c>
      <c r="AG817" s="1900">
        <f t="shared" si="348"/>
        <v>0</v>
      </c>
      <c r="AH817" s="1900">
        <f t="shared" si="348"/>
        <v>0</v>
      </c>
      <c r="AI817" s="1900">
        <f t="shared" si="348"/>
        <v>4</v>
      </c>
      <c r="AJ817" s="1900">
        <f t="shared" si="348"/>
        <v>8</v>
      </c>
      <c r="AK817" s="1900">
        <f t="shared" si="348"/>
        <v>8</v>
      </c>
      <c r="AL817" s="1900">
        <f t="shared" si="348"/>
        <v>0</v>
      </c>
      <c r="AM817" s="1900">
        <f>SUM(AM779:AM816)</f>
        <v>0</v>
      </c>
      <c r="AN817" s="1900">
        <f>SUM(AN779:AN816)</f>
        <v>4</v>
      </c>
      <c r="AO817" s="1900">
        <f>SUM(AO779:AO816)</f>
        <v>8</v>
      </c>
      <c r="AP817" s="1900">
        <f>SUM(AP779:AP816)</f>
        <v>8</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2</v>
      </c>
      <c r="CM817" s="1900">
        <f>SUM(CM779:CM816)</f>
        <v>4</v>
      </c>
      <c r="CN817" s="1900">
        <f>SUM(CN779:CN816)</f>
        <v>4</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1560</v>
      </c>
      <c r="EP817" s="1900">
        <f t="shared" si="348"/>
        <v>4060</v>
      </c>
      <c r="EQ817" s="1900">
        <f t="shared" si="348"/>
        <v>5000</v>
      </c>
      <c r="ER817" s="1900">
        <f t="shared" si="348"/>
        <v>0</v>
      </c>
      <c r="ES817" s="1900">
        <f t="shared" si="348"/>
        <v>0</v>
      </c>
      <c r="ET817" s="1900">
        <f t="shared" si="348"/>
        <v>3120</v>
      </c>
      <c r="EU817" s="1900">
        <f t="shared" si="348"/>
        <v>8120</v>
      </c>
      <c r="EV817" s="1900">
        <f t="shared" si="348"/>
        <v>10000</v>
      </c>
      <c r="EW817" s="1900">
        <f t="shared" si="348"/>
        <v>0</v>
      </c>
      <c r="EX817" s="1900">
        <f t="shared" si="348"/>
        <v>0</v>
      </c>
      <c r="EY817" s="1900">
        <f t="shared" si="348"/>
        <v>3120</v>
      </c>
      <c r="EZ817" s="1900">
        <f t="shared" si="348"/>
        <v>8120</v>
      </c>
      <c r="FA817" s="1900">
        <f t="shared" si="348"/>
        <v>10000</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10</v>
      </c>
      <c r="GI817" s="1900">
        <f t="shared" si="350"/>
        <v>20</v>
      </c>
      <c r="GJ817" s="1900">
        <f t="shared" si="350"/>
        <v>20</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0</v>
      </c>
      <c r="IB817" s="1900">
        <f t="shared" si="351"/>
        <v>0</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10</v>
      </c>
      <c r="JK817" s="1900">
        <f t="shared" si="351"/>
        <v>20</v>
      </c>
      <c r="JL817" s="1900">
        <f t="shared" si="351"/>
        <v>20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10</v>
      </c>
      <c r="MW817" s="1900">
        <f t="shared" si="352"/>
        <v>20</v>
      </c>
      <c r="MX817" s="1900">
        <f t="shared" si="352"/>
        <v>20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v>
      </c>
      <c r="C818" s="2108"/>
      <c r="D818" s="1896" t="s">
        <v>4118</v>
      </c>
      <c r="E818" s="1901">
        <f>SUM(E786:E816)</f>
        <v>50</v>
      </c>
      <c r="F818" s="1902">
        <f>(E786*F786+E787*F787+E788*F788+E789*F789+E790*F790+E791*F791+E792*F792+E793*F793+E794*F794+E795*F795+E796*F796+E797*F797+E798*F798+E799*F799+E800*F800+E801*F801+E802*F802+E803*F803+E804*F804+E805*F805+E806*F806+E807*F807+E808*F808+E809*F809+E810*F810+E811*F811+E812*F812+E813*F813+E814*F814+E815*F815+E816*F816)</f>
        <v>53100</v>
      </c>
      <c r="H818" s="2107"/>
      <c r="I818" s="1229" t="s">
        <v>4210</v>
      </c>
      <c r="J818" s="1903" t="str">
        <f>IF(P836=0,"",IF(SUM(P828:P831)/P836&gt;=0.2,"Pass","Fail"))</f>
        <v>Pass</v>
      </c>
      <c r="K818" s="450"/>
      <c r="L818" s="1904" t="s">
        <v>794</v>
      </c>
      <c r="M818" s="1905">
        <f>M817*12</f>
        <v>322920</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6921</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1798</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4804</v>
      </c>
      <c r="B825" s="1772"/>
      <c r="C825" s="1815" t="s">
        <v>1115</v>
      </c>
      <c r="D825" s="1815"/>
      <c r="E825" s="1815"/>
      <c r="F825" s="1815"/>
      <c r="H825" s="1897" t="s">
        <v>4119</v>
      </c>
      <c r="I825" s="449"/>
      <c r="K825" s="1906">
        <f>X817</f>
        <v>0</v>
      </c>
      <c r="L825" s="1906">
        <f>Y817</f>
        <v>0</v>
      </c>
      <c r="M825" s="1906">
        <f>Z817</f>
        <v>0</v>
      </c>
      <c r="N825" s="1906">
        <f>AA817</f>
        <v>0</v>
      </c>
      <c r="O825" s="1906">
        <f>AB817</f>
        <v>0</v>
      </c>
      <c r="P825" s="1906">
        <f t="shared" ref="P825:P836" si="353">SUM(K825:O825)</f>
        <v>0</v>
      </c>
      <c r="Q825" s="1822" t="s">
        <v>3494</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4120</v>
      </c>
      <c r="I826" s="449"/>
      <c r="K826" s="1906">
        <f>AC817</f>
        <v>0</v>
      </c>
      <c r="L826" s="1906">
        <f>AD817</f>
        <v>2</v>
      </c>
      <c r="M826" s="1906">
        <f>AE817</f>
        <v>4</v>
      </c>
      <c r="N826" s="1906">
        <f>AF817</f>
        <v>4</v>
      </c>
      <c r="O826" s="1906">
        <f>AG817</f>
        <v>0</v>
      </c>
      <c r="P826" s="1906">
        <f t="shared" si="353"/>
        <v>10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4</v>
      </c>
      <c r="M827" s="1906">
        <f>AJ817</f>
        <v>8</v>
      </c>
      <c r="N827" s="1906">
        <f>AK817</f>
        <v>8</v>
      </c>
      <c r="O827" s="1906">
        <f>AL817</f>
        <v>0</v>
      </c>
      <c r="P827" s="1906">
        <f t="shared" si="353"/>
        <v>20</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4</v>
      </c>
      <c r="M828" s="1906">
        <f>AO817</f>
        <v>8</v>
      </c>
      <c r="N828" s="1906">
        <f>AP817</f>
        <v>8</v>
      </c>
      <c r="O828" s="1906">
        <f>AQ817</f>
        <v>0</v>
      </c>
      <c r="P828" s="1906">
        <f t="shared" si="353"/>
        <v>20</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4121</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4122</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4123</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4205</v>
      </c>
      <c r="D832" s="1815"/>
      <c r="E832" s="1815"/>
      <c r="F832" s="1815"/>
      <c r="H832" s="1918"/>
      <c r="I832" s="1945"/>
      <c r="K832" s="1906">
        <f>SUM(K825:K831)</f>
        <v>0</v>
      </c>
      <c r="L832" s="1906">
        <f>SUM(L825:L831)</f>
        <v>10</v>
      </c>
      <c r="M832" s="1906">
        <f>SUM(M825:M831)</f>
        <v>20</v>
      </c>
      <c r="N832" s="1906">
        <f>SUM(N825:N831)</f>
        <v>20</v>
      </c>
      <c r="O832" s="1906">
        <f>SUM(O825:O831)</f>
        <v>0</v>
      </c>
      <c r="P832" s="1906">
        <f t="shared" si="353"/>
        <v>50</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10</v>
      </c>
      <c r="M834" s="1906">
        <f>SUM(M832:M833)</f>
        <v>20</v>
      </c>
      <c r="N834" s="1906">
        <f>SUM(N832:N833)</f>
        <v>20</v>
      </c>
      <c r="O834" s="1906">
        <f>SUM(O832:O833)</f>
        <v>0</v>
      </c>
      <c r="P834" s="1906">
        <f t="shared" si="353"/>
        <v>50</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2444</v>
      </c>
      <c r="I835" s="449"/>
      <c r="K835" s="1906">
        <f>ED817</f>
        <v>0</v>
      </c>
      <c r="L835" s="1906">
        <f>EE817</f>
        <v>0</v>
      </c>
      <c r="M835" s="1906">
        <f>EF817</f>
        <v>0</v>
      </c>
      <c r="N835" s="1906">
        <f>EG817</f>
        <v>0</v>
      </c>
      <c r="O835" s="1906">
        <f>EH817</f>
        <v>0</v>
      </c>
      <c r="P835" s="1906">
        <f t="shared" si="353"/>
        <v>0</v>
      </c>
      <c r="Q835" s="1822" t="s">
        <v>3495</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10</v>
      </c>
      <c r="M836" s="1906">
        <f>SUM(M834:M835)</f>
        <v>20</v>
      </c>
      <c r="N836" s="1906">
        <f>SUM(N834:N835)</f>
        <v>20</v>
      </c>
      <c r="O836" s="1906">
        <f>SUM(O834:O835)</f>
        <v>0</v>
      </c>
      <c r="P836" s="1906">
        <f t="shared" si="353"/>
        <v>50</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4224</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4119</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4777</v>
      </c>
      <c r="S839" s="1910"/>
      <c r="T839" s="1910"/>
      <c r="U839" s="1910"/>
      <c r="V839" s="1910"/>
      <c r="W839" s="1910"/>
    </row>
    <row r="840" spans="1:329">
      <c r="A840" s="1772"/>
      <c r="B840" s="1772"/>
      <c r="C840" s="1815"/>
      <c r="H840" s="1897" t="s">
        <v>6922</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IF(OR($P839="",P$67=0),"",$P839*P$67)</f>
        <v/>
      </c>
      <c r="S840" s="1910"/>
      <c r="T840" s="1910"/>
      <c r="U840" s="1910"/>
      <c r="V840" s="1910"/>
      <c r="W840" s="1910"/>
    </row>
    <row r="841" spans="1:329">
      <c r="C841" s="1815"/>
      <c r="H841" s="1897" t="s">
        <v>6923</v>
      </c>
      <c r="I841" s="449"/>
      <c r="J841" s="1815"/>
      <c r="K841" s="2218" t="str">
        <f t="shared" ref="K841:P841" si="355">IF(OR(K840="",K825=0),"", K825-K840)</f>
        <v/>
      </c>
      <c r="L841" s="2218" t="str">
        <f t="shared" si="355"/>
        <v/>
      </c>
      <c r="M841" s="2218" t="str">
        <f t="shared" si="355"/>
        <v/>
      </c>
      <c r="N841" s="2218" t="str">
        <f t="shared" si="355"/>
        <v/>
      </c>
      <c r="O841" s="2218" t="str">
        <f t="shared" si="355"/>
        <v/>
      </c>
      <c r="P841" s="2218" t="str">
        <f t="shared" si="355"/>
        <v/>
      </c>
      <c r="S841" s="1910"/>
      <c r="T841" s="1910"/>
      <c r="U841" s="1910"/>
      <c r="V841" s="1910"/>
      <c r="W841" s="1910"/>
    </row>
    <row r="842" spans="1:329" ht="13.2" customHeight="1">
      <c r="C842" s="1815"/>
      <c r="D842" s="1815" t="s">
        <v>6822</v>
      </c>
      <c r="E842" s="1815"/>
      <c r="F842" s="1815"/>
      <c r="H842" s="1897" t="s">
        <v>4120</v>
      </c>
      <c r="I842" s="449"/>
      <c r="J842" s="1815"/>
      <c r="K842" s="2217" t="str">
        <f t="shared" ref="K842:P842" si="356">IF(OR(K826=0,K$67=0),"",K826/K$67)</f>
        <v/>
      </c>
      <c r="L842" s="2217" t="e">
        <f t="shared" si="356"/>
        <v>#VALUE!</v>
      </c>
      <c r="M842" s="2217" t="str">
        <f t="shared" si="356"/>
        <v/>
      </c>
      <c r="N842" s="2217" t="str">
        <f t="shared" si="356"/>
        <v/>
      </c>
      <c r="O842" s="2217" t="str">
        <f t="shared" si="356"/>
        <v/>
      </c>
      <c r="P842" s="2217" t="str">
        <f t="shared" si="356"/>
        <v/>
      </c>
      <c r="S842" s="1910"/>
      <c r="T842" s="1910"/>
      <c r="U842" s="1910"/>
      <c r="V842" s="1910"/>
      <c r="W842" s="1910"/>
    </row>
    <row r="843" spans="1:329">
      <c r="C843" s="1815"/>
      <c r="D843" s="1815"/>
      <c r="E843" s="1815"/>
      <c r="F843" s="1815"/>
      <c r="H843" s="1897" t="s">
        <v>6922</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IF(OR($P842="",P$67=0),"",$P842*P$67)</f>
        <v/>
      </c>
      <c r="S843" s="1910"/>
      <c r="T843" s="1910"/>
      <c r="U843" s="1910"/>
      <c r="V843" s="1910"/>
      <c r="W843" s="1910"/>
    </row>
    <row r="844" spans="1:329">
      <c r="C844" s="1815"/>
      <c r="D844" s="1815"/>
      <c r="E844" s="1815"/>
      <c r="F844" s="1815"/>
      <c r="H844" s="1897" t="s">
        <v>6923</v>
      </c>
      <c r="I844" s="449"/>
      <c r="J844" s="1815"/>
      <c r="K844" s="2218" t="str">
        <f t="shared" ref="K844:P844" si="357">IF(OR(K843="",K826=0),"", K826-K843)</f>
        <v/>
      </c>
      <c r="L844" s="2218" t="str">
        <f t="shared" si="357"/>
        <v/>
      </c>
      <c r="M844" s="2218" t="str">
        <f t="shared" si="357"/>
        <v/>
      </c>
      <c r="N844" s="2218" t="str">
        <f t="shared" si="357"/>
        <v/>
      </c>
      <c r="O844" s="2218" t="str">
        <f t="shared" si="357"/>
        <v/>
      </c>
      <c r="P844" s="2218" t="str">
        <f t="shared" si="357"/>
        <v/>
      </c>
      <c r="S844" s="1910"/>
      <c r="T844" s="1910"/>
      <c r="U844" s="1910"/>
      <c r="V844" s="1910"/>
      <c r="W844" s="1910"/>
    </row>
    <row r="845" spans="1:329">
      <c r="C845" s="1995" t="s">
        <v>4775</v>
      </c>
      <c r="D845" s="1815"/>
      <c r="E845" s="1815"/>
      <c r="F845" s="1815"/>
      <c r="H845" s="1897" t="s">
        <v>1127</v>
      </c>
      <c r="I845" s="449"/>
      <c r="J845" s="1815"/>
      <c r="K845" s="2217" t="str">
        <f t="shared" ref="K845:P845" si="358">IF(OR(K827=0,K$67=0),"",K827/K$67)</f>
        <v/>
      </c>
      <c r="L845" s="2217" t="e">
        <f t="shared" si="358"/>
        <v>#VALUE!</v>
      </c>
      <c r="M845" s="2217" t="str">
        <f t="shared" si="358"/>
        <v/>
      </c>
      <c r="N845" s="2217" t="str">
        <f t="shared" si="358"/>
        <v/>
      </c>
      <c r="O845" s="2217" t="str">
        <f t="shared" si="358"/>
        <v/>
      </c>
      <c r="P845" s="2217" t="str">
        <f t="shared" si="358"/>
        <v/>
      </c>
      <c r="S845" s="1910"/>
      <c r="T845" s="1910"/>
      <c r="U845" s="1910"/>
      <c r="V845" s="1910"/>
      <c r="W845" s="1910"/>
    </row>
    <row r="846" spans="1:329" ht="15.75" customHeight="1">
      <c r="D846" s="1815"/>
      <c r="E846" s="1815"/>
      <c r="F846" s="1815"/>
      <c r="H846" s="1897" t="s">
        <v>6922</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IF(OR($P845="",P$67=0),"",$P845*P$67)</f>
        <v/>
      </c>
      <c r="S846" s="1910"/>
      <c r="T846" s="1910"/>
      <c r="U846" s="1910"/>
      <c r="V846" s="1910"/>
      <c r="W846" s="1910"/>
    </row>
    <row r="847" spans="1:329" ht="15.75" customHeight="1">
      <c r="D847" s="1815"/>
      <c r="E847" s="1815"/>
      <c r="H847" s="1897" t="s">
        <v>6923</v>
      </c>
      <c r="I847" s="449"/>
      <c r="J847" s="1815"/>
      <c r="K847" s="2218" t="str">
        <f t="shared" ref="K847:P847" si="359">IF(OR(K846="",K827=0),"", K827-K846)</f>
        <v/>
      </c>
      <c r="L847" s="2218" t="str">
        <f t="shared" si="359"/>
        <v/>
      </c>
      <c r="M847" s="2218" t="str">
        <f t="shared" si="359"/>
        <v/>
      </c>
      <c r="N847" s="2218" t="str">
        <f t="shared" si="359"/>
        <v/>
      </c>
      <c r="O847" s="2218" t="str">
        <f t="shared" si="359"/>
        <v/>
      </c>
      <c r="P847" s="2218" t="str">
        <f t="shared" si="359"/>
        <v/>
      </c>
    </row>
    <row r="848" spans="1:329">
      <c r="C848" s="1995" t="s">
        <v>4775</v>
      </c>
      <c r="H848" s="1897" t="s">
        <v>115</v>
      </c>
      <c r="I848" s="449"/>
      <c r="J848" s="1815"/>
      <c r="K848" s="2217" t="str">
        <f t="shared" ref="K848:P848" si="360">IF(OR(K828=0,K$67=0),"",K828/K$67)</f>
        <v/>
      </c>
      <c r="L848" s="2217" t="e">
        <f t="shared" si="360"/>
        <v>#VALUE!</v>
      </c>
      <c r="M848" s="2217" t="str">
        <f t="shared" si="360"/>
        <v/>
      </c>
      <c r="N848" s="2217" t="str">
        <f t="shared" si="360"/>
        <v/>
      </c>
      <c r="O848" s="2217" t="str">
        <f t="shared" si="360"/>
        <v/>
      </c>
      <c r="P848" s="2217" t="str">
        <f t="shared" si="360"/>
        <v/>
      </c>
    </row>
    <row r="849" spans="1:329">
      <c r="H849" s="1897" t="s">
        <v>6922</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IF(OR($P848="",P$67=0),"",$P848*P$67)</f>
        <v/>
      </c>
    </row>
    <row r="850" spans="1:329">
      <c r="H850" s="1897" t="s">
        <v>6923</v>
      </c>
      <c r="I850" s="449"/>
      <c r="J850" s="1815"/>
      <c r="K850" s="2218" t="str">
        <f t="shared" ref="K850:P850" si="361">IF(OR(K849="",K828=0),"", K828-K849)</f>
        <v/>
      </c>
      <c r="L850" s="2218" t="str">
        <f t="shared" si="361"/>
        <v/>
      </c>
      <c r="M850" s="2218" t="str">
        <f t="shared" si="361"/>
        <v/>
      </c>
      <c r="N850" s="2218" t="str">
        <f t="shared" si="361"/>
        <v/>
      </c>
      <c r="O850" s="2218" t="str">
        <f t="shared" si="361"/>
        <v/>
      </c>
      <c r="P850" s="2218" t="str">
        <f t="shared" si="361"/>
        <v/>
      </c>
    </row>
    <row r="851" spans="1:329">
      <c r="C851" s="1995" t="s">
        <v>4775</v>
      </c>
      <c r="H851" s="1897" t="s">
        <v>4121</v>
      </c>
      <c r="I851" s="449"/>
      <c r="J851" s="1815"/>
      <c r="K851" s="2217" t="str">
        <f t="shared" ref="K851:P851" si="362">IF(OR(K829=0,K$67=0),"",K829/K$67)</f>
        <v/>
      </c>
      <c r="L851" s="2217" t="str">
        <f t="shared" si="362"/>
        <v/>
      </c>
      <c r="M851" s="2217" t="str">
        <f t="shared" si="362"/>
        <v/>
      </c>
      <c r="N851" s="2217" t="str">
        <f t="shared" si="362"/>
        <v/>
      </c>
      <c r="O851" s="2217" t="str">
        <f t="shared" si="362"/>
        <v/>
      </c>
      <c r="P851" s="2217" t="str">
        <f t="shared" si="362"/>
        <v/>
      </c>
    </row>
    <row r="852" spans="1:329">
      <c r="H852" s="1897" t="s">
        <v>6922</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IF(OR($P851="",P$67=0),"",$P851*P$67)</f>
        <v/>
      </c>
    </row>
    <row r="853" spans="1:329">
      <c r="H853" s="1897" t="s">
        <v>6923</v>
      </c>
      <c r="I853" s="449"/>
      <c r="J853" s="1815"/>
      <c r="K853" s="2218" t="str">
        <f t="shared" ref="K853:P853" si="363">IF(OR(K852="",K829=0),"", K829-K852)</f>
        <v/>
      </c>
      <c r="L853" s="2218" t="str">
        <f t="shared" si="363"/>
        <v/>
      </c>
      <c r="M853" s="2218" t="str">
        <f t="shared" si="363"/>
        <v/>
      </c>
      <c r="N853" s="2218" t="str">
        <f t="shared" si="363"/>
        <v/>
      </c>
      <c r="O853" s="2218" t="str">
        <f t="shared" si="363"/>
        <v/>
      </c>
      <c r="P853" s="2218" t="str">
        <f t="shared" si="363"/>
        <v/>
      </c>
    </row>
    <row r="854" spans="1:329">
      <c r="C854" s="1995" t="s">
        <v>4775</v>
      </c>
      <c r="H854" s="1897" t="s">
        <v>4122</v>
      </c>
      <c r="I854" s="449"/>
      <c r="J854" s="1815"/>
      <c r="K854" s="2217" t="str">
        <f t="shared" ref="K854:P854" si="364">IF(OR(K830=0,K$67=0),"",K830/K$67)</f>
        <v/>
      </c>
      <c r="L854" s="2217" t="str">
        <f t="shared" si="364"/>
        <v/>
      </c>
      <c r="M854" s="2217" t="str">
        <f t="shared" si="364"/>
        <v/>
      </c>
      <c r="N854" s="2217" t="str">
        <f t="shared" si="364"/>
        <v/>
      </c>
      <c r="O854" s="2217" t="str">
        <f t="shared" si="364"/>
        <v/>
      </c>
      <c r="P854" s="2217" t="str">
        <f t="shared" si="364"/>
        <v/>
      </c>
    </row>
    <row r="855" spans="1:329">
      <c r="H855" s="1897" t="s">
        <v>6922</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IF(OR($P854="",P$67=0),"",$P854*P$67)</f>
        <v/>
      </c>
    </row>
    <row r="856" spans="1:329">
      <c r="H856" s="1897" t="s">
        <v>6923</v>
      </c>
      <c r="I856" s="449"/>
      <c r="J856" s="1815"/>
      <c r="K856" s="2218" t="str">
        <f t="shared" ref="K856:P856" si="365">IF(OR(K855="",K830=0),"", K830-K855)</f>
        <v/>
      </c>
      <c r="L856" s="2218" t="str">
        <f t="shared" si="365"/>
        <v/>
      </c>
      <c r="M856" s="2218" t="str">
        <f t="shared" si="365"/>
        <v/>
      </c>
      <c r="N856" s="2218" t="str">
        <f t="shared" si="365"/>
        <v/>
      </c>
      <c r="O856" s="2218" t="str">
        <f t="shared" si="365"/>
        <v/>
      </c>
      <c r="P856" s="2218" t="str">
        <f t="shared" si="365"/>
        <v/>
      </c>
    </row>
    <row r="857" spans="1:329">
      <c r="C857" s="1995" t="s">
        <v>4775</v>
      </c>
      <c r="H857" s="1897" t="s">
        <v>4123</v>
      </c>
      <c r="I857" s="449"/>
      <c r="J857" s="1815"/>
      <c r="K857" s="2217" t="str">
        <f t="shared" ref="K857:P857" si="366">IF(OR(K831=0,K$67=0),"",K831/K$67)</f>
        <v/>
      </c>
      <c r="L857" s="2217" t="str">
        <f t="shared" si="366"/>
        <v/>
      </c>
      <c r="M857" s="2217" t="str">
        <f t="shared" si="366"/>
        <v/>
      </c>
      <c r="N857" s="2217" t="str">
        <f t="shared" si="366"/>
        <v/>
      </c>
      <c r="O857" s="2217" t="str">
        <f t="shared" si="366"/>
        <v/>
      </c>
      <c r="P857" s="2217" t="str">
        <f t="shared" si="366"/>
        <v/>
      </c>
    </row>
    <row r="858" spans="1:329">
      <c r="H858" s="1897" t="s">
        <v>6922</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IF(OR($P857="",P$67=0),"",$P857*P$67)</f>
        <v/>
      </c>
    </row>
    <row r="859" spans="1:329">
      <c r="H859" s="1897" t="s">
        <v>6923</v>
      </c>
      <c r="I859" s="449"/>
      <c r="J859" s="1815"/>
      <c r="K859" s="2217" t="str">
        <f t="shared" ref="K859:P859" si="367">IF(OR(K858="",K831=0),"", K831-K858)</f>
        <v/>
      </c>
      <c r="L859" s="2217" t="str">
        <f t="shared" si="367"/>
        <v/>
      </c>
      <c r="M859" s="2217" t="str">
        <f t="shared" si="367"/>
        <v/>
      </c>
      <c r="N859" s="2217" t="str">
        <f t="shared" si="367"/>
        <v/>
      </c>
      <c r="O859" s="2217" t="str">
        <f t="shared" si="367"/>
        <v/>
      </c>
      <c r="P859" s="2217" t="str">
        <f t="shared" si="367"/>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4119</v>
      </c>
      <c r="I862" s="449"/>
      <c r="K862" s="2111">
        <f>CP817</f>
        <v>0</v>
      </c>
      <c r="L862" s="2111">
        <f>CQ817</f>
        <v>0</v>
      </c>
      <c r="M862" s="2111">
        <f>CR817</f>
        <v>0</v>
      </c>
      <c r="N862" s="2111">
        <f>CS817</f>
        <v>0</v>
      </c>
      <c r="O862" s="2111">
        <f>CT817</f>
        <v>0</v>
      </c>
      <c r="P862" s="1906">
        <f t="shared" ref="P862:P869" si="368">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2445</v>
      </c>
      <c r="D863" s="1815"/>
      <c r="E863" s="1897"/>
      <c r="F863" s="1815"/>
      <c r="H863" s="1897" t="s">
        <v>4120</v>
      </c>
      <c r="I863" s="449"/>
      <c r="K863" s="1906">
        <f>CK817</f>
        <v>0</v>
      </c>
      <c r="L863" s="1906">
        <f>CL817</f>
        <v>2</v>
      </c>
      <c r="M863" s="1906">
        <f>CM817</f>
        <v>4</v>
      </c>
      <c r="N863" s="1906">
        <f>CN817</f>
        <v>4</v>
      </c>
      <c r="O863" s="1906">
        <f>CO817</f>
        <v>0</v>
      </c>
      <c r="P863" s="1906">
        <f t="shared" si="368"/>
        <v>10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68"/>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68"/>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4121</v>
      </c>
      <c r="I866" s="449"/>
      <c r="K866" s="1906">
        <f>BV817</f>
        <v>0</v>
      </c>
      <c r="L866" s="1906">
        <f>BW817</f>
        <v>0</v>
      </c>
      <c r="M866" s="1906">
        <f>BX817</f>
        <v>0</v>
      </c>
      <c r="N866" s="1906">
        <f>BY817</f>
        <v>0</v>
      </c>
      <c r="O866" s="1906">
        <f>BZ817</f>
        <v>0</v>
      </c>
      <c r="P866" s="1906">
        <f t="shared" si="368"/>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4122</v>
      </c>
      <c r="I867" s="449"/>
      <c r="K867" s="1906">
        <f>BQ817</f>
        <v>0</v>
      </c>
      <c r="L867" s="1906">
        <f>BR817</f>
        <v>0</v>
      </c>
      <c r="M867" s="1906">
        <f>BS817</f>
        <v>0</v>
      </c>
      <c r="N867" s="1906">
        <f>BT817</f>
        <v>0</v>
      </c>
      <c r="O867" s="1906">
        <f>BU817</f>
        <v>0</v>
      </c>
      <c r="P867" s="1906">
        <f t="shared" si="368"/>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4123</v>
      </c>
      <c r="I868" s="449"/>
      <c r="K868" s="2111">
        <f>BL817</f>
        <v>0</v>
      </c>
      <c r="L868" s="2111">
        <f>BM817</f>
        <v>0</v>
      </c>
      <c r="M868" s="2111">
        <f>BN817</f>
        <v>0</v>
      </c>
      <c r="N868" s="2111">
        <f>BO817</f>
        <v>0</v>
      </c>
      <c r="O868" s="2111">
        <f>BP817</f>
        <v>0</v>
      </c>
      <c r="P868" s="1906">
        <f t="shared" si="368"/>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2</v>
      </c>
      <c r="M869" s="1906">
        <f>SUM(M862:M868)</f>
        <v>4</v>
      </c>
      <c r="N869" s="1906">
        <f>SUM(N862:N868)</f>
        <v>4</v>
      </c>
      <c r="O869" s="1906">
        <f>SUM(O862:O868)</f>
        <v>0</v>
      </c>
      <c r="P869" s="1906">
        <f t="shared" si="368"/>
        <v>10</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6969</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4119</v>
      </c>
      <c r="I873" s="449"/>
      <c r="K873" s="2111">
        <f>DY817</f>
        <v>0</v>
      </c>
      <c r="L873" s="2111">
        <f>DZ817</f>
        <v>0</v>
      </c>
      <c r="M873" s="2111">
        <f>EA817</f>
        <v>0</v>
      </c>
      <c r="N873" s="2111">
        <f>EB817</f>
        <v>0</v>
      </c>
      <c r="O873" s="2111">
        <f>EC817</f>
        <v>0</v>
      </c>
      <c r="P873" s="1906">
        <f t="shared" ref="P873:P880" si="369">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2445</v>
      </c>
      <c r="D874" s="1910"/>
      <c r="E874" s="1910"/>
      <c r="F874" s="1815"/>
      <c r="H874" s="1897" t="s">
        <v>4120</v>
      </c>
      <c r="I874" s="449"/>
      <c r="K874" s="1906">
        <f>DT817</f>
        <v>0</v>
      </c>
      <c r="L874" s="1906">
        <f>DU817</f>
        <v>0</v>
      </c>
      <c r="M874" s="1906">
        <f>DV817</f>
        <v>0</v>
      </c>
      <c r="N874" s="1906">
        <f>DW817</f>
        <v>0</v>
      </c>
      <c r="O874" s="1906">
        <f>DX817</f>
        <v>0</v>
      </c>
      <c r="P874" s="1906">
        <f t="shared" si="369"/>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69"/>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69"/>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4121</v>
      </c>
      <c r="I877" s="449"/>
      <c r="K877" s="1906">
        <f>DE817</f>
        <v>0</v>
      </c>
      <c r="L877" s="1906">
        <f>DF817</f>
        <v>0</v>
      </c>
      <c r="M877" s="1906">
        <f>DG817</f>
        <v>0</v>
      </c>
      <c r="N877" s="1906">
        <f>DH817</f>
        <v>0</v>
      </c>
      <c r="O877" s="1906">
        <f>DI817</f>
        <v>0</v>
      </c>
      <c r="P877" s="1906">
        <f t="shared" si="369"/>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4122</v>
      </c>
      <c r="I878" s="449"/>
      <c r="K878" s="1906">
        <f>CZ817</f>
        <v>0</v>
      </c>
      <c r="L878" s="1906">
        <f>DA817</f>
        <v>0</v>
      </c>
      <c r="M878" s="1906">
        <f>DB817</f>
        <v>0</v>
      </c>
      <c r="N878" s="1906">
        <f>DC817</f>
        <v>0</v>
      </c>
      <c r="O878" s="1906">
        <f>DD817</f>
        <v>0</v>
      </c>
      <c r="P878" s="1906">
        <f t="shared" si="369"/>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4123</v>
      </c>
      <c r="I879" s="449"/>
      <c r="K879" s="2111">
        <f>CU817</f>
        <v>0</v>
      </c>
      <c r="L879" s="2111">
        <f>CV817</f>
        <v>0</v>
      </c>
      <c r="M879" s="2111">
        <f>CW817</f>
        <v>0</v>
      </c>
      <c r="N879" s="2111">
        <f>CX817</f>
        <v>0</v>
      </c>
      <c r="O879" s="2111">
        <f>CY817</f>
        <v>0</v>
      </c>
      <c r="P879" s="1906">
        <f t="shared" si="369"/>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69"/>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2236</v>
      </c>
      <c r="F882" s="1815"/>
      <c r="H882" s="1897" t="s">
        <v>1404</v>
      </c>
      <c r="I882" s="449"/>
      <c r="K882" s="1906">
        <f>GG817</f>
        <v>0</v>
      </c>
      <c r="L882" s="1906">
        <f>GH817</f>
        <v>10</v>
      </c>
      <c r="M882" s="1906">
        <f>GI817</f>
        <v>20</v>
      </c>
      <c r="N882" s="1906">
        <f>GJ817</f>
        <v>20</v>
      </c>
      <c r="O882" s="1906">
        <f>GK817</f>
        <v>0</v>
      </c>
      <c r="P882" s="1906">
        <f t="shared" ref="P882:P892" si="370">SUM(K882:O882)</f>
        <v>50</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0"/>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10</v>
      </c>
      <c r="M884" s="1906">
        <f>SUM(M882:M883)+GS817</f>
        <v>20</v>
      </c>
      <c r="N884" s="1906">
        <f>SUM(N882:N883)+GT817</f>
        <v>20</v>
      </c>
      <c r="O884" s="1906">
        <f>SUM(O882:O883)+GU817</f>
        <v>0</v>
      </c>
      <c r="P884" s="1906">
        <f t="shared" si="370"/>
        <v>50</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2086</v>
      </c>
      <c r="F885" s="1815"/>
      <c r="H885" s="1897" t="s">
        <v>1404</v>
      </c>
      <c r="I885" s="449"/>
      <c r="K885" s="1906">
        <f>GV817</f>
        <v>0</v>
      </c>
      <c r="L885" s="1906">
        <f>GW817</f>
        <v>0</v>
      </c>
      <c r="M885" s="1906">
        <f>GX817</f>
        <v>0</v>
      </c>
      <c r="N885" s="1906">
        <f>GY817</f>
        <v>0</v>
      </c>
      <c r="O885" s="1906">
        <f>GZ817</f>
        <v>0</v>
      </c>
      <c r="P885" s="1906">
        <f t="shared" si="370"/>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0"/>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0"/>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0"/>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0"/>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0"/>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0"/>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6808</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0"/>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3249</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6924</v>
      </c>
      <c r="D896" s="1910"/>
      <c r="E896" s="1897" t="s">
        <v>37</v>
      </c>
      <c r="F896" s="1815"/>
      <c r="G896" s="1822"/>
      <c r="H896" s="1918"/>
      <c r="K896" s="1906">
        <f t="shared" ref="K896:P896" si="371">SUM(K897:K906)</f>
        <v>0</v>
      </c>
      <c r="L896" s="1906">
        <f t="shared" si="371"/>
        <v>0</v>
      </c>
      <c r="M896" s="1906">
        <f t="shared" si="371"/>
        <v>0</v>
      </c>
      <c r="N896" s="1906">
        <f t="shared" si="371"/>
        <v>0</v>
      </c>
      <c r="O896" s="1906">
        <f t="shared" si="371"/>
        <v>0</v>
      </c>
      <c r="P896" s="1906">
        <f t="shared" si="371"/>
        <v>0</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2536</v>
      </c>
      <c r="I897" s="1908"/>
      <c r="K897" s="1906">
        <f>JS817</f>
        <v>0</v>
      </c>
      <c r="L897" s="1906">
        <f>JT817</f>
        <v>0</v>
      </c>
      <c r="M897" s="1906">
        <f>JU817</f>
        <v>0</v>
      </c>
      <c r="N897" s="1906">
        <f>JV817</f>
        <v>0</v>
      </c>
      <c r="O897" s="1906">
        <f>JW817</f>
        <v>0</v>
      </c>
      <c r="P897" s="1906">
        <f t="shared" ref="P897:P914" si="372">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3249</v>
      </c>
      <c r="I898" s="1908"/>
      <c r="K898" s="1906">
        <f>JX817</f>
        <v>0</v>
      </c>
      <c r="L898" s="1906">
        <f>JY817</f>
        <v>0</v>
      </c>
      <c r="M898" s="1906">
        <f>JZ817</f>
        <v>0</v>
      </c>
      <c r="N898" s="1906">
        <f>KA817</f>
        <v>0</v>
      </c>
      <c r="O898" s="1906">
        <f>KB817</f>
        <v>0</v>
      </c>
      <c r="P898" s="1906">
        <f t="shared" si="372"/>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2537</v>
      </c>
      <c r="I899" s="1908"/>
      <c r="K899" s="1906">
        <f>KC817</f>
        <v>0</v>
      </c>
      <c r="L899" s="1906">
        <f>KD817</f>
        <v>0</v>
      </c>
      <c r="M899" s="1906">
        <f>KE817</f>
        <v>0</v>
      </c>
      <c r="N899" s="1906">
        <f>KF817</f>
        <v>0</v>
      </c>
      <c r="O899" s="1906">
        <f>KG817</f>
        <v>0</v>
      </c>
      <c r="P899" s="1906">
        <f t="shared" si="372"/>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3249</v>
      </c>
      <c r="I900" s="1908"/>
      <c r="K900" s="1906">
        <f>KH817</f>
        <v>0</v>
      </c>
      <c r="L900" s="1906">
        <f>KI817</f>
        <v>0</v>
      </c>
      <c r="M900" s="1906">
        <f>KJ817</f>
        <v>0</v>
      </c>
      <c r="N900" s="1906">
        <f>KK817</f>
        <v>0</v>
      </c>
      <c r="O900" s="1906">
        <f>KL817</f>
        <v>0</v>
      </c>
      <c r="P900" s="1906">
        <f t="shared" si="372"/>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2539</v>
      </c>
      <c r="I901" s="1908"/>
      <c r="K901" s="1906">
        <f>KM817</f>
        <v>0</v>
      </c>
      <c r="L901" s="1906">
        <f>KN817</f>
        <v>0</v>
      </c>
      <c r="M901" s="1906">
        <f>KO817</f>
        <v>0</v>
      </c>
      <c r="N901" s="1906">
        <f>KP817</f>
        <v>0</v>
      </c>
      <c r="O901" s="1906">
        <f>KQ817</f>
        <v>0</v>
      </c>
      <c r="P901" s="1906">
        <f t="shared" si="372"/>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3249</v>
      </c>
      <c r="I902" s="1908"/>
      <c r="K902" s="1906">
        <f>KR817</f>
        <v>0</v>
      </c>
      <c r="L902" s="1906">
        <f>KS817</f>
        <v>0</v>
      </c>
      <c r="M902" s="1906">
        <f>KT817</f>
        <v>0</v>
      </c>
      <c r="N902" s="1906">
        <f>KU817</f>
        <v>0</v>
      </c>
      <c r="O902" s="1906">
        <f>KV817</f>
        <v>0</v>
      </c>
      <c r="P902" s="1906">
        <f t="shared" si="372"/>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2538</v>
      </c>
      <c r="I903" s="1908"/>
      <c r="K903" s="1906">
        <f>KW817</f>
        <v>0</v>
      </c>
      <c r="L903" s="1906">
        <f>KX817</f>
        <v>0</v>
      </c>
      <c r="M903" s="1906">
        <f>KY817</f>
        <v>0</v>
      </c>
      <c r="N903" s="1906">
        <f>KZ817</f>
        <v>0</v>
      </c>
      <c r="O903" s="1906">
        <f>LA817</f>
        <v>0</v>
      </c>
      <c r="P903" s="1906">
        <f t="shared" si="372"/>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3249</v>
      </c>
      <c r="I904" s="1908"/>
      <c r="K904" s="1906">
        <f>LB817</f>
        <v>0</v>
      </c>
      <c r="L904" s="1906">
        <f>LC817</f>
        <v>0</v>
      </c>
      <c r="M904" s="1906">
        <f>LD817</f>
        <v>0</v>
      </c>
      <c r="N904" s="1906">
        <f>LE817</f>
        <v>0</v>
      </c>
      <c r="O904" s="1906">
        <f>LF817</f>
        <v>0</v>
      </c>
      <c r="P904" s="1906">
        <f t="shared" si="372"/>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4794</v>
      </c>
      <c r="I905" s="1908"/>
      <c r="K905" s="1906">
        <f>LG817</f>
        <v>0</v>
      </c>
      <c r="L905" s="1906">
        <f>LH817</f>
        <v>0</v>
      </c>
      <c r="M905" s="1906">
        <f>LI817</f>
        <v>0</v>
      </c>
      <c r="N905" s="1906">
        <f>LJ817</f>
        <v>0</v>
      </c>
      <c r="O905" s="1906">
        <f>LK817</f>
        <v>0</v>
      </c>
      <c r="P905" s="1906">
        <f t="shared" si="372"/>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3249</v>
      </c>
      <c r="I906" s="1908"/>
      <c r="K906" s="1906">
        <f>LL817</f>
        <v>0</v>
      </c>
      <c r="L906" s="1906">
        <f>LM817</f>
        <v>0</v>
      </c>
      <c r="M906" s="1906">
        <f>LN817</f>
        <v>0</v>
      </c>
      <c r="N906" s="1906">
        <f>LO817</f>
        <v>0</v>
      </c>
      <c r="O906" s="1906">
        <f>LP817</f>
        <v>0</v>
      </c>
      <c r="P906" s="1906">
        <f t="shared" si="372"/>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2"/>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3249</v>
      </c>
      <c r="I908" s="1908"/>
      <c r="K908" s="1906">
        <f>IJ817</f>
        <v>0</v>
      </c>
      <c r="L908" s="1906">
        <f>IK817</f>
        <v>0</v>
      </c>
      <c r="M908" s="1906">
        <f>IL817</f>
        <v>0</v>
      </c>
      <c r="N908" s="1906">
        <f>IM817</f>
        <v>0</v>
      </c>
      <c r="O908" s="1906">
        <f>IN817</f>
        <v>0</v>
      </c>
      <c r="P908" s="1906">
        <f t="shared" si="372"/>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10</v>
      </c>
      <c r="M909" s="1906">
        <f>JK817</f>
        <v>20</v>
      </c>
      <c r="N909" s="1906">
        <f>JL817</f>
        <v>20</v>
      </c>
      <c r="O909" s="1906">
        <f>JM817</f>
        <v>0</v>
      </c>
      <c r="P909" s="1906">
        <f t="shared" si="372"/>
        <v>50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3249</v>
      </c>
      <c r="I910" s="1908"/>
      <c r="K910" s="1906">
        <f>JN817</f>
        <v>0</v>
      </c>
      <c r="L910" s="1906">
        <f>JO817</f>
        <v>0</v>
      </c>
      <c r="M910" s="1906">
        <f>JP817</f>
        <v>0</v>
      </c>
      <c r="N910" s="1906">
        <f>JQ817</f>
        <v>0</v>
      </c>
      <c r="O910" s="1906">
        <f>JR817</f>
        <v>0</v>
      </c>
      <c r="P910" s="1906">
        <f t="shared" si="372"/>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2"/>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3249</v>
      </c>
      <c r="I912" s="1908"/>
      <c r="K912" s="1906">
        <f>JD817</f>
        <v>0</v>
      </c>
      <c r="L912" s="1906">
        <f>JE817</f>
        <v>0</v>
      </c>
      <c r="M912" s="1906">
        <f>JF817</f>
        <v>0</v>
      </c>
      <c r="N912" s="1906">
        <f>JG817</f>
        <v>0</v>
      </c>
      <c r="O912" s="1906">
        <f>JH817</f>
        <v>0</v>
      </c>
      <c r="P912" s="1906">
        <f t="shared" si="372"/>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2"/>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3249</v>
      </c>
      <c r="I914" s="1908"/>
      <c r="K914" s="1906">
        <f>IT817</f>
        <v>0</v>
      </c>
      <c r="L914" s="1906">
        <f>IU817</f>
        <v>0</v>
      </c>
      <c r="M914" s="1906">
        <f>IV817</f>
        <v>0</v>
      </c>
      <c r="N914" s="1906">
        <f>IW817</f>
        <v>0</v>
      </c>
      <c r="O914" s="1906">
        <f>IX817</f>
        <v>0</v>
      </c>
      <c r="P914" s="1906">
        <f t="shared" si="372"/>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6969</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6970</v>
      </c>
      <c r="D918" s="1910"/>
      <c r="E918" s="1897" t="s">
        <v>3244</v>
      </c>
      <c r="F918" s="1822"/>
      <c r="H918" s="1911"/>
      <c r="I918" s="1908"/>
      <c r="K918" s="1906">
        <f t="shared" ref="K918:O919" si="373">K907+K911+K913</f>
        <v>0</v>
      </c>
      <c r="L918" s="1906">
        <f>L907+L911+L913</f>
        <v>0</v>
      </c>
      <c r="M918" s="1906">
        <f t="shared" si="373"/>
        <v>0</v>
      </c>
      <c r="N918" s="1906">
        <f t="shared" si="373"/>
        <v>0</v>
      </c>
      <c r="O918" s="1906">
        <f t="shared" si="373"/>
        <v>0</v>
      </c>
      <c r="P918" s="1906">
        <f t="shared" ref="P918:P925" si="374">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3249</v>
      </c>
      <c r="I919" s="1908"/>
      <c r="K919" s="1906">
        <f t="shared" si="373"/>
        <v>0</v>
      </c>
      <c r="L919" s="1906">
        <f t="shared" si="373"/>
        <v>0</v>
      </c>
      <c r="M919" s="1906">
        <f t="shared" si="373"/>
        <v>0</v>
      </c>
      <c r="N919" s="1906">
        <f t="shared" si="373"/>
        <v>0</v>
      </c>
      <c r="O919" s="1906">
        <f t="shared" si="373"/>
        <v>0</v>
      </c>
      <c r="P919" s="1906">
        <f t="shared" si="374"/>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3245</v>
      </c>
      <c r="F920" s="1822"/>
      <c r="H920" s="1849"/>
      <c r="I920" s="1822"/>
      <c r="K920" s="1906">
        <f t="shared" ref="K920:O921" si="375">K897+K909</f>
        <v>0</v>
      </c>
      <c r="L920" s="1906">
        <f t="shared" si="375"/>
        <v>10</v>
      </c>
      <c r="M920" s="1906">
        <f t="shared" si="375"/>
        <v>20</v>
      </c>
      <c r="N920" s="1906">
        <f t="shared" si="375"/>
        <v>20</v>
      </c>
      <c r="O920" s="1906">
        <f t="shared" si="375"/>
        <v>0</v>
      </c>
      <c r="P920" s="1906">
        <f t="shared" si="374"/>
        <v>50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3249</v>
      </c>
      <c r="I921" s="1908"/>
      <c r="K921" s="1906">
        <f t="shared" si="375"/>
        <v>0</v>
      </c>
      <c r="L921" s="1906">
        <f t="shared" si="375"/>
        <v>0</v>
      </c>
      <c r="M921" s="1906">
        <f t="shared" si="375"/>
        <v>0</v>
      </c>
      <c r="N921" s="1906">
        <f t="shared" si="375"/>
        <v>0</v>
      </c>
      <c r="O921" s="1906">
        <f t="shared" si="375"/>
        <v>0</v>
      </c>
      <c r="P921" s="1906">
        <f t="shared" si="374"/>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3246</v>
      </c>
      <c r="F922" s="1822"/>
      <c r="H922" s="1911"/>
      <c r="I922" s="1908"/>
      <c r="K922" s="1906">
        <f t="shared" ref="K922:O923" si="376">K901+K903</f>
        <v>0</v>
      </c>
      <c r="L922" s="1906">
        <f t="shared" si="376"/>
        <v>0</v>
      </c>
      <c r="M922" s="1906">
        <f t="shared" si="376"/>
        <v>0</v>
      </c>
      <c r="N922" s="1906">
        <f t="shared" si="376"/>
        <v>0</v>
      </c>
      <c r="O922" s="1906">
        <f t="shared" si="376"/>
        <v>0</v>
      </c>
      <c r="P922" s="1906">
        <f t="shared" si="374"/>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3249</v>
      </c>
      <c r="I923" s="1908"/>
      <c r="K923" s="1906">
        <f t="shared" si="376"/>
        <v>0</v>
      </c>
      <c r="L923" s="1906">
        <f t="shared" si="376"/>
        <v>0</v>
      </c>
      <c r="M923" s="1906">
        <f t="shared" si="376"/>
        <v>0</v>
      </c>
      <c r="N923" s="1906">
        <f t="shared" si="376"/>
        <v>0</v>
      </c>
      <c r="O923" s="1906">
        <f t="shared" si="376"/>
        <v>0</v>
      </c>
      <c r="P923" s="1906">
        <f t="shared" si="374"/>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3247</v>
      </c>
      <c r="F924" s="1822"/>
      <c r="H924" s="1911"/>
      <c r="I924" s="1908"/>
      <c r="K924" s="1906">
        <f t="shared" ref="K924:O925" si="377">K899+K905</f>
        <v>0</v>
      </c>
      <c r="L924" s="1906">
        <f t="shared" si="377"/>
        <v>0</v>
      </c>
      <c r="M924" s="1906">
        <f t="shared" si="377"/>
        <v>0</v>
      </c>
      <c r="N924" s="1906">
        <f t="shared" si="377"/>
        <v>0</v>
      </c>
      <c r="O924" s="1906">
        <f t="shared" si="377"/>
        <v>0</v>
      </c>
      <c r="P924" s="1906">
        <f t="shared" si="374"/>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3249</v>
      </c>
      <c r="I925" s="1908"/>
      <c r="K925" s="1906">
        <f t="shared" si="377"/>
        <v>0</v>
      </c>
      <c r="L925" s="1906">
        <f t="shared" si="377"/>
        <v>0</v>
      </c>
      <c r="M925" s="1906">
        <f t="shared" si="377"/>
        <v>0</v>
      </c>
      <c r="N925" s="1906">
        <f t="shared" si="377"/>
        <v>0</v>
      </c>
      <c r="O925" s="1906">
        <f t="shared" si="377"/>
        <v>0</v>
      </c>
      <c r="P925" s="1906">
        <f t="shared" si="374"/>
        <v>0</v>
      </c>
      <c r="Q925" s="1815" t="s">
        <v>6863</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2114</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2085</v>
      </c>
      <c r="D928" s="1815"/>
      <c r="E928" s="1815"/>
      <c r="F928" s="1815"/>
      <c r="H928" s="1918" t="s">
        <v>4119</v>
      </c>
      <c r="I928" s="1945"/>
      <c r="K928" s="2111">
        <f>EI817</f>
        <v>0</v>
      </c>
      <c r="L928" s="2111">
        <f>EJ817</f>
        <v>0</v>
      </c>
      <c r="M928" s="2111">
        <f>EK817</f>
        <v>0</v>
      </c>
      <c r="N928" s="2111">
        <f>EL817</f>
        <v>0</v>
      </c>
      <c r="O928" s="2111">
        <f>EM817</f>
        <v>0</v>
      </c>
      <c r="P928" s="1915">
        <f t="shared" ref="P928:P934" si="378">SUM(K928:O928)</f>
        <v>0</v>
      </c>
      <c r="Q928" s="1916" t="str">
        <f t="shared" ref="Q928:Q934" si="379">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4120</v>
      </c>
      <c r="I929" s="1908"/>
      <c r="K929" s="1915">
        <f>EN817</f>
        <v>0</v>
      </c>
      <c r="L929" s="1915">
        <f>EO817</f>
        <v>1560</v>
      </c>
      <c r="M929" s="1915">
        <f>EP817</f>
        <v>4060</v>
      </c>
      <c r="N929" s="1915">
        <f>EQ817</f>
        <v>5000</v>
      </c>
      <c r="O929" s="1915">
        <f>ER817</f>
        <v>0</v>
      </c>
      <c r="P929" s="1915">
        <f t="shared" si="378"/>
        <v>10620</v>
      </c>
      <c r="Q929" s="1916">
        <f t="shared" si="379"/>
        <v>1062</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3120</v>
      </c>
      <c r="M930" s="1915">
        <f>EU817</f>
        <v>8120</v>
      </c>
      <c r="N930" s="1915">
        <f>EV817</f>
        <v>10000</v>
      </c>
      <c r="O930" s="1915">
        <f>EW817</f>
        <v>0</v>
      </c>
      <c r="P930" s="1915">
        <f t="shared" si="378"/>
        <v>21240</v>
      </c>
      <c r="Q930" s="1916">
        <f t="shared" si="379"/>
        <v>1062</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3120</v>
      </c>
      <c r="M931" s="1915">
        <f>EZ817</f>
        <v>8120</v>
      </c>
      <c r="N931" s="1915">
        <f>FA817</f>
        <v>10000</v>
      </c>
      <c r="O931" s="1915">
        <f>FB817</f>
        <v>0</v>
      </c>
      <c r="P931" s="1915">
        <f t="shared" si="378"/>
        <v>21240</v>
      </c>
      <c r="Q931" s="1916">
        <f t="shared" si="379"/>
        <v>1062</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4121</v>
      </c>
      <c r="I932" s="1908"/>
      <c r="K932" s="1915">
        <f>FC817</f>
        <v>0</v>
      </c>
      <c r="L932" s="1915">
        <f>FD817</f>
        <v>0</v>
      </c>
      <c r="M932" s="1915">
        <f>FE817</f>
        <v>0</v>
      </c>
      <c r="N932" s="1915">
        <f>FF817</f>
        <v>0</v>
      </c>
      <c r="O932" s="1915">
        <f>FG817</f>
        <v>0</v>
      </c>
      <c r="P932" s="1915">
        <f t="shared" si="378"/>
        <v>0</v>
      </c>
      <c r="Q932" s="1916" t="str">
        <f t="shared" si="379"/>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4122</v>
      </c>
      <c r="I933" s="1908"/>
      <c r="K933" s="1915">
        <f>FH817</f>
        <v>0</v>
      </c>
      <c r="L933" s="1915">
        <f>FI817</f>
        <v>0</v>
      </c>
      <c r="M933" s="1915">
        <f>FJ817</f>
        <v>0</v>
      </c>
      <c r="N933" s="1915">
        <f>FK817</f>
        <v>0</v>
      </c>
      <c r="O933" s="1915">
        <f>FL817</f>
        <v>0</v>
      </c>
      <c r="P933" s="1915">
        <f t="shared" si="378"/>
        <v>0</v>
      </c>
      <c r="Q933" s="1916" t="str">
        <f t="shared" si="379"/>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4123</v>
      </c>
      <c r="I934" s="1945"/>
      <c r="K934" s="2111">
        <f>FM817</f>
        <v>0</v>
      </c>
      <c r="L934" s="2111">
        <f>FN817</f>
        <v>0</v>
      </c>
      <c r="M934" s="2111">
        <f>FO817</f>
        <v>0</v>
      </c>
      <c r="N934" s="2111">
        <f>FP817</f>
        <v>0</v>
      </c>
      <c r="O934" s="2111">
        <f>FQ817</f>
        <v>0</v>
      </c>
      <c r="P934" s="1915">
        <f t="shared" si="378"/>
        <v>0</v>
      </c>
      <c r="Q934" s="1916" t="str">
        <f t="shared" si="379"/>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4204</v>
      </c>
      <c r="I935" s="1908"/>
      <c r="K935" s="1915">
        <f>SUM(K928:K934)</f>
        <v>0</v>
      </c>
      <c r="L935" s="1915">
        <f>SUM(L928:L934)</f>
        <v>7800</v>
      </c>
      <c r="M935" s="1915">
        <f>SUM(M928:M934)</f>
        <v>20300</v>
      </c>
      <c r="N935" s="1915">
        <f>SUM(N928:N934)</f>
        <v>25000</v>
      </c>
      <c r="O935" s="1915">
        <f>SUM(O928:O934)</f>
        <v>0</v>
      </c>
      <c r="P935" s="1915">
        <f>SUM(K935:O935)</f>
        <v>53100</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7800</v>
      </c>
      <c r="M937" s="1915">
        <f>SUM(M935:M936)</f>
        <v>20300</v>
      </c>
      <c r="N937" s="1915">
        <f>SUM(N935:N936)</f>
        <v>25000</v>
      </c>
      <c r="O937" s="1915">
        <f>SUM(O935:O936)</f>
        <v>0</v>
      </c>
      <c r="P937" s="1915">
        <f>SUM(K937:O937)</f>
        <v>53100</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2444</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7800</v>
      </c>
      <c r="M939" s="1915">
        <f>SUM(M937:M938)</f>
        <v>20300</v>
      </c>
      <c r="N939" s="1915">
        <f>SUM(N937:N938)</f>
        <v>25000</v>
      </c>
      <c r="O939" s="1915">
        <f>SUM(O937:O938)</f>
        <v>0</v>
      </c>
      <c r="P939" s="1915">
        <f>SUM(K939:O939)</f>
        <v>53100</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6971</v>
      </c>
      <c r="K942" s="1917" t="str">
        <f>IF(OR(K836="",K836=0),"",K939/K836)</f>
        <v/>
      </c>
      <c r="L942" s="1917">
        <f>IF(OR(L836="",L836=0),"",L939/L836)</f>
        <v>780</v>
      </c>
      <c r="M942" s="1917">
        <f>IF(OR(M836="",M836=0),"",M939/M836)</f>
        <v>1015</v>
      </c>
      <c r="N942" s="1917">
        <f>IF(OR(N836="",N836=0),"",N939/N836)</f>
        <v>1250</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6925</v>
      </c>
      <c r="S945" s="1995" t="s">
        <v>1798</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6458.4000000000005</v>
      </c>
      <c r="I947" s="2219"/>
      <c r="J947" s="2219"/>
      <c r="K947" s="1918"/>
      <c r="L947" s="1912" t="s">
        <v>6864</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2227</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0">SUM(J951:J952)</f>
        <v>0</v>
      </c>
      <c r="K953" s="1919">
        <f t="shared" si="380"/>
        <v>0</v>
      </c>
      <c r="L953" s="1919">
        <f t="shared" si="380"/>
        <v>0</v>
      </c>
      <c r="M953" s="1919">
        <f t="shared" si="380"/>
        <v>0</v>
      </c>
      <c r="N953" s="1919">
        <f t="shared" si="380"/>
        <v>0</v>
      </c>
      <c r="O953" s="1919">
        <f t="shared" si="380"/>
        <v>0</v>
      </c>
      <c r="P953" s="1919">
        <f t="shared" si="380"/>
        <v>0</v>
      </c>
      <c r="Q953" s="1919">
        <f t="shared" si="380"/>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6865</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6866</v>
      </c>
      <c r="D957" s="1897"/>
      <c r="E957" s="1897"/>
      <c r="F957" s="1897"/>
      <c r="H957" s="1919">
        <f>SUM(H955:H956)</f>
        <v>0</v>
      </c>
      <c r="I957" s="1919">
        <f>SUM(I955:I956)</f>
        <v>0</v>
      </c>
      <c r="J957" s="1919">
        <f t="shared" ref="J957:Q957" si="381">SUM(J955:J956)</f>
        <v>0</v>
      </c>
      <c r="K957" s="1919">
        <f t="shared" si="381"/>
        <v>0</v>
      </c>
      <c r="L957" s="1919">
        <f t="shared" si="381"/>
        <v>0</v>
      </c>
      <c r="M957" s="1919">
        <f t="shared" si="381"/>
        <v>0</v>
      </c>
      <c r="N957" s="1919">
        <f t="shared" si="381"/>
        <v>0</v>
      </c>
      <c r="O957" s="1919">
        <f t="shared" si="381"/>
        <v>0</v>
      </c>
      <c r="P957" s="1919">
        <f t="shared" si="381"/>
        <v>0</v>
      </c>
      <c r="Q957" s="1919">
        <f t="shared" si="381"/>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2227</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2553</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2">SUM(J960:J961)</f>
        <v>0</v>
      </c>
      <c r="K962" s="1919">
        <f t="shared" si="382"/>
        <v>0</v>
      </c>
      <c r="L962" s="1919">
        <f t="shared" si="382"/>
        <v>0</v>
      </c>
      <c r="M962" s="1919">
        <f t="shared" si="382"/>
        <v>0</v>
      </c>
      <c r="N962" s="1919">
        <f t="shared" si="382"/>
        <v>0</v>
      </c>
      <c r="O962" s="1919">
        <f t="shared" si="382"/>
        <v>0</v>
      </c>
      <c r="P962" s="1919">
        <f t="shared" si="382"/>
        <v>0</v>
      </c>
      <c r="Q962" s="1919">
        <f t="shared" si="382"/>
        <v>0</v>
      </c>
      <c r="R962" s="450"/>
      <c r="S962" s="1910"/>
      <c r="T962" s="1910"/>
      <c r="U962" s="1910"/>
      <c r="V962" s="1910"/>
      <c r="W962" s="1910"/>
    </row>
    <row r="963" spans="2:329" ht="15.6" customHeight="1">
      <c r="B963" s="1918" t="s">
        <v>6865</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6866</v>
      </c>
      <c r="D966" s="1897"/>
      <c r="E966" s="1897"/>
      <c r="F966" s="1897"/>
      <c r="H966" s="1919">
        <f>SUM(H964:H965)</f>
        <v>0</v>
      </c>
      <c r="I966" s="1919">
        <f>SUM(I964:I965)</f>
        <v>0</v>
      </c>
      <c r="J966" s="1919">
        <f t="shared" ref="J966:Q966" si="383">SUM(J964:J965)</f>
        <v>0</v>
      </c>
      <c r="K966" s="1919">
        <f t="shared" si="383"/>
        <v>0</v>
      </c>
      <c r="L966" s="1919">
        <f t="shared" si="383"/>
        <v>0</v>
      </c>
      <c r="M966" s="1919">
        <f t="shared" si="383"/>
        <v>0</v>
      </c>
      <c r="N966" s="1919">
        <f t="shared" si="383"/>
        <v>0</v>
      </c>
      <c r="O966" s="1919">
        <f t="shared" si="383"/>
        <v>0</v>
      </c>
      <c r="P966" s="1919">
        <f t="shared" si="383"/>
        <v>0</v>
      </c>
      <c r="Q966" s="1919">
        <f t="shared" si="383"/>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2227</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2554</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84">SUM(J969:J970)</f>
        <v>0</v>
      </c>
      <c r="K971" s="1919">
        <f t="shared" si="384"/>
        <v>0</v>
      </c>
      <c r="L971" s="1919">
        <f t="shared" si="384"/>
        <v>0</v>
      </c>
      <c r="M971" s="1919">
        <f t="shared" si="384"/>
        <v>0</v>
      </c>
      <c r="N971" s="1919">
        <f t="shared" si="384"/>
        <v>0</v>
      </c>
      <c r="O971" s="1919">
        <f t="shared" si="384"/>
        <v>0</v>
      </c>
      <c r="P971" s="1919">
        <f t="shared" si="384"/>
        <v>0</v>
      </c>
      <c r="Q971" s="1919">
        <f t="shared" si="384"/>
        <v>0</v>
      </c>
      <c r="R971" s="450"/>
      <c r="S971" s="1910"/>
      <c r="T971" s="1910"/>
      <c r="U971" s="1910"/>
      <c r="V971" s="1910"/>
      <c r="W971" s="1910"/>
    </row>
    <row r="972" spans="2:329" ht="15.6" customHeight="1">
      <c r="B972" s="1918" t="s">
        <v>6865</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6866</v>
      </c>
      <c r="D975" s="1897"/>
      <c r="E975" s="1897"/>
      <c r="F975" s="1897"/>
      <c r="H975" s="1919">
        <f>SUM(H973:H974)</f>
        <v>0</v>
      </c>
      <c r="I975" s="1919">
        <f>SUM(I973:I974)</f>
        <v>0</v>
      </c>
      <c r="J975" s="1919">
        <f t="shared" ref="J975:Q975" si="385">SUM(J973:J974)</f>
        <v>0</v>
      </c>
      <c r="K975" s="1919">
        <f t="shared" si="385"/>
        <v>0</v>
      </c>
      <c r="L975" s="1919">
        <f t="shared" si="385"/>
        <v>0</v>
      </c>
      <c r="M975" s="1919">
        <f t="shared" si="385"/>
        <v>0</v>
      </c>
      <c r="N975" s="1919">
        <f t="shared" si="385"/>
        <v>0</v>
      </c>
      <c r="O975" s="1919">
        <f t="shared" si="385"/>
        <v>0</v>
      </c>
      <c r="P975" s="1919">
        <f t="shared" si="385"/>
        <v>0</v>
      </c>
      <c r="Q975" s="1919">
        <f t="shared" si="385"/>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2227</v>
      </c>
      <c r="C977" s="1918"/>
      <c r="D977" s="1918"/>
      <c r="E977" s="1918"/>
      <c r="F977" s="1918"/>
      <c r="H977" s="2115">
        <v>31</v>
      </c>
      <c r="I977" s="2115">
        <v>32</v>
      </c>
      <c r="J977" s="2115">
        <v>33</v>
      </c>
      <c r="K977" s="2115">
        <v>34</v>
      </c>
      <c r="L977" s="2115">
        <v>35</v>
      </c>
      <c r="M977" s="1918"/>
      <c r="N977" s="1918"/>
      <c r="O977" s="1918"/>
      <c r="P977" s="1918"/>
      <c r="Q977" s="1918"/>
      <c r="S977" s="1904" t="s">
        <v>2554</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6865</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6866</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1798</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24000</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2145</v>
      </c>
      <c r="F989" s="1915">
        <f>'Part VI-Revenues &amp; Expenses'!F220</f>
        <v>30888</v>
      </c>
      <c r="G989" s="1915"/>
      <c r="I989" s="1815" t="s">
        <v>1351</v>
      </c>
      <c r="L989" s="1915">
        <f>'Part VI-Revenues &amp; Expenses'!L220</f>
        <v>0</v>
      </c>
      <c r="M989" s="1915"/>
      <c r="O989" s="1921">
        <f>+Q988/(P836*0.93)</f>
        <v>516.12903225806451</v>
      </c>
      <c r="P989" s="449" t="s">
        <v>2666</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25740</v>
      </c>
      <c r="G990" s="1915"/>
      <c r="I990" s="1815" t="s">
        <v>1352</v>
      </c>
      <c r="L990" s="1915">
        <f>'Part VI-Revenues &amp; Expenses'!L221</f>
        <v>600</v>
      </c>
      <c r="M990" s="1915"/>
      <c r="O990" s="1921">
        <f>+Q988/(P836*0.93)/12</f>
        <v>43.01075268817204</v>
      </c>
      <c r="P990" s="449" t="s">
        <v>2667</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600</v>
      </c>
      <c r="M991" s="1915"/>
      <c r="O991" s="449" t="s">
        <v>3545</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4695</v>
      </c>
      <c r="F992" s="1915">
        <f>'Part VI-Revenues &amp; Expenses'!F223</f>
        <v>15000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4696</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Healthy Eating Program</v>
      </c>
      <c r="C994" s="449"/>
      <c r="D994" s="449"/>
      <c r="E994" s="449"/>
      <c r="F994" s="1915">
        <f>'Part VI-Revenues &amp; Expenses'!F225</f>
        <v>3500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75128</v>
      </c>
      <c r="G995" s="1915"/>
      <c r="I995" s="1815" t="s">
        <v>1569</v>
      </c>
      <c r="L995" s="1915">
        <f>'Part VI-Revenues &amp; Expenses'!L226</f>
        <v>1000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2000</v>
      </c>
      <c r="L996" s="1915">
        <f>'Part VI-Revenues &amp; Expenses'!L227</f>
        <v>7000</v>
      </c>
      <c r="M996" s="1915"/>
      <c r="N996" s="1897" t="str">
        <f>IF(Q998="","",IF(Q996&lt;Q998, "WARNING! OE below required minimum.",""))</f>
        <v/>
      </c>
      <c r="O996" s="1815" t="s">
        <v>2135</v>
      </c>
      <c r="Q996" s="1917">
        <f>F995+F1004+F1015+L991+L999+L1008+L1015+Q988</f>
        <v>231318</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1000</v>
      </c>
      <c r="M997" s="1915"/>
      <c r="N997" s="1897"/>
      <c r="O997" s="449" t="s">
        <v>2668</v>
      </c>
      <c r="P997" s="1921">
        <f>+Q996/P836</f>
        <v>4626.3599999999997</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1500</v>
      </c>
      <c r="G998" s="1915"/>
      <c r="I998" s="2155" t="str">
        <f>'Part VI-Revenues &amp; Expenses'!I229</f>
        <v>Other (describe here)</v>
      </c>
      <c r="J998" s="2155"/>
      <c r="K998" s="2155"/>
      <c r="L998" s="1915">
        <f>'Part VI-Revenues &amp; Expenses'!L229</f>
        <v>0</v>
      </c>
      <c r="M998" s="1915"/>
      <c r="N998" s="1897"/>
      <c r="P998" s="449" t="s">
        <v>3546</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3500</v>
      </c>
      <c r="G999" s="1915"/>
      <c r="K999" s="1948" t="s">
        <v>187</v>
      </c>
      <c r="L999" s="1917">
        <f>SUM(L995:L998)</f>
        <v>9000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2281</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0</v>
      </c>
      <c r="G1002" s="1915"/>
      <c r="I1002" s="1815" t="s">
        <v>1348</v>
      </c>
      <c r="K1002" s="1821" t="s">
        <v>4434</v>
      </c>
      <c r="O1002" s="1815" t="s">
        <v>3359</v>
      </c>
      <c r="Q1002" s="2220">
        <f>'Part VI-Revenues &amp; Expenses'!Q233</f>
        <v>12500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Miscellaneous Administrative Costs</v>
      </c>
      <c r="C1003" s="449"/>
      <c r="D1003" s="449"/>
      <c r="E1003" s="449"/>
      <c r="F1003" s="1915">
        <f>'Part VI-Revenues &amp; Expenses'!F234</f>
        <v>4240</v>
      </c>
      <c r="G1003" s="1915"/>
      <c r="I1003" s="1815" t="s">
        <v>1341</v>
      </c>
      <c r="K1003" s="1864">
        <f>L1003/12/P836</f>
        <v>16.666666666666668</v>
      </c>
      <c r="L1003" s="1915">
        <f>'Part VI-Revenues &amp; Expenses'!L234</f>
        <v>10000</v>
      </c>
      <c r="M1003" s="1915"/>
      <c r="N1003" s="1897" t="str">
        <f>IF(Q1002&lt;Q1011, "WARNING! RR proposed is below the DCA required minimum.","")</f>
        <v/>
      </c>
      <c r="O1003" s="449" t="s">
        <v>4433</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9240</v>
      </c>
      <c r="G1004" s="1915"/>
      <c r="I1004" s="1815" t="s">
        <v>1342</v>
      </c>
      <c r="K1004" s="1864">
        <f>L1004/12/P836</f>
        <v>0</v>
      </c>
      <c r="L1004" s="1915">
        <f>'Part VI-Revenues &amp; Expenses'!L235</f>
        <v>0</v>
      </c>
      <c r="M1004" s="1915"/>
      <c r="N1004" s="1897"/>
      <c r="O1004" s="2119" t="s">
        <v>3553</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4515</v>
      </c>
      <c r="K1005" s="1864">
        <f>L1005/12/P836</f>
        <v>5.25</v>
      </c>
      <c r="L1005" s="1915">
        <f>'Part VI-Revenues &amp; Expenses'!L236</f>
        <v>3150</v>
      </c>
      <c r="M1005" s="1915"/>
      <c r="N1005" s="1897"/>
      <c r="O1005" s="1945" t="s">
        <v>2633</v>
      </c>
      <c r="P1005" s="1817" t="s">
        <v>3633</v>
      </c>
      <c r="Q1005" s="1817" t="s">
        <v>3322</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5000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5000</v>
      </c>
      <c r="G1007" s="1915"/>
      <c r="I1007" s="2155" t="str">
        <f>'Part VI-Revenues &amp; Expenses'!I238</f>
        <v>Cable TV/Internet</v>
      </c>
      <c r="J1007" s="2155"/>
      <c r="K1007" s="2155"/>
      <c r="L1007" s="1915">
        <f>'Part VI-Revenues &amp; Expenses'!L238</f>
        <v>1200</v>
      </c>
      <c r="M1007" s="1915"/>
      <c r="N1007" s="1897"/>
      <c r="O1007" s="1822" t="s">
        <v>3314</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7500</v>
      </c>
      <c r="G1008" s="1915"/>
      <c r="K1008" s="1948" t="s">
        <v>187</v>
      </c>
      <c r="L1008" s="1917">
        <f>SUM(L1003:L1007)</f>
        <v>19350</v>
      </c>
      <c r="M1008" s="1917"/>
      <c r="N1008" s="1897"/>
      <c r="O1008" s="1822" t="s">
        <v>3313</v>
      </c>
      <c r="P1008" s="1925" t="str">
        <f>CONCATENATE(SUM(MU817:MY817)," units x $",'DCA Underwriting Assumptions'!$Q$69," =")</f>
        <v>50 units x $250 =</v>
      </c>
      <c r="Q1008" s="1925">
        <f>SUM(MU817:MY817)*'DCA Underwriting Assumptions'!$Q$69</f>
        <v>12500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15000</v>
      </c>
      <c r="G1009" s="1915"/>
      <c r="N1009" s="1897"/>
      <c r="O1009" s="1822" t="s">
        <v>3317</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4000</v>
      </c>
      <c r="G1010" s="1915"/>
      <c r="O1010" s="1822" t="s">
        <v>3312</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900</v>
      </c>
      <c r="G1011" s="1915"/>
      <c r="I1011" s="1815" t="s">
        <v>1349</v>
      </c>
      <c r="O1011" s="1904" t="s">
        <v>2636</v>
      </c>
      <c r="P1011" s="1926">
        <f>SUM(MP817:MT817)+SUM(MU817:MY817)+SUM(MZ817:ND817)+P894</f>
        <v>50</v>
      </c>
      <c r="Q1011" s="1926">
        <f>SUM(Q1007:Q1010)</f>
        <v>12500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0</v>
      </c>
      <c r="G1012" s="1915"/>
      <c r="I1012" s="1815" t="s">
        <v>6823</v>
      </c>
      <c r="L1012" s="1915">
        <f>'Part VI-Revenues &amp; Expenses'!L243</f>
        <v>37500</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1000</v>
      </c>
      <c r="G1013" s="1915"/>
      <c r="I1013" s="1815" t="s">
        <v>143</v>
      </c>
      <c r="L1013" s="1915">
        <f>'Part VI-Revenues &amp; Expenses'!L244</f>
        <v>19600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Fidelity Bond, Umbrella, WC Ins, Personal Prop Taxes</v>
      </c>
      <c r="J1014" s="2155"/>
      <c r="K1014" s="2155"/>
      <c r="L1014" s="1915">
        <f>'Part VI-Revenues &amp; Expenses'!L245</f>
        <v>3500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33400</v>
      </c>
      <c r="G1015" s="1915"/>
      <c r="K1015" s="1948" t="s">
        <v>187</v>
      </c>
      <c r="L1015" s="1917">
        <f>SUM(L1011:L1014)</f>
        <v>60600</v>
      </c>
      <c r="M1015" s="1917"/>
      <c r="O1015" s="1815" t="s">
        <v>2136</v>
      </c>
      <c r="Q1015" s="1917">
        <f>Q996+Q1002</f>
        <v>243818</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4420</v>
      </c>
      <c r="C1019" s="1948"/>
      <c r="H1019" s="1906"/>
      <c r="I1019" s="1927" t="s">
        <v>4421</v>
      </c>
      <c r="K1019" s="1917">
        <f>'Part VI-Revenues &amp; Expenses'!K250</f>
        <v>0</v>
      </c>
      <c r="L1019" s="1917"/>
      <c r="M1019" s="1922" t="s">
        <v>4476</v>
      </c>
      <c r="N1019" s="1916">
        <f>'Part VI-Revenues &amp; Expenses'!N250</f>
        <v>0</v>
      </c>
      <c r="O1019" s="1815" t="s">
        <v>4423</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4477</v>
      </c>
      <c r="C1021" s="1948"/>
      <c r="F1021" s="1906"/>
      <c r="G1021" s="1906"/>
      <c r="J1021" s="1896" t="str">
        <f>'Part VI-Revenues &amp; Expenses'!J252</f>
        <v>&lt;&lt;Select&gt;&gt;</v>
      </c>
      <c r="K1021" s="1927" t="s">
        <v>4479</v>
      </c>
      <c r="L1021" s="1896" t="str">
        <f>'Part VI-Revenues &amp; Expenses'!L252</f>
        <v>&lt;&lt;Select&gt;&gt;</v>
      </c>
      <c r="M1021" s="1896" t="s">
        <v>4480</v>
      </c>
      <c r="N1021" s="1916">
        <f>'Part VI-Revenues &amp; Expenses'!N252</f>
        <v>0</v>
      </c>
      <c r="O1021" s="1815" t="s">
        <v>4478</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3788</v>
      </c>
      <c r="B1023" s="1995" t="s">
        <v>555</v>
      </c>
      <c r="N1023" s="1995" t="s">
        <v>4419</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Please see Tab 1 in this application for documentation of the real estate taxes and insurance documentation.</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3787</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2020-079 Spring Creek Crossing, ,  County</v>
      </c>
      <c r="L1029" s="1815"/>
      <c r="M1029" s="1815"/>
      <c r="N1029" s="1815" t="str">
        <f>A1029</f>
        <v>PART SEVEN - OPERATING PRO FORMA  -  2020-079 Spring Creek Crossing, ,  County</v>
      </c>
      <c r="O1029" s="1815"/>
      <c r="P1029" s="1815"/>
    </row>
    <row r="1030" spans="1:16" ht="13.5" customHeight="1">
      <c r="N1030" s="1995" t="s">
        <v>1798</v>
      </c>
    </row>
    <row r="1031" spans="1:16" ht="13.5" customHeight="1">
      <c r="A1031" s="1995" t="s">
        <v>88</v>
      </c>
      <c r="C1031" s="2120" t="str">
        <f>'Part I-Project Information'!$B$6</f>
        <v>May 26, 2020 Version</v>
      </c>
      <c r="D1031" s="1995" t="s">
        <v>78</v>
      </c>
      <c r="E1031" s="1896"/>
      <c r="F1031" s="1820" t="s">
        <v>6867</v>
      </c>
      <c r="N1031" s="1995" t="str">
        <f>A1031</f>
        <v>I.  OPERATING ASSUMPTIONS</v>
      </c>
    </row>
    <row r="1032" spans="1:16" ht="2.4" customHeight="1">
      <c r="C1032" s="2120"/>
    </row>
    <row r="1033" spans="1:16" ht="13.5" customHeight="1">
      <c r="A1033" s="1995" t="s">
        <v>2137</v>
      </c>
      <c r="B1033" s="1928">
        <v>0.02</v>
      </c>
      <c r="C1033" s="2120"/>
      <c r="D1033" s="1910" t="s">
        <v>6824</v>
      </c>
      <c r="E1033" s="1910"/>
      <c r="F1033" s="1910"/>
      <c r="G1033" s="2221">
        <f>'Part VII-Pro Forma'!G5</f>
        <v>5000</v>
      </c>
      <c r="H1033" s="1913" t="s">
        <v>1859</v>
      </c>
      <c r="K1033" s="1929">
        <f>'Part VII-Pro Forma'!K5</f>
        <v>-1.6322697802957042E-2</v>
      </c>
      <c r="N1033" s="1910"/>
      <c r="O1033" s="1910"/>
    </row>
    <row r="1034" spans="1:16">
      <c r="A1034" s="1995" t="s">
        <v>2138</v>
      </c>
      <c r="B1034" s="1928">
        <v>0.03</v>
      </c>
      <c r="C1034" s="2120"/>
      <c r="D1034" s="1910"/>
      <c r="E1034" s="1910"/>
      <c r="F1034" s="1910"/>
      <c r="G1034" s="2121">
        <f>'Part VII-Pro Forma'!G6</f>
        <v>0</v>
      </c>
      <c r="N1034" s="1910"/>
      <c r="O1034" s="1910"/>
    </row>
    <row r="1035" spans="1:16">
      <c r="A1035" s="1995" t="s">
        <v>2140</v>
      </c>
      <c r="B1035" s="1928">
        <v>0.03</v>
      </c>
      <c r="C1035" s="2120"/>
      <c r="D1035" s="1815" t="s">
        <v>265</v>
      </c>
      <c r="G1035" s="1930"/>
      <c r="H1035" s="1913" t="s">
        <v>2313</v>
      </c>
      <c r="K1035" s="1929">
        <f>'Part VII-Pro Forma'!K7</f>
        <v>7.8348949454193795E-2</v>
      </c>
      <c r="N1035" s="1910"/>
      <c r="O1035" s="1910"/>
    </row>
    <row r="1036" spans="1:16" ht="13.35" customHeight="1">
      <c r="A1036" s="1995" t="s">
        <v>2139</v>
      </c>
      <c r="B1036" s="1928">
        <f>'Part VII-Pro Forma'!B8</f>
        <v>7.0000000000000007E-2</v>
      </c>
      <c r="C1036" s="1821" t="str">
        <f>IF(B1036&lt;0.07, "Must be &gt;= 7%!","")</f>
        <v/>
      </c>
      <c r="D1036" s="1815" t="s">
        <v>2442</v>
      </c>
      <c r="G1036" s="2222" t="str">
        <f>'Part VII-Pro Forma'!G8</f>
        <v>Yes</v>
      </c>
      <c r="H1036" s="1931" t="s">
        <v>1416</v>
      </c>
      <c r="K1036" s="2223">
        <f>'Part VII-Pro Forma'!K8</f>
        <v>24000</v>
      </c>
      <c r="N1036" s="1910"/>
      <c r="O1036" s="1910"/>
    </row>
    <row r="1037" spans="1:16">
      <c r="A1037" s="1995" t="s">
        <v>1390</v>
      </c>
      <c r="B1037" s="1928">
        <v>0.02</v>
      </c>
      <c r="D1037" s="1815" t="s">
        <v>1676</v>
      </c>
      <c r="G1037" s="2222">
        <f>'Part VII-Pro Forma'!G9</f>
        <v>0</v>
      </c>
      <c r="H1037" s="1931" t="s">
        <v>2295</v>
      </c>
      <c r="K1037" s="2224">
        <f>'Part VII-Pro Forma'!K9</f>
        <v>0</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2415</v>
      </c>
      <c r="B1041" s="1995">
        <v>1</v>
      </c>
      <c r="C1041" s="1995">
        <f t="shared" ref="C1041:K1041" si="386">B1041+1</f>
        <v>2</v>
      </c>
      <c r="D1041" s="1995">
        <f t="shared" si="386"/>
        <v>3</v>
      </c>
      <c r="E1041" s="1995">
        <f t="shared" si="386"/>
        <v>4</v>
      </c>
      <c r="F1041" s="1995">
        <f t="shared" si="386"/>
        <v>5</v>
      </c>
      <c r="G1041" s="1995">
        <f t="shared" si="386"/>
        <v>6</v>
      </c>
      <c r="H1041" s="1995">
        <f t="shared" si="386"/>
        <v>7</v>
      </c>
      <c r="I1041" s="1995">
        <f t="shared" si="386"/>
        <v>8</v>
      </c>
      <c r="J1041" s="1995">
        <f t="shared" si="386"/>
        <v>9</v>
      </c>
      <c r="K1041" s="1995">
        <f t="shared" si="386"/>
        <v>10</v>
      </c>
      <c r="N1041" s="1995" t="s">
        <v>2555</v>
      </c>
    </row>
    <row r="1042" spans="1:19" ht="13.35" customHeight="1">
      <c r="A1042" s="1995" t="s">
        <v>2341</v>
      </c>
      <c r="B1042" s="2122">
        <f>'Part VII-Pro Forma'!B14</f>
        <v>322920</v>
      </c>
      <c r="C1042" s="2122">
        <f>'Part VII-Pro Forma'!C14</f>
        <v>329378.40000000002</v>
      </c>
      <c r="D1042" s="2122">
        <f>'Part VII-Pro Forma'!D14</f>
        <v>335965.96799999999</v>
      </c>
      <c r="E1042" s="2122">
        <f>'Part VII-Pro Forma'!E14</f>
        <v>342685.28735999996</v>
      </c>
      <c r="F1042" s="2122">
        <f>'Part VII-Pro Forma'!F14</f>
        <v>349538.99310720002</v>
      </c>
      <c r="G1042" s="2122">
        <f>'Part VII-Pro Forma'!G14</f>
        <v>356529.77296934399</v>
      </c>
      <c r="H1042" s="2122">
        <f>'Part VII-Pro Forma'!H14</f>
        <v>363660.36842873093</v>
      </c>
      <c r="I1042" s="2122">
        <f>'Part VII-Pro Forma'!I14</f>
        <v>370933.57579730544</v>
      </c>
      <c r="J1042" s="2122">
        <f>'Part VII-Pro Forma'!J14</f>
        <v>378352.2473132516</v>
      </c>
      <c r="K1042" s="2122">
        <f>'Part VII-Pro Forma'!K14</f>
        <v>385919.2922595166</v>
      </c>
      <c r="N1042" s="1910"/>
      <c r="O1042" s="1910"/>
      <c r="S1042" s="1918" t="s">
        <v>3834</v>
      </c>
    </row>
    <row r="1043" spans="1:19" ht="13.35" customHeight="1">
      <c r="A1043" s="1995" t="s">
        <v>994</v>
      </c>
      <c r="B1043" s="2122">
        <f>'Part VII-Pro Forma'!B15</f>
        <v>6458.4000000000005</v>
      </c>
      <c r="C1043" s="2122">
        <f>'Part VII-Pro Forma'!C15</f>
        <v>6587.5680000000011</v>
      </c>
      <c r="D1043" s="2122">
        <f>'Part VII-Pro Forma'!D15</f>
        <v>6719.3193600000004</v>
      </c>
      <c r="E1043" s="2122">
        <f>'Part VII-Pro Forma'!E15</f>
        <v>6853.7057471999997</v>
      </c>
      <c r="F1043" s="2122">
        <f>'Part VII-Pro Forma'!F15</f>
        <v>6990.7798621440006</v>
      </c>
      <c r="G1043" s="2122">
        <f>'Part VII-Pro Forma'!G15</f>
        <v>7130.595459386881</v>
      </c>
      <c r="H1043" s="2122">
        <f>'Part VII-Pro Forma'!H15</f>
        <v>7273.2073685746191</v>
      </c>
      <c r="I1043" s="2122">
        <f>'Part VII-Pro Forma'!I15</f>
        <v>7418.6715159461091</v>
      </c>
      <c r="J1043" s="2122">
        <f>'Part VII-Pro Forma'!J15</f>
        <v>7567.0449462650322</v>
      </c>
      <c r="K1043" s="2122">
        <f>'Part VII-Pro Forma'!K15</f>
        <v>7718.3858451903334</v>
      </c>
      <c r="N1043" s="1910"/>
      <c r="O1043" s="1910"/>
      <c r="S1043" s="1918"/>
    </row>
    <row r="1044" spans="1:19" ht="13.35" customHeight="1">
      <c r="A1044" s="1995" t="s">
        <v>2342</v>
      </c>
      <c r="B1044" s="2122">
        <f>'Part VII-Pro Forma'!B16</f>
        <v>-23056.488000000005</v>
      </c>
      <c r="C1044" s="2122">
        <f>'Part VII-Pro Forma'!C16</f>
        <v>-23517.617760000005</v>
      </c>
      <c r="D1044" s="2122">
        <f>'Part VII-Pro Forma'!D16</f>
        <v>-23987.970115200005</v>
      </c>
      <c r="E1044" s="2122">
        <f>'Part VII-Pro Forma'!E16</f>
        <v>-24467.729517503998</v>
      </c>
      <c r="F1044" s="2122">
        <f>'Part VII-Pro Forma'!F16</f>
        <v>-24957.084107854083</v>
      </c>
      <c r="G1044" s="2122">
        <f>'Part VII-Pro Forma'!G16</f>
        <v>-25456.225790011162</v>
      </c>
      <c r="H1044" s="2122">
        <f>'Part VII-Pro Forma'!H16</f>
        <v>-25965.350305811393</v>
      </c>
      <c r="I1044" s="2122">
        <f>'Part VII-Pro Forma'!I16</f>
        <v>-26484.657311927611</v>
      </c>
      <c r="J1044" s="2122">
        <f>'Part VII-Pro Forma'!J16</f>
        <v>-27014.350458166169</v>
      </c>
      <c r="K1044" s="2122">
        <f>'Part VII-Pro Forma'!K16</f>
        <v>-27554.637467329489</v>
      </c>
      <c r="N1044" s="1910"/>
      <c r="O1044" s="1910"/>
      <c r="Q1044" s="1918" t="s">
        <v>3657</v>
      </c>
      <c r="R1044" s="1918" t="s">
        <v>3833</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4375</v>
      </c>
      <c r="B1047" s="2122">
        <f>'Part VII-Pro Forma'!B19</f>
        <v>306321.91200000001</v>
      </c>
      <c r="C1047" s="2122">
        <f>'Part VII-Pro Forma'!C19</f>
        <v>312448.35024000006</v>
      </c>
      <c r="D1047" s="2122">
        <f>'Part VII-Pro Forma'!D19</f>
        <v>318697.31724480004</v>
      </c>
      <c r="E1047" s="2122">
        <f>'Part VII-Pro Forma'!E19</f>
        <v>325071.26358969597</v>
      </c>
      <c r="F1047" s="2122">
        <f>'Part VII-Pro Forma'!F19</f>
        <v>331572.68886148988</v>
      </c>
      <c r="G1047" s="2122">
        <f>'Part VII-Pro Forma'!G19</f>
        <v>338204.1426387197</v>
      </c>
      <c r="H1047" s="2122">
        <f>'Part VII-Pro Forma'!H19</f>
        <v>344968.22549149417</v>
      </c>
      <c r="I1047" s="2122">
        <f>'Part VII-Pro Forma'!I19</f>
        <v>351867.59000132396</v>
      </c>
      <c r="J1047" s="2122">
        <f>'Part VII-Pro Forma'!J19</f>
        <v>358904.94180135051</v>
      </c>
      <c r="K1047" s="2122">
        <f>'Part VII-Pro Forma'!K19</f>
        <v>366083.04063737742</v>
      </c>
      <c r="N1047" s="1910"/>
      <c r="O1047" s="1910"/>
    </row>
    <row r="1048" spans="1:19" ht="13.35" customHeight="1">
      <c r="A1048" s="1995" t="s">
        <v>597</v>
      </c>
      <c r="B1048" s="2122">
        <f>'Part VII-Pro Forma'!B20</f>
        <v>-207318</v>
      </c>
      <c r="C1048" s="2122">
        <f>'Part VII-Pro Forma'!C20</f>
        <v>-213537.54</v>
      </c>
      <c r="D1048" s="2122">
        <f>'Part VII-Pro Forma'!D20</f>
        <v>-219943.66619999998</v>
      </c>
      <c r="E1048" s="2122">
        <f>'Part VII-Pro Forma'!E20</f>
        <v>-226541.97618600001</v>
      </c>
      <c r="F1048" s="2122">
        <f>'Part VII-Pro Forma'!F20</f>
        <v>-233338.23547157997</v>
      </c>
      <c r="G1048" s="2122">
        <f>'Part VII-Pro Forma'!G20</f>
        <v>-240338.38253572737</v>
      </c>
      <c r="H1048" s="2122">
        <f>'Part VII-Pro Forma'!H20</f>
        <v>-247548.5340117992</v>
      </c>
      <c r="I1048" s="2122">
        <f>'Part VII-Pro Forma'!I20</f>
        <v>-254974.9900321532</v>
      </c>
      <c r="J1048" s="2122">
        <f>'Part VII-Pro Forma'!J20</f>
        <v>-262624.23973311775</v>
      </c>
      <c r="K1048" s="2122">
        <f>'Part VII-Pro Forma'!K20</f>
        <v>-270502.96692511131</v>
      </c>
      <c r="N1048" s="1910"/>
      <c r="O1048" s="1910"/>
      <c r="Q1048" s="1874">
        <v>1</v>
      </c>
      <c r="R1048" s="1900">
        <f>'Part VII-Pro Forma'!R20</f>
        <v>57457</v>
      </c>
      <c r="S1048" s="1900">
        <f>'Part VII-Pro Forma'!S20</f>
        <v>57503.912000000011</v>
      </c>
    </row>
    <row r="1049" spans="1:19" ht="13.35" customHeight="1">
      <c r="A1049" s="1995" t="s">
        <v>1093</v>
      </c>
      <c r="B1049" s="2122">
        <f>'Part VII-Pro Forma'!B21</f>
        <v>-24000</v>
      </c>
      <c r="C1049" s="2122">
        <f>'Part VII-Pro Forma'!C21</f>
        <v>-24720</v>
      </c>
      <c r="D1049" s="2122">
        <f>'Part VII-Pro Forma'!D21</f>
        <v>-25462</v>
      </c>
      <c r="E1049" s="2122">
        <f>'Part VII-Pro Forma'!E21</f>
        <v>-26225</v>
      </c>
      <c r="F1049" s="2122">
        <f>'Part VII-Pro Forma'!F21</f>
        <v>-27012</v>
      </c>
      <c r="G1049" s="2122">
        <f>'Part VII-Pro Forma'!G21</f>
        <v>-27823</v>
      </c>
      <c r="H1049" s="2122">
        <f>'Part VII-Pro Forma'!H21</f>
        <v>-28657</v>
      </c>
      <c r="I1049" s="2122">
        <f>'Part VII-Pro Forma'!I21</f>
        <v>-29517</v>
      </c>
      <c r="J1049" s="2122">
        <f>'Part VII-Pro Forma'!J21</f>
        <v>-30402</v>
      </c>
      <c r="K1049" s="2122">
        <f>'Part VII-Pro Forma'!K21</f>
        <v>-31315</v>
      </c>
      <c r="N1049" s="1910"/>
      <c r="O1049" s="1910"/>
      <c r="Q1049" s="1874">
        <v>2</v>
      </c>
      <c r="R1049" s="1900">
        <f>'Part VII-Pro Forma'!R21</f>
        <v>57457</v>
      </c>
      <c r="S1049" s="1900">
        <f>'Part VII-Pro Forma'!S21</f>
        <v>113819.72224000006</v>
      </c>
    </row>
    <row r="1050" spans="1:19" ht="13.35" customHeight="1">
      <c r="A1050" s="1995" t="s">
        <v>1176</v>
      </c>
      <c r="B1050" s="2122">
        <f>'Part VII-Pro Forma'!B22</f>
        <v>-12500</v>
      </c>
      <c r="C1050" s="2122">
        <f>'Part VII-Pro Forma'!C22</f>
        <v>-12875</v>
      </c>
      <c r="D1050" s="2122">
        <f>'Part VII-Pro Forma'!D22</f>
        <v>-13261.25</v>
      </c>
      <c r="E1050" s="2122">
        <f>'Part VII-Pro Forma'!E22</f>
        <v>-13659.0875</v>
      </c>
      <c r="F1050" s="2122">
        <f>'Part VII-Pro Forma'!F22</f>
        <v>-14068.860124999999</v>
      </c>
      <c r="G1050" s="2122">
        <f>'Part VII-Pro Forma'!G22</f>
        <v>-14490.925928749997</v>
      </c>
      <c r="H1050" s="2122">
        <f>'Part VII-Pro Forma'!H22</f>
        <v>-14925.653706612498</v>
      </c>
      <c r="I1050" s="2122">
        <f>'Part VII-Pro Forma'!I22</f>
        <v>-15373.423317810875</v>
      </c>
      <c r="J1050" s="2122">
        <f>'Part VII-Pro Forma'!J22</f>
        <v>-15834.626017345199</v>
      </c>
      <c r="K1050" s="2122">
        <f>'Part VII-Pro Forma'!K22</f>
        <v>-16309.664797865556</v>
      </c>
      <c r="N1050" s="1910"/>
      <c r="O1050" s="1910"/>
      <c r="Q1050" s="1874">
        <v>3</v>
      </c>
      <c r="R1050" s="1900">
        <f>'Part VII-Pro Forma'!R22</f>
        <v>57457</v>
      </c>
      <c r="S1050" s="1900">
        <f>'Part VII-Pro Forma'!S22</f>
        <v>168850.12328480012</v>
      </c>
    </row>
    <row r="1051" spans="1:19" ht="13.35" customHeight="1">
      <c r="A1051" s="1995" t="s">
        <v>4374</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57457</v>
      </c>
      <c r="S1051" s="1900">
        <f>'Part VII-Pro Forma'!S23</f>
        <v>222495.32318849608</v>
      </c>
    </row>
    <row r="1052" spans="1:19" ht="13.35" customHeight="1">
      <c r="A1052" s="1995" t="s">
        <v>1177</v>
      </c>
      <c r="B1052" s="2122">
        <f>'Part VII-Pro Forma'!B24</f>
        <v>62503.912000000011</v>
      </c>
      <c r="C1052" s="2122">
        <f>'Part VII-Pro Forma'!C24</f>
        <v>61315.81024000005</v>
      </c>
      <c r="D1052" s="2122">
        <f>'Part VII-Pro Forma'!D24</f>
        <v>60030.401044800063</v>
      </c>
      <c r="E1052" s="2122">
        <f>'Part VII-Pro Forma'!E24</f>
        <v>58645.199903695953</v>
      </c>
      <c r="F1052" s="2122">
        <f>'Part VII-Pro Forma'!F24</f>
        <v>57153.593264909905</v>
      </c>
      <c r="G1052" s="2122">
        <f>'Part VII-Pro Forma'!G24</f>
        <v>55551.834174242329</v>
      </c>
      <c r="H1052" s="2122">
        <f>'Part VII-Pro Forma'!H24</f>
        <v>53837.037773082469</v>
      </c>
      <c r="I1052" s="2122">
        <f>'Part VII-Pro Forma'!I24</f>
        <v>52002.176651359878</v>
      </c>
      <c r="J1052" s="2122">
        <f>'Part VII-Pro Forma'!J24</f>
        <v>50044.076050887554</v>
      </c>
      <c r="K1052" s="2122">
        <f>'Part VII-Pro Forma'!K24</f>
        <v>47955.408914400556</v>
      </c>
      <c r="N1052" s="1910"/>
      <c r="O1052" s="1910"/>
      <c r="Q1052" s="1874">
        <v>5</v>
      </c>
      <c r="R1052" s="1900">
        <f>'Part VII-Pro Forma'!R24</f>
        <v>57457</v>
      </c>
      <c r="S1052" s="1900">
        <f>'Part VII-Pro Forma'!S24</f>
        <v>274648.91645340598</v>
      </c>
    </row>
    <row r="1053" spans="1:19" ht="13.35" customHeight="1">
      <c r="A1053" s="1995" t="s">
        <v>1558</v>
      </c>
      <c r="B1053" s="2122">
        <f>'Part VII-Pro Forma'!B25</f>
        <v>0</v>
      </c>
      <c r="C1053" s="2122">
        <f>'Part VII-Pro Forma'!C25</f>
        <v>0</v>
      </c>
      <c r="D1053" s="2122">
        <f>'Part VII-Pro Forma'!D25</f>
        <v>0</v>
      </c>
      <c r="E1053" s="2122">
        <f>'Part VII-Pro Forma'!E25</f>
        <v>0</v>
      </c>
      <c r="F1053" s="2122">
        <f>'Part VII-Pro Forma'!F25</f>
        <v>0</v>
      </c>
      <c r="G1053" s="2122">
        <f>'Part VII-Pro Forma'!G25</f>
        <v>0</v>
      </c>
      <c r="H1053" s="2122">
        <f>'Part VII-Pro Forma'!H25</f>
        <v>0</v>
      </c>
      <c r="I1053" s="2122">
        <f>'Part VII-Pro Forma'!I25</f>
        <v>0</v>
      </c>
      <c r="J1053" s="2122">
        <f>'Part VII-Pro Forma'!J25</f>
        <v>0</v>
      </c>
      <c r="K1053" s="2122">
        <f>'Part VII-Pro Forma'!K25</f>
        <v>0</v>
      </c>
      <c r="N1053" s="1910"/>
      <c r="O1053" s="1910"/>
      <c r="Q1053" s="1874">
        <v>6</v>
      </c>
      <c r="R1053" s="1900">
        <f>'Part VII-Pro Forma'!R25</f>
        <v>57457</v>
      </c>
      <c r="S1053" s="1900">
        <f>'Part VII-Pro Forma'!S25</f>
        <v>325200.75062764832</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57457</v>
      </c>
      <c r="S1054" s="1900">
        <f>'Part VII-Pro Forma'!S26</f>
        <v>374037.78840073082</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57457</v>
      </c>
      <c r="S1055" s="1900">
        <f>'Part VII-Pro Forma'!S27</f>
        <v>421039.9650520907</v>
      </c>
    </row>
    <row r="1056" spans="1:19" ht="13.35" customHeight="1">
      <c r="A1056" s="1995" t="s">
        <v>3634</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57457</v>
      </c>
      <c r="S1056" s="1900">
        <f>'Part VII-Pro Forma'!S28</f>
        <v>466084.04110297828</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57457</v>
      </c>
      <c r="S1057" s="1900">
        <f>'Part VII-Pro Forma'!S29</f>
        <v>509039.45001737884</v>
      </c>
    </row>
    <row r="1058" spans="1:19" ht="13.35" customHeight="1">
      <c r="A1058" s="1995" t="s">
        <v>1141</v>
      </c>
      <c r="B1058" s="2122">
        <f>'Part VII-Pro Forma'!B30</f>
        <v>-5000</v>
      </c>
      <c r="C1058" s="2122">
        <f>'Part VII-Pro Forma'!C30</f>
        <v>-5000</v>
      </c>
      <c r="D1058" s="2122">
        <f>'Part VII-Pro Forma'!D30</f>
        <v>-5000</v>
      </c>
      <c r="E1058" s="2122">
        <f>'Part VII-Pro Forma'!E30</f>
        <v>-5000</v>
      </c>
      <c r="F1058" s="2122">
        <f>'Part VII-Pro Forma'!F30</f>
        <v>-5000</v>
      </c>
      <c r="G1058" s="2122">
        <f>'Part VII-Pro Forma'!G30</f>
        <v>-5000</v>
      </c>
      <c r="H1058" s="2122">
        <f>'Part VII-Pro Forma'!H30</f>
        <v>-5000</v>
      </c>
      <c r="I1058" s="2122">
        <f>'Part VII-Pro Forma'!I30</f>
        <v>-5000</v>
      </c>
      <c r="J1058" s="2122">
        <f>'Part VII-Pro Forma'!J30</f>
        <v>-5000</v>
      </c>
      <c r="K1058" s="2122">
        <f>'Part VII-Pro Forma'!K30</f>
        <v>-5000</v>
      </c>
      <c r="N1058" s="1910"/>
      <c r="O1058" s="1910"/>
      <c r="Q1058" s="1874">
        <v>11</v>
      </c>
      <c r="R1058" s="1900">
        <f>'Part VII-Pro Forma'!R30</f>
        <v>57457</v>
      </c>
      <c r="S1058" s="1900">
        <f>'Part VII-Pro Forma'!S30</f>
        <v>549773.1407928376</v>
      </c>
    </row>
    <row r="1059" spans="1:19" ht="13.35" customHeight="1">
      <c r="A1059" s="1995" t="s">
        <v>3768</v>
      </c>
      <c r="B1059" s="2122">
        <f>'Part VII-Pro Forma'!B31</f>
        <v>-57457</v>
      </c>
      <c r="C1059" s="2122">
        <f>'Part VII-Pro Forma'!C31</f>
        <v>0</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57457</v>
      </c>
      <c r="S1059" s="1900">
        <f>'Part VII-Pro Forma'!S31</f>
        <v>588144.41527705896</v>
      </c>
    </row>
    <row r="1060" spans="1:19" ht="13.35" customHeight="1">
      <c r="A1060" s="1995" t="s">
        <v>1142</v>
      </c>
      <c r="B1060" s="2122">
        <f>'Part VII-Pro Forma'!B32</f>
        <v>46.912000000011176</v>
      </c>
      <c r="C1060" s="2122">
        <f>'Part VII-Pro Forma'!C32</f>
        <v>56315.81024000005</v>
      </c>
      <c r="D1060" s="2122">
        <f>'Part VII-Pro Forma'!D32</f>
        <v>55030.401044800063</v>
      </c>
      <c r="E1060" s="2122">
        <f>'Part VII-Pro Forma'!E32</f>
        <v>53645.199903695953</v>
      </c>
      <c r="F1060" s="2122">
        <f>'Part VII-Pro Forma'!F32</f>
        <v>52153.593264909905</v>
      </c>
      <c r="G1060" s="2122">
        <f>'Part VII-Pro Forma'!G32</f>
        <v>50551.834174242329</v>
      </c>
      <c r="H1060" s="2122">
        <f>'Part VII-Pro Forma'!H32</f>
        <v>48837.037773082469</v>
      </c>
      <c r="I1060" s="2122">
        <f>'Part VII-Pro Forma'!I32</f>
        <v>47002.176651359878</v>
      </c>
      <c r="J1060" s="2122">
        <f>'Part VII-Pro Forma'!J32</f>
        <v>45044.076050887554</v>
      </c>
      <c r="K1060" s="2122">
        <f>'Part VII-Pro Forma'!K32</f>
        <v>42955.408914400556</v>
      </c>
      <c r="N1060" s="1910"/>
      <c r="O1060" s="1910"/>
      <c r="Q1060" s="1874">
        <v>13</v>
      </c>
      <c r="R1060" s="1900">
        <f>'Part VII-Pro Forma'!R32</f>
        <v>57457</v>
      </c>
      <c r="S1060" s="1900">
        <f>'Part VII-Pro Forma'!S32</f>
        <v>624008.76004101569</v>
      </c>
    </row>
    <row r="1061" spans="1:19" ht="13.35" customHeight="1">
      <c r="A1061" s="1995" t="str">
        <f>IF('Part III-Sources of Funds'!$E$38 = "Neither", "", "DCR Mortgage A")</f>
        <v>DCR Mortgage A</v>
      </c>
      <c r="B1061" s="2122" t="str">
        <f>'Part VII-Pro Forma'!B33</f>
        <v/>
      </c>
      <c r="C1061" s="2122" t="str">
        <f>'Part VII-Pro Forma'!C33</f>
        <v/>
      </c>
      <c r="D1061" s="2122" t="str">
        <f>'Part VII-Pro Forma'!D33</f>
        <v/>
      </c>
      <c r="E1061" s="2122" t="str">
        <f>'Part VII-Pro Forma'!E33</f>
        <v/>
      </c>
      <c r="F1061" s="2122" t="str">
        <f>'Part VII-Pro Forma'!F33</f>
        <v/>
      </c>
      <c r="G1061" s="2122" t="str">
        <f>'Part VII-Pro Forma'!G33</f>
        <v/>
      </c>
      <c r="H1061" s="2122" t="str">
        <f>'Part VII-Pro Forma'!H33</f>
        <v/>
      </c>
      <c r="I1061" s="2122" t="str">
        <f>'Part VII-Pro Forma'!I33</f>
        <v/>
      </c>
      <c r="J1061" s="2122" t="str">
        <f>'Part VII-Pro Forma'!J33</f>
        <v/>
      </c>
      <c r="K1061" s="2122" t="str">
        <f>'Part VII-Pro Forma'!K33</f>
        <v/>
      </c>
      <c r="N1061" s="1910"/>
      <c r="O1061" s="1910"/>
      <c r="Q1061" s="1874">
        <v>14</v>
      </c>
      <c r="R1061" s="1900">
        <f>'Part VII-Pro Forma'!R33</f>
        <v>57457</v>
      </c>
      <c r="S1061" s="1900">
        <f>'Part VII-Pro Forma'!S33</f>
        <v>657213.67263400403</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57457</v>
      </c>
      <c r="S1062" s="1900">
        <f>'Part VII-Pro Forma'!S34</f>
        <v>687602.48204061727</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57457</v>
      </c>
      <c r="S1063" s="1900">
        <f>'Part VII-Pro Forma'!S35</f>
        <v>715011.16315398051</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57457</v>
      </c>
      <c r="S1064" s="1900">
        <f>'Part VII-Pro Forma'!S36</f>
        <v>739269.14507378777</v>
      </c>
    </row>
    <row r="1065" spans="1:19" ht="13.35" customHeight="1">
      <c r="A1065" s="1995" t="s">
        <v>3532</v>
      </c>
      <c r="B1065" s="2122" t="str">
        <f>'Part VII-Pro Forma'!B37</f>
        <v/>
      </c>
      <c r="C1065" s="2122" t="str">
        <f>'Part VII-Pro Forma'!C37</f>
        <v/>
      </c>
      <c r="D1065" s="2122" t="str">
        <f>'Part VII-Pro Forma'!D37</f>
        <v/>
      </c>
      <c r="E1065" s="2122" t="str">
        <f>'Part VII-Pro Forma'!E37</f>
        <v/>
      </c>
      <c r="F1065" s="2122" t="str">
        <f>'Part VII-Pro Forma'!F37</f>
        <v/>
      </c>
      <c r="G1065" s="2122" t="str">
        <f>'Part VII-Pro Forma'!G37</f>
        <v/>
      </c>
      <c r="H1065" s="2122" t="str">
        <f>'Part VII-Pro Forma'!H37</f>
        <v/>
      </c>
      <c r="I1065" s="2122" t="str">
        <f>'Part VII-Pro Forma'!I37</f>
        <v/>
      </c>
      <c r="J1065" s="2122" t="str">
        <f>'Part VII-Pro Forma'!J37</f>
        <v/>
      </c>
      <c r="K1065" s="2122" t="str">
        <f>'Part VII-Pro Forma'!K37</f>
        <v/>
      </c>
      <c r="N1065" s="1910"/>
      <c r="O1065" s="1910"/>
      <c r="Q1065" s="1874">
        <v>18</v>
      </c>
      <c r="R1065" s="1900">
        <f>'Part VII-Pro Forma'!R37</f>
        <v>57457</v>
      </c>
      <c r="S1065" s="1900">
        <f>'Part VII-Pro Forma'!S37</f>
        <v>760200.11303169304</v>
      </c>
    </row>
    <row r="1066" spans="1:19" ht="13.35" customHeight="1">
      <c r="A1066" s="1995" t="s">
        <v>752</v>
      </c>
      <c r="B1066" s="2122">
        <f>'Part VII-Pro Forma'!B38</f>
        <v>1.2563547892280309</v>
      </c>
      <c r="C1066" s="2122">
        <f>'Part VII-Pro Forma'!C38</f>
        <v>1.2441571699151375</v>
      </c>
      <c r="D1066" s="2122">
        <f>'Part VII-Pro Forma'!D38</f>
        <v>1.2320760688173391</v>
      </c>
      <c r="E1066" s="2122">
        <f>'Part VII-Pro Forma'!E38</f>
        <v>1.2201181036582556</v>
      </c>
      <c r="F1066" s="2122">
        <f>'Part VII-Pro Forma'!F38</f>
        <v>1.20827119607205</v>
      </c>
      <c r="G1066" s="2122">
        <f>'Part VII-Pro Forma'!G38</f>
        <v>1.1965376984749583</v>
      </c>
      <c r="H1066" s="2122">
        <f>'Part VII-Pro Forma'!H38</f>
        <v>1.1849236359560174</v>
      </c>
      <c r="I1066" s="2122">
        <f>'Part VII-Pro Forma'!I38</f>
        <v>1.1734183881709281</v>
      </c>
      <c r="J1066" s="2122">
        <f>'Part VII-Pro Forma'!J38</f>
        <v>1.1620278954062104</v>
      </c>
      <c r="K1066" s="2122">
        <f>'Part VII-Pro Forma'!K38</f>
        <v>1.1507426709672293</v>
      </c>
      <c r="N1066" s="1910"/>
      <c r="O1066" s="1910"/>
      <c r="Q1066" s="1874">
        <v>19</v>
      </c>
      <c r="R1066" s="1900">
        <f>'Part VII-Pro Forma'!R38</f>
        <v>57457</v>
      </c>
      <c r="S1066" s="1900">
        <f>'Part VII-Pro Forma'!S38</f>
        <v>777619.80374044925</v>
      </c>
    </row>
    <row r="1067" spans="1:19" ht="13.35" customHeight="1">
      <c r="A1067" s="1995" t="s">
        <v>2549</v>
      </c>
      <c r="B1067" s="2122" t="str">
        <f>'Part VII-Pro Forma'!B39</f>
        <v/>
      </c>
      <c r="C1067" s="2122" t="str">
        <f>'Part VII-Pro Forma'!C39</f>
        <v/>
      </c>
      <c r="D1067" s="2122" t="str">
        <f>'Part VII-Pro Forma'!D39</f>
        <v/>
      </c>
      <c r="E1067" s="2122" t="str">
        <f>'Part VII-Pro Forma'!E39</f>
        <v/>
      </c>
      <c r="F1067" s="2122" t="str">
        <f>'Part VII-Pro Forma'!F39</f>
        <v/>
      </c>
      <c r="G1067" s="2122" t="str">
        <f>'Part VII-Pro Forma'!G39</f>
        <v/>
      </c>
      <c r="H1067" s="2122" t="str">
        <f>'Part VII-Pro Forma'!H39</f>
        <v/>
      </c>
      <c r="I1067" s="2122" t="str">
        <f>'Part VII-Pro Forma'!I39</f>
        <v/>
      </c>
      <c r="J1067" s="2122" t="str">
        <f>'Part VII-Pro Forma'!J39</f>
        <v/>
      </c>
      <c r="K1067" s="2122" t="str">
        <f>'Part VII-Pro Forma'!K39</f>
        <v/>
      </c>
      <c r="N1067" s="1910"/>
      <c r="O1067" s="1910"/>
      <c r="Q1067" s="1874">
        <v>20</v>
      </c>
      <c r="R1067" s="1900">
        <f>'Part VII-Pro Forma'!R39</f>
        <v>57457</v>
      </c>
      <c r="S1067" s="1900">
        <f>'Part VII-Pro Forma'!S39</f>
        <v>791336.79395682411</v>
      </c>
    </row>
    <row r="1068" spans="1:19" ht="13.35" customHeight="1">
      <c r="A1068" s="1995" t="s">
        <v>2550</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2551</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3769</v>
      </c>
      <c r="B1071" s="2122">
        <f>'Part VII-Pro Forma'!B43</f>
        <v>0</v>
      </c>
      <c r="C1071" s="2122">
        <f>'Part VII-Pro Forma'!C43</f>
        <v>0</v>
      </c>
      <c r="D1071" s="2122">
        <f>'Part VII-Pro Forma'!D43</f>
        <v>0</v>
      </c>
      <c r="E1071" s="2122">
        <f>'Part VII-Pro Forma'!E43</f>
        <v>0</v>
      </c>
      <c r="F1071" s="2122">
        <f>'Part VII-Pro Forma'!F43</f>
        <v>0</v>
      </c>
      <c r="G1071" s="2122">
        <f>'Part VII-Pro Forma'!G43</f>
        <v>0</v>
      </c>
      <c r="H1071" s="2122">
        <f>'Part VII-Pro Forma'!H43</f>
        <v>0</v>
      </c>
      <c r="I1071" s="2122">
        <f>'Part VII-Pro Forma'!I43</f>
        <v>0</v>
      </c>
      <c r="J1071" s="2122">
        <f>'Part VII-Pro Forma'!J43</f>
        <v>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2415</v>
      </c>
      <c r="B1073" s="2122">
        <f>K1041+1</f>
        <v>11</v>
      </c>
      <c r="C1073" s="2122">
        <f t="shared" ref="C1073:K1073" si="387">B1073+1</f>
        <v>12</v>
      </c>
      <c r="D1073" s="2122">
        <f t="shared" si="387"/>
        <v>13</v>
      </c>
      <c r="E1073" s="2122">
        <f t="shared" si="387"/>
        <v>14</v>
      </c>
      <c r="F1073" s="2122">
        <f t="shared" si="387"/>
        <v>15</v>
      </c>
      <c r="G1073" s="2122">
        <f t="shared" si="387"/>
        <v>16</v>
      </c>
      <c r="H1073" s="2122">
        <f t="shared" si="387"/>
        <v>17</v>
      </c>
      <c r="I1073" s="2122">
        <f t="shared" si="387"/>
        <v>18</v>
      </c>
      <c r="J1073" s="2122">
        <f t="shared" si="387"/>
        <v>19</v>
      </c>
      <c r="K1073" s="2122">
        <f t="shared" si="387"/>
        <v>20</v>
      </c>
      <c r="N1073" s="1995" t="s">
        <v>2553</v>
      </c>
    </row>
    <row r="1074" spans="1:19" ht="13.35" customHeight="1">
      <c r="A1074" s="1995" t="s">
        <v>2341</v>
      </c>
      <c r="B1074" s="2122">
        <f>'Part VII-Pro Forma'!B46</f>
        <v>393637.67810470698</v>
      </c>
      <c r="C1074" s="2122">
        <f>'Part VII-Pro Forma'!C46</f>
        <v>401510.43166680104</v>
      </c>
      <c r="D1074" s="2122">
        <f>'Part VII-Pro Forma'!D46</f>
        <v>409540.64030013711</v>
      </c>
      <c r="E1074" s="2122">
        <f>'Part VII-Pro Forma'!E46</f>
        <v>417731.45310613984</v>
      </c>
      <c r="F1074" s="2122">
        <f>'Part VII-Pro Forma'!F46</f>
        <v>426086.08216826268</v>
      </c>
      <c r="G1074" s="2122">
        <f>'Part VII-Pro Forma'!G46</f>
        <v>434607.80381162779</v>
      </c>
      <c r="H1074" s="2122">
        <f>'Part VII-Pro Forma'!H46</f>
        <v>443299.95988786046</v>
      </c>
      <c r="I1074" s="2122">
        <f>'Part VII-Pro Forma'!I46</f>
        <v>452165.95908561768</v>
      </c>
      <c r="J1074" s="2122">
        <f>'Part VII-Pro Forma'!J46</f>
        <v>461209.27826732997</v>
      </c>
      <c r="K1074" s="2122">
        <f>'Part VII-Pro Forma'!K46</f>
        <v>470433.46383267659</v>
      </c>
      <c r="N1074" s="1910"/>
      <c r="O1074" s="1910"/>
    </row>
    <row r="1075" spans="1:19" ht="13.35" customHeight="1">
      <c r="A1075" s="1995" t="s">
        <v>994</v>
      </c>
      <c r="B1075" s="2122">
        <f>'Part VII-Pro Forma'!B47</f>
        <v>7872.7535620941399</v>
      </c>
      <c r="C1075" s="2122">
        <f>'Part VII-Pro Forma'!C47</f>
        <v>8030.2086333360212</v>
      </c>
      <c r="D1075" s="2122">
        <f>'Part VII-Pro Forma'!D47</f>
        <v>8190.8128060027429</v>
      </c>
      <c r="E1075" s="2122">
        <f>'Part VII-Pro Forma'!E47</f>
        <v>8354.6290621227981</v>
      </c>
      <c r="F1075" s="2122">
        <f>'Part VII-Pro Forma'!F47</f>
        <v>8521.7216433652538</v>
      </c>
      <c r="G1075" s="2122">
        <f>'Part VII-Pro Forma'!G47</f>
        <v>8692.1560762325571</v>
      </c>
      <c r="H1075" s="2122">
        <f>'Part VII-Pro Forma'!H47</f>
        <v>8865.9991977572099</v>
      </c>
      <c r="I1075" s="2122">
        <f>'Part VII-Pro Forma'!I47</f>
        <v>9043.3191817123552</v>
      </c>
      <c r="J1075" s="2122">
        <f>'Part VII-Pro Forma'!J47</f>
        <v>9224.1855653466009</v>
      </c>
      <c r="K1075" s="2122">
        <f>'Part VII-Pro Forma'!K47</f>
        <v>9408.6692766535325</v>
      </c>
      <c r="N1075" s="1910"/>
      <c r="O1075" s="1910"/>
    </row>
    <row r="1076" spans="1:19" ht="13.35" customHeight="1">
      <c r="A1076" s="1995" t="s">
        <v>2342</v>
      </c>
      <c r="B1076" s="2122">
        <f>'Part VII-Pro Forma'!B48</f>
        <v>-28105.730216676078</v>
      </c>
      <c r="C1076" s="2122">
        <f>'Part VII-Pro Forma'!C48</f>
        <v>-28667.844821009596</v>
      </c>
      <c r="D1076" s="2122">
        <f>'Part VII-Pro Forma'!D48</f>
        <v>-29241.201717429791</v>
      </c>
      <c r="E1076" s="2122">
        <f>'Part VII-Pro Forma'!E48</f>
        <v>-29826.025751778387</v>
      </c>
      <c r="F1076" s="2122">
        <f>'Part VII-Pro Forma'!F48</f>
        <v>-30422.546266813959</v>
      </c>
      <c r="G1076" s="2122">
        <f>'Part VII-Pro Forma'!G48</f>
        <v>-31030.997192150226</v>
      </c>
      <c r="H1076" s="2122">
        <f>'Part VII-Pro Forma'!H48</f>
        <v>-31651.617135993241</v>
      </c>
      <c r="I1076" s="2122">
        <f>'Part VII-Pro Forma'!I48</f>
        <v>-32284.649478713105</v>
      </c>
      <c r="J1076" s="2122">
        <f>'Part VII-Pro Forma'!J48</f>
        <v>-32930.342468287367</v>
      </c>
      <c r="K1076" s="2122">
        <f>'Part VII-Pro Forma'!K48</f>
        <v>-33588.94931765311</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4375</v>
      </c>
      <c r="B1079" s="2122">
        <f>'Part VII-Pro Forma'!B51</f>
        <v>373404.70145012502</v>
      </c>
      <c r="C1079" s="2122">
        <f>'Part VII-Pro Forma'!C51</f>
        <v>380872.79547912744</v>
      </c>
      <c r="D1079" s="2122">
        <f>'Part VII-Pro Forma'!D51</f>
        <v>388490.25138871005</v>
      </c>
      <c r="E1079" s="2122">
        <f>'Part VII-Pro Forma'!E51</f>
        <v>396260.05641648424</v>
      </c>
      <c r="F1079" s="2122">
        <f>'Part VII-Pro Forma'!F51</f>
        <v>404185.25754481403</v>
      </c>
      <c r="G1079" s="2122">
        <f>'Part VII-Pro Forma'!G51</f>
        <v>412268.96269571013</v>
      </c>
      <c r="H1079" s="2122">
        <f>'Part VII-Pro Forma'!H51</f>
        <v>420514.34194962442</v>
      </c>
      <c r="I1079" s="2122">
        <f>'Part VII-Pro Forma'!I51</f>
        <v>428924.62878861692</v>
      </c>
      <c r="J1079" s="2122">
        <f>'Part VII-Pro Forma'!J51</f>
        <v>437503.1213643892</v>
      </c>
      <c r="K1079" s="2122">
        <f>'Part VII-Pro Forma'!K51</f>
        <v>446253.183791677</v>
      </c>
      <c r="N1079" s="1910"/>
      <c r="O1079" s="1910"/>
    </row>
    <row r="1080" spans="1:19" ht="13.35" customHeight="1">
      <c r="A1080" s="1995" t="s">
        <v>597</v>
      </c>
      <c r="B1080" s="2122">
        <f>'Part VII-Pro Forma'!B52</f>
        <v>-278618.05593286466</v>
      </c>
      <c r="C1080" s="2122">
        <f>'Part VII-Pro Forma'!C52</f>
        <v>-286976.59761085059</v>
      </c>
      <c r="D1080" s="2122">
        <f>'Part VII-Pro Forma'!D52</f>
        <v>-295585.89553917607</v>
      </c>
      <c r="E1080" s="2122">
        <f>'Part VII-Pro Forma'!E52</f>
        <v>-304453.47240535135</v>
      </c>
      <c r="F1080" s="2122">
        <f>'Part VII-Pro Forma'!F52</f>
        <v>-313587.07657751191</v>
      </c>
      <c r="G1080" s="2122">
        <f>'Part VII-Pro Forma'!G52</f>
        <v>-322994.6888748373</v>
      </c>
      <c r="H1080" s="2122">
        <f>'Part VII-Pro Forma'!H52</f>
        <v>-332684.52954108233</v>
      </c>
      <c r="I1080" s="2122">
        <f>'Part VII-Pro Forma'!I52</f>
        <v>-342665.06542731478</v>
      </c>
      <c r="J1080" s="2122">
        <f>'Part VII-Pro Forma'!J52</f>
        <v>-352945.01739013428</v>
      </c>
      <c r="K1080" s="2122">
        <f>'Part VII-Pro Forma'!K52</f>
        <v>-363533.36791183829</v>
      </c>
      <c r="N1080" s="1910"/>
      <c r="O1080" s="1910"/>
    </row>
    <row r="1081" spans="1:19" ht="13.35" customHeight="1">
      <c r="A1081" s="1995" t="s">
        <v>1093</v>
      </c>
      <c r="B1081" s="2122">
        <f>'Part VII-Pro Forma'!B53</f>
        <v>-32254</v>
      </c>
      <c r="C1081" s="2122">
        <f>'Part VII-Pro Forma'!C53</f>
        <v>-33222</v>
      </c>
      <c r="D1081" s="2122">
        <f>'Part VII-Pro Forma'!D53</f>
        <v>-34218</v>
      </c>
      <c r="E1081" s="2122">
        <f>'Part VII-Pro Forma'!E53</f>
        <v>-35245</v>
      </c>
      <c r="F1081" s="2122">
        <f>'Part VII-Pro Forma'!F53</f>
        <v>-36302</v>
      </c>
      <c r="G1081" s="2122">
        <f>'Part VII-Pro Forma'!G53</f>
        <v>-37391</v>
      </c>
      <c r="H1081" s="2122">
        <f>'Part VII-Pro Forma'!H53</f>
        <v>-38513</v>
      </c>
      <c r="I1081" s="2122">
        <f>'Part VII-Pro Forma'!I53</f>
        <v>-39668</v>
      </c>
      <c r="J1081" s="2122">
        <f>'Part VII-Pro Forma'!J53</f>
        <v>-40858</v>
      </c>
      <c r="K1081" s="2122">
        <f>'Part VII-Pro Forma'!K53</f>
        <v>-42084</v>
      </c>
      <c r="N1081" s="1910"/>
      <c r="O1081" s="1910"/>
    </row>
    <row r="1082" spans="1:19" ht="13.35" customHeight="1">
      <c r="A1082" s="1995" t="s">
        <v>1176</v>
      </c>
      <c r="B1082" s="2122">
        <f>'Part VII-Pro Forma'!B54</f>
        <v>-16798.954741801521</v>
      </c>
      <c r="C1082" s="2122">
        <f>'Part VII-Pro Forma'!C54</f>
        <v>-17302.923384055568</v>
      </c>
      <c r="D1082" s="2122">
        <f>'Part VII-Pro Forma'!D54</f>
        <v>-17822.011085577233</v>
      </c>
      <c r="E1082" s="2122">
        <f>'Part VII-Pro Forma'!E54</f>
        <v>-18356.67141814455</v>
      </c>
      <c r="F1082" s="2122">
        <f>'Part VII-Pro Forma'!F54</f>
        <v>-18907.371560688887</v>
      </c>
      <c r="G1082" s="2122">
        <f>'Part VII-Pro Forma'!G54</f>
        <v>-19474.592707509557</v>
      </c>
      <c r="H1082" s="2122">
        <f>'Part VII-Pro Forma'!H54</f>
        <v>-20058.830488734839</v>
      </c>
      <c r="I1082" s="2122">
        <f>'Part VII-Pro Forma'!I54</f>
        <v>-20660.595403396885</v>
      </c>
      <c r="J1082" s="2122">
        <f>'Part VII-Pro Forma'!J54</f>
        <v>-21280.413265498792</v>
      </c>
      <c r="K1082" s="2122">
        <f>'Part VII-Pro Forma'!K54</f>
        <v>-21918.825663463755</v>
      </c>
      <c r="N1082" s="1910"/>
      <c r="O1082" s="1910"/>
      <c r="Q1082" s="1874">
        <v>10</v>
      </c>
      <c r="R1082" s="1900">
        <f>-SUM(B1088:K1088)</f>
        <v>0</v>
      </c>
      <c r="S1082" s="1900">
        <f>SUM(B1089:K1089)+R1082</f>
        <v>0</v>
      </c>
    </row>
    <row r="1083" spans="1:19" ht="13.35" customHeight="1">
      <c r="A1083" s="1995" t="s">
        <v>4374</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45733.690775458839</v>
      </c>
      <c r="C1084" s="2122">
        <f>'Part VII-Pro Forma'!C56</f>
        <v>43371.274484221285</v>
      </c>
      <c r="D1084" s="2122">
        <f>'Part VII-Pro Forma'!D56</f>
        <v>40864.344763956746</v>
      </c>
      <c r="E1084" s="2122">
        <f>'Part VII-Pro Forma'!E56</f>
        <v>38204.912592988338</v>
      </c>
      <c r="F1084" s="2122">
        <f>'Part VII-Pro Forma'!F56</f>
        <v>35388.809406613233</v>
      </c>
      <c r="G1084" s="2122">
        <f>'Part VII-Pro Forma'!G56</f>
        <v>32408.681113363269</v>
      </c>
      <c r="H1084" s="2122">
        <f>'Part VII-Pro Forma'!H56</f>
        <v>29257.981919807247</v>
      </c>
      <c r="I1084" s="2122">
        <f>'Part VII-Pro Forma'!I56</f>
        <v>25930.96795790525</v>
      </c>
      <c r="J1084" s="2122">
        <f>'Part VII-Pro Forma'!J56</f>
        <v>22419.690708756127</v>
      </c>
      <c r="K1084" s="2122">
        <f>'Part VII-Pro Forma'!K56</f>
        <v>18716.990216374961</v>
      </c>
      <c r="N1084" s="1910"/>
      <c r="O1084" s="1910"/>
    </row>
    <row r="1085" spans="1:19" ht="13.35" customHeight="1">
      <c r="A1085" s="1995" t="str">
        <f>$A1053</f>
        <v>Mortgage A</v>
      </c>
      <c r="B1085" s="2122">
        <f>'Part VII-Pro Forma'!B57</f>
        <v>0</v>
      </c>
      <c r="C1085" s="2122">
        <f>'Part VII-Pro Forma'!C57</f>
        <v>0</v>
      </c>
      <c r="D1085" s="2122">
        <f>'Part VII-Pro Forma'!D57</f>
        <v>0</v>
      </c>
      <c r="E1085" s="2122">
        <f>'Part VII-Pro Forma'!E57</f>
        <v>0</v>
      </c>
      <c r="F1085" s="2122">
        <f>'Part VII-Pro Forma'!F57</f>
        <v>0</v>
      </c>
      <c r="G1085" s="2122">
        <f>'Part VII-Pro Forma'!G57</f>
        <v>0</v>
      </c>
      <c r="H1085" s="2122">
        <f>'Part VII-Pro Forma'!H57</f>
        <v>0</v>
      </c>
      <c r="I1085" s="2122">
        <f>'Part VII-Pro Forma'!I57</f>
        <v>0</v>
      </c>
      <c r="J1085" s="2122">
        <f>'Part VII-Pro Forma'!J57</f>
        <v>0</v>
      </c>
      <c r="K1085" s="2122">
        <f>'Part VII-Pro Forma'!K57</f>
        <v>0</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-5000</v>
      </c>
      <c r="C1090" s="2122">
        <f>'Part VII-Pro Forma'!C62</f>
        <v>-5000</v>
      </c>
      <c r="D1090" s="2122">
        <f>'Part VII-Pro Forma'!D62</f>
        <v>-5000</v>
      </c>
      <c r="E1090" s="2122">
        <f>'Part VII-Pro Forma'!E62</f>
        <v>-5000</v>
      </c>
      <c r="F1090" s="2122">
        <f>'Part VII-Pro Forma'!F62</f>
        <v>-5000</v>
      </c>
      <c r="G1090" s="2122">
        <f>'Part VII-Pro Forma'!G62</f>
        <v>-5000</v>
      </c>
      <c r="H1090" s="2122">
        <f>'Part VII-Pro Forma'!H62</f>
        <v>-5000</v>
      </c>
      <c r="I1090" s="2122">
        <f>'Part VII-Pro Forma'!I62</f>
        <v>-5000</v>
      </c>
      <c r="J1090" s="2122">
        <f>'Part VII-Pro Forma'!J62</f>
        <v>-5000</v>
      </c>
      <c r="K1090" s="2122">
        <f>'Part VII-Pro Forma'!K62</f>
        <v>-5000</v>
      </c>
      <c r="N1090" s="1910"/>
      <c r="O1090" s="1910"/>
    </row>
    <row r="1091" spans="1:18" ht="13.35" customHeight="1">
      <c r="A1091" s="1995" t="s">
        <v>3768</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40733.690775458839</v>
      </c>
      <c r="C1092" s="2122">
        <f>'Part VII-Pro Forma'!C64</f>
        <v>38371.274484221285</v>
      </c>
      <c r="D1092" s="2122">
        <f>'Part VII-Pro Forma'!D64</f>
        <v>35864.344763956746</v>
      </c>
      <c r="E1092" s="2122">
        <f>'Part VII-Pro Forma'!E64</f>
        <v>33204.912592988338</v>
      </c>
      <c r="F1092" s="2122">
        <f>'Part VII-Pro Forma'!F64</f>
        <v>30388.809406613233</v>
      </c>
      <c r="G1092" s="2122">
        <f>'Part VII-Pro Forma'!G64</f>
        <v>27408.681113363269</v>
      </c>
      <c r="H1092" s="2122">
        <f>'Part VII-Pro Forma'!H64</f>
        <v>24257.981919807247</v>
      </c>
      <c r="I1092" s="2122">
        <f>'Part VII-Pro Forma'!I64</f>
        <v>20930.96795790525</v>
      </c>
      <c r="J1092" s="2122">
        <f>'Part VII-Pro Forma'!J64</f>
        <v>17419.690708756127</v>
      </c>
      <c r="K1092" s="2122">
        <f>'Part VII-Pro Forma'!K64</f>
        <v>13716.990216374961</v>
      </c>
      <c r="N1092" s="1910"/>
      <c r="O1092" s="1910"/>
    </row>
    <row r="1093" spans="1:18" ht="13.35" customHeight="1">
      <c r="A1093" s="1995" t="str">
        <f>$A1061</f>
        <v>DCR Mortgage A</v>
      </c>
      <c r="B1093" s="2122" t="str">
        <f>'Part VII-Pro Forma'!B65</f>
        <v/>
      </c>
      <c r="C1093" s="2122" t="str">
        <f>'Part VII-Pro Forma'!C65</f>
        <v/>
      </c>
      <c r="D1093" s="2122" t="str">
        <f>'Part VII-Pro Forma'!D65</f>
        <v/>
      </c>
      <c r="E1093" s="2122" t="str">
        <f>'Part VII-Pro Forma'!E65</f>
        <v/>
      </c>
      <c r="F1093" s="2122" t="str">
        <f>'Part VII-Pro Forma'!F65</f>
        <v/>
      </c>
      <c r="G1093" s="2122" t="str">
        <f>'Part VII-Pro Forma'!G65</f>
        <v/>
      </c>
      <c r="H1093" s="2122" t="str">
        <f>'Part VII-Pro Forma'!H65</f>
        <v/>
      </c>
      <c r="I1093" s="2122" t="str">
        <f>'Part VII-Pro Forma'!I65</f>
        <v/>
      </c>
      <c r="J1093" s="2122" t="str">
        <f>'Part VII-Pro Forma'!J65</f>
        <v/>
      </c>
      <c r="K1093" s="2122" t="str">
        <f>'Part VII-Pro Forma'!K65</f>
        <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3532</v>
      </c>
      <c r="B1097" s="2122" t="str">
        <f>'Part VII-Pro Forma'!B69</f>
        <v/>
      </c>
      <c r="C1097" s="2122" t="str">
        <f>'Part VII-Pro Forma'!C69</f>
        <v/>
      </c>
      <c r="D1097" s="2122" t="str">
        <f>'Part VII-Pro Forma'!D69</f>
        <v/>
      </c>
      <c r="E1097" s="2122" t="str">
        <f>'Part VII-Pro Forma'!E69</f>
        <v/>
      </c>
      <c r="F1097" s="2122" t="str">
        <f>'Part VII-Pro Forma'!F69</f>
        <v/>
      </c>
      <c r="G1097" s="2122" t="str">
        <f>'Part VII-Pro Forma'!G69</f>
        <v/>
      </c>
      <c r="H1097" s="2122" t="str">
        <f>'Part VII-Pro Forma'!H69</f>
        <v/>
      </c>
      <c r="I1097" s="2122" t="str">
        <f>'Part VII-Pro Forma'!I69</f>
        <v/>
      </c>
      <c r="J1097" s="2122" t="str">
        <f>'Part VII-Pro Forma'!J69</f>
        <v/>
      </c>
      <c r="K1097" s="2122" t="str">
        <f>'Part VII-Pro Forma'!K69</f>
        <v/>
      </c>
      <c r="N1097" s="1910"/>
      <c r="O1097" s="1910"/>
    </row>
    <row r="1098" spans="1:18" ht="13.35" customHeight="1">
      <c r="A1098" s="1995" t="s">
        <v>752</v>
      </c>
      <c r="B1098" s="2122">
        <f>'Part VII-Pro Forma'!B70</f>
        <v>1.1395719770305415</v>
      </c>
      <c r="C1098" s="2122">
        <f>'Part VII-Pro Forma'!C70</f>
        <v>1.1285069008174216</v>
      </c>
      <c r="D1098" s="2122">
        <f>'Part VII-Pro Forma'!D70</f>
        <v>1.1175526449128199</v>
      </c>
      <c r="E1098" s="2122">
        <f>'Part VII-Pro Forma'!E70</f>
        <v>1.1067011974329337</v>
      </c>
      <c r="F1098" s="2122">
        <f>'Part VII-Pro Forma'!F70</f>
        <v>1.0959575657121075</v>
      </c>
      <c r="G1098" s="2122">
        <f>'Part VII-Pro Forma'!G70</f>
        <v>1.0853173724253602</v>
      </c>
      <c r="H1098" s="2122">
        <f>'Part VII-Pro Forma'!H70</f>
        <v>1.0747795688677817</v>
      </c>
      <c r="I1098" s="2122">
        <f>'Part VII-Pro Forma'!I70</f>
        <v>1.0643458457992923</v>
      </c>
      <c r="J1098" s="2122">
        <f>'Part VII-Pro Forma'!J70</f>
        <v>1.0540124925568426</v>
      </c>
      <c r="K1098" s="2122">
        <f>'Part VII-Pro Forma'!K70</f>
        <v>1.0437787268017074</v>
      </c>
      <c r="N1098" s="1910"/>
      <c r="O1098" s="1910"/>
    </row>
    <row r="1099" spans="1:18" ht="13.35" customHeight="1">
      <c r="A1099" s="1995" t="s">
        <v>2549</v>
      </c>
      <c r="B1099" s="2122" t="str">
        <f>'Part VII-Pro Forma'!B71</f>
        <v/>
      </c>
      <c r="C1099" s="2122" t="str">
        <f>'Part VII-Pro Forma'!C71</f>
        <v/>
      </c>
      <c r="D1099" s="2122" t="str">
        <f>'Part VII-Pro Forma'!D71</f>
        <v/>
      </c>
      <c r="E1099" s="2122" t="str">
        <f>'Part VII-Pro Forma'!E71</f>
        <v/>
      </c>
      <c r="F1099" s="2122" t="str">
        <f>'Part VII-Pro Forma'!F71</f>
        <v/>
      </c>
      <c r="G1099" s="2122" t="str">
        <f>'Part VII-Pro Forma'!G71</f>
        <v/>
      </c>
      <c r="H1099" s="2122" t="str">
        <f>'Part VII-Pro Forma'!H71</f>
        <v/>
      </c>
      <c r="I1099" s="2122" t="str">
        <f>'Part VII-Pro Forma'!I71</f>
        <v/>
      </c>
      <c r="J1099" s="2122" t="str">
        <f>'Part VII-Pro Forma'!J71</f>
        <v/>
      </c>
      <c r="K1099" s="2122" t="str">
        <f>'Part VII-Pro Forma'!K71</f>
        <v/>
      </c>
      <c r="N1099" s="1910"/>
      <c r="O1099" s="1910"/>
    </row>
    <row r="1100" spans="1:18" ht="13.35" customHeight="1">
      <c r="A1100" s="1995" t="s">
        <v>2550</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2551</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3769</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2415</v>
      </c>
      <c r="B1105" s="2122">
        <f>K1073+1</f>
        <v>21</v>
      </c>
      <c r="C1105" s="2122">
        <f t="shared" ref="C1105:K1105" si="388">B1105+1</f>
        <v>22</v>
      </c>
      <c r="D1105" s="2122">
        <f t="shared" si="388"/>
        <v>23</v>
      </c>
      <c r="E1105" s="2122">
        <f t="shared" si="388"/>
        <v>24</v>
      </c>
      <c r="F1105" s="2122">
        <f t="shared" si="388"/>
        <v>25</v>
      </c>
      <c r="G1105" s="2122">
        <f t="shared" si="388"/>
        <v>26</v>
      </c>
      <c r="H1105" s="2122">
        <f t="shared" si="388"/>
        <v>27</v>
      </c>
      <c r="I1105" s="2122">
        <f t="shared" si="388"/>
        <v>28</v>
      </c>
      <c r="J1105" s="2122">
        <f t="shared" si="388"/>
        <v>29</v>
      </c>
      <c r="K1105" s="2122">
        <f t="shared" si="388"/>
        <v>30</v>
      </c>
      <c r="N1105" s="1995" t="s">
        <v>2554</v>
      </c>
    </row>
    <row r="1106" spans="1:19" ht="13.35" customHeight="1">
      <c r="A1106" s="1995" t="s">
        <v>2341</v>
      </c>
      <c r="B1106" s="2122">
        <f>'Part VII-Pro Forma'!B78</f>
        <v>479842.13310933014</v>
      </c>
      <c r="C1106" s="2122">
        <f>'Part VII-Pro Forma'!C78</f>
        <v>489438.97577151674</v>
      </c>
      <c r="D1106" s="2122">
        <f>'Part VII-Pro Forma'!D78</f>
        <v>499227.75528694707</v>
      </c>
      <c r="E1106" s="2122">
        <f>'Part VII-Pro Forma'!E78</f>
        <v>509212.31039268593</v>
      </c>
      <c r="F1106" s="2122">
        <f>'Part VII-Pro Forma'!F78</f>
        <v>519396.55660053965</v>
      </c>
      <c r="G1106" s="2122">
        <f>'Part VII-Pro Forma'!G78</f>
        <v>529784.48773255048</v>
      </c>
      <c r="H1106" s="2122">
        <f>'Part VII-Pro Forma'!H78</f>
        <v>540380.17748720152</v>
      </c>
      <c r="I1106" s="2122">
        <f>'Part VII-Pro Forma'!I78</f>
        <v>551187.78103694541</v>
      </c>
      <c r="J1106" s="2122">
        <f>'Part VII-Pro Forma'!J78</f>
        <v>562211.53665768448</v>
      </c>
      <c r="K1106" s="2122">
        <f>'Part VII-Pro Forma'!K78</f>
        <v>573455.76739083813</v>
      </c>
      <c r="N1106" s="1910"/>
      <c r="O1106" s="1910"/>
    </row>
    <row r="1107" spans="1:19" ht="13.35" customHeight="1">
      <c r="A1107" s="1995" t="s">
        <v>994</v>
      </c>
      <c r="B1107" s="2122">
        <f>'Part VII-Pro Forma'!B79</f>
        <v>9596.8426621866038</v>
      </c>
      <c r="C1107" s="2122">
        <f>'Part VII-Pro Forma'!C79</f>
        <v>9788.7795154303349</v>
      </c>
      <c r="D1107" s="2122">
        <f>'Part VII-Pro Forma'!D79</f>
        <v>9984.5551057389421</v>
      </c>
      <c r="E1107" s="2122">
        <f>'Part VII-Pro Forma'!E79</f>
        <v>10184.246207853719</v>
      </c>
      <c r="F1107" s="2122">
        <f>'Part VII-Pro Forma'!F79</f>
        <v>10387.931132010794</v>
      </c>
      <c r="G1107" s="2122">
        <f>'Part VII-Pro Forma'!G79</f>
        <v>10595.68975465101</v>
      </c>
      <c r="H1107" s="2122">
        <f>'Part VII-Pro Forma'!H79</f>
        <v>10807.603549744032</v>
      </c>
      <c r="I1107" s="2122">
        <f>'Part VII-Pro Forma'!I79</f>
        <v>11023.75562073891</v>
      </c>
      <c r="J1107" s="2122">
        <f>'Part VII-Pro Forma'!J79</f>
        <v>11244.23073315369</v>
      </c>
      <c r="K1107" s="2122">
        <f>'Part VII-Pro Forma'!K79</f>
        <v>11469.115347816763</v>
      </c>
      <c r="N1107" s="1910"/>
      <c r="O1107" s="1910"/>
    </row>
    <row r="1108" spans="1:19" ht="13.35" customHeight="1">
      <c r="A1108" s="1995" t="s">
        <v>2342</v>
      </c>
      <c r="B1108" s="2122">
        <f>'Part VII-Pro Forma'!B80</f>
        <v>-34260.728304006174</v>
      </c>
      <c r="C1108" s="2122">
        <f>'Part VII-Pro Forma'!C80</f>
        <v>-34945.942870086299</v>
      </c>
      <c r="D1108" s="2122">
        <f>'Part VII-Pro Forma'!D80</f>
        <v>-35644.861727488023</v>
      </c>
      <c r="E1108" s="2122">
        <f>'Part VII-Pro Forma'!E80</f>
        <v>-36357.758962037777</v>
      </c>
      <c r="F1108" s="2122">
        <f>'Part VII-Pro Forma'!F80</f>
        <v>-37084.914141278539</v>
      </c>
      <c r="G1108" s="2122">
        <f>'Part VII-Pro Forma'!G80</f>
        <v>-37826.612424104111</v>
      </c>
      <c r="H1108" s="2122">
        <f>'Part VII-Pro Forma'!H80</f>
        <v>-38583.14467258619</v>
      </c>
      <c r="I1108" s="2122">
        <f>'Part VII-Pro Forma'!I80</f>
        <v>-39354.807566037911</v>
      </c>
      <c r="J1108" s="2122">
        <f>'Part VII-Pro Forma'!J80</f>
        <v>-40141.903717358669</v>
      </c>
      <c r="K1108" s="2122">
        <f>'Part VII-Pro Forma'!K80</f>
        <v>-40944.741791705841</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4375</v>
      </c>
      <c r="B1111" s="2122">
        <f>'Part VII-Pro Forma'!B83</f>
        <v>455178.24746751058</v>
      </c>
      <c r="C1111" s="2122">
        <f>'Part VII-Pro Forma'!C83</f>
        <v>464281.81241686078</v>
      </c>
      <c r="D1111" s="2122">
        <f>'Part VII-Pro Forma'!D83</f>
        <v>473567.44866519794</v>
      </c>
      <c r="E1111" s="2122">
        <f>'Part VII-Pro Forma'!E83</f>
        <v>483038.79763850186</v>
      </c>
      <c r="F1111" s="2122">
        <f>'Part VII-Pro Forma'!F83</f>
        <v>492699.57359127194</v>
      </c>
      <c r="G1111" s="2122">
        <f>'Part VII-Pro Forma'!G83</f>
        <v>502553.5650630974</v>
      </c>
      <c r="H1111" s="2122">
        <f>'Part VII-Pro Forma'!H83</f>
        <v>512604.63636435935</v>
      </c>
      <c r="I1111" s="2122">
        <f>'Part VII-Pro Forma'!I83</f>
        <v>522856.72909164644</v>
      </c>
      <c r="J1111" s="2122">
        <f>'Part VII-Pro Forma'!J83</f>
        <v>533313.86367347941</v>
      </c>
      <c r="K1111" s="2122">
        <f>'Part VII-Pro Forma'!K83</f>
        <v>543980.14094694902</v>
      </c>
      <c r="N1111" s="1910"/>
      <c r="O1111" s="1910"/>
    </row>
    <row r="1112" spans="1:19" ht="13.35" customHeight="1">
      <c r="A1112" s="1995" t="s">
        <v>597</v>
      </c>
      <c r="B1112" s="2122">
        <f>'Part VII-Pro Forma'!B84</f>
        <v>-374439.36894919339</v>
      </c>
      <c r="C1112" s="2122">
        <f>'Part VII-Pro Forma'!C84</f>
        <v>-385672.55001766916</v>
      </c>
      <c r="D1112" s="2122">
        <f>'Part VII-Pro Forma'!D84</f>
        <v>-397242.72651819926</v>
      </c>
      <c r="E1112" s="2122">
        <f>'Part VII-Pro Forma'!E84</f>
        <v>-409160.00831374526</v>
      </c>
      <c r="F1112" s="2122">
        <f>'Part VII-Pro Forma'!F84</f>
        <v>-421434.80856315757</v>
      </c>
      <c r="G1112" s="2122">
        <f>'Part VII-Pro Forma'!G84</f>
        <v>-434077.8528200523</v>
      </c>
      <c r="H1112" s="2122">
        <f>'Part VII-Pro Forma'!H84</f>
        <v>-447100.18840465392</v>
      </c>
      <c r="I1112" s="2122">
        <f>'Part VII-Pro Forma'!I84</f>
        <v>-460513.19405679352</v>
      </c>
      <c r="J1112" s="2122">
        <f>'Part VII-Pro Forma'!J84</f>
        <v>-474328.5898784973</v>
      </c>
      <c r="K1112" s="2122">
        <f>'Part VII-Pro Forma'!K84</f>
        <v>-488558.44757485215</v>
      </c>
      <c r="N1112" s="1910"/>
      <c r="O1112" s="1910"/>
    </row>
    <row r="1113" spans="1:19" ht="13.35" customHeight="1">
      <c r="A1113" s="1995" t="s">
        <v>1093</v>
      </c>
      <c r="B1113" s="2122">
        <f>'Part VII-Pro Forma'!B85</f>
        <v>-43347</v>
      </c>
      <c r="C1113" s="2122">
        <f>'Part VII-Pro Forma'!C85</f>
        <v>-44647</v>
      </c>
      <c r="D1113" s="2122">
        <f>'Part VII-Pro Forma'!D85</f>
        <v>-45986</v>
      </c>
      <c r="E1113" s="2122">
        <f>'Part VII-Pro Forma'!E85</f>
        <v>-47366</v>
      </c>
      <c r="F1113" s="2122">
        <f>'Part VII-Pro Forma'!F85</f>
        <v>-48787</v>
      </c>
      <c r="G1113" s="2122">
        <f>'Part VII-Pro Forma'!G85</f>
        <v>-50251</v>
      </c>
      <c r="H1113" s="2122">
        <f>'Part VII-Pro Forma'!H85</f>
        <v>-51758</v>
      </c>
      <c r="I1113" s="2122">
        <f>'Part VII-Pro Forma'!I85</f>
        <v>-53311</v>
      </c>
      <c r="J1113" s="2122">
        <f>'Part VII-Pro Forma'!J85</f>
        <v>-54910</v>
      </c>
      <c r="K1113" s="2122">
        <f>'Part VII-Pro Forma'!K85</f>
        <v>-56558</v>
      </c>
      <c r="N1113" s="1910"/>
      <c r="O1113" s="1910"/>
    </row>
    <row r="1114" spans="1:19" ht="13.35" customHeight="1">
      <c r="A1114" s="1995" t="s">
        <v>1176</v>
      </c>
      <c r="B1114" s="2122">
        <f>'Part VII-Pro Forma'!B86</f>
        <v>-22576.390433367666</v>
      </c>
      <c r="C1114" s="2122">
        <f>'Part VII-Pro Forma'!C86</f>
        <v>-23253.682146368694</v>
      </c>
      <c r="D1114" s="2122">
        <f>'Part VII-Pro Forma'!D86</f>
        <v>-23951.292610759756</v>
      </c>
      <c r="E1114" s="2122">
        <f>'Part VII-Pro Forma'!E86</f>
        <v>-24669.831389082548</v>
      </c>
      <c r="F1114" s="2122">
        <f>'Part VII-Pro Forma'!F86</f>
        <v>-25409.926330755021</v>
      </c>
      <c r="G1114" s="2122">
        <f>'Part VII-Pro Forma'!G86</f>
        <v>-26172.224120677674</v>
      </c>
      <c r="H1114" s="2122">
        <f>'Part VII-Pro Forma'!H86</f>
        <v>-26957.390844298006</v>
      </c>
      <c r="I1114" s="2122">
        <f>'Part VII-Pro Forma'!I86</f>
        <v>-27766.112569626945</v>
      </c>
      <c r="J1114" s="2122">
        <f>'Part VII-Pro Forma'!J86</f>
        <v>-28599.095946715752</v>
      </c>
      <c r="K1114" s="2122">
        <f>'Part VII-Pro Forma'!K86</f>
        <v>-29457.068825117221</v>
      </c>
      <c r="N1114" s="1910"/>
      <c r="O1114" s="1910"/>
      <c r="Q1114" s="1874">
        <v>10</v>
      </c>
      <c r="R1114" s="1900">
        <f>-SUM(B1120:K1120)</f>
        <v>0</v>
      </c>
      <c r="S1114" s="1900">
        <f>SUM(B1121:K1121)+R1114</f>
        <v>0</v>
      </c>
    </row>
    <row r="1115" spans="1:19" ht="13.35" customHeight="1">
      <c r="A1115" s="1995" t="s">
        <v>4374</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14815.48808494952</v>
      </c>
      <c r="C1116" s="2122">
        <f>'Part VII-Pro Forma'!C88</f>
        <v>10708.580252822925</v>
      </c>
      <c r="D1116" s="2122">
        <f>'Part VII-Pro Forma'!D88</f>
        <v>6387.4295362389275</v>
      </c>
      <c r="E1116" s="2122">
        <f>'Part VII-Pro Forma'!E88</f>
        <v>1842.9579356740469</v>
      </c>
      <c r="F1116" s="2122">
        <f>'Part VII-Pro Forma'!F88</f>
        <v>-2932.1613026406485</v>
      </c>
      <c r="G1116" s="2122">
        <f>'Part VII-Pro Forma'!G88</f>
        <v>-7947.5118776325762</v>
      </c>
      <c r="H1116" s="2122">
        <f>'Part VII-Pro Forma'!H88</f>
        <v>-13210.942884592576</v>
      </c>
      <c r="I1116" s="2122">
        <f>'Part VII-Pro Forma'!I88</f>
        <v>-18733.577534774027</v>
      </c>
      <c r="J1116" s="2122">
        <f>'Part VII-Pro Forma'!J88</f>
        <v>-24523.822151733635</v>
      </c>
      <c r="K1116" s="2122">
        <f>'Part VII-Pro Forma'!K88</f>
        <v>-30593.375453020355</v>
      </c>
      <c r="N1116" s="1910"/>
      <c r="O1116" s="1910"/>
    </row>
    <row r="1117" spans="1:19" ht="13.35" customHeight="1">
      <c r="A1117" s="1995" t="str">
        <f>$A1085</f>
        <v>Mortgage A</v>
      </c>
      <c r="B1117" s="2122">
        <f>'Part VII-Pro Forma'!B89</f>
        <v>0</v>
      </c>
      <c r="C1117" s="2122">
        <f>'Part VII-Pro Forma'!C89</f>
        <v>0</v>
      </c>
      <c r="D1117" s="2122">
        <f>'Part VII-Pro Forma'!D89</f>
        <v>0</v>
      </c>
      <c r="E1117" s="2122">
        <f>'Part VII-Pro Forma'!E89</f>
        <v>0</v>
      </c>
      <c r="F1117" s="2122">
        <f>'Part VII-Pro Forma'!F89</f>
        <v>0</v>
      </c>
      <c r="G1117" s="2122">
        <f>'Part VII-Pro Forma'!G89</f>
        <v>0</v>
      </c>
      <c r="H1117" s="2122">
        <f>'Part VII-Pro Forma'!H89</f>
        <v>0</v>
      </c>
      <c r="I1117" s="2122">
        <f>'Part VII-Pro Forma'!I89</f>
        <v>0</v>
      </c>
      <c r="J1117" s="2122">
        <f>'Part VII-Pro Forma'!J89</f>
        <v>0</v>
      </c>
      <c r="K1117" s="2122">
        <f>'Part VII-Pro Forma'!K89</f>
        <v>0</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-5000</v>
      </c>
      <c r="C1122" s="2122">
        <f>'Part VII-Pro Forma'!C94</f>
        <v>-5000</v>
      </c>
      <c r="D1122" s="2122">
        <f>'Part VII-Pro Forma'!D94</f>
        <v>-5000</v>
      </c>
      <c r="E1122" s="2122">
        <f>'Part VII-Pro Forma'!E94</f>
        <v>-5000</v>
      </c>
      <c r="F1122" s="2122">
        <f>'Part VII-Pro Forma'!F94</f>
        <v>-5000</v>
      </c>
      <c r="G1122" s="2122">
        <f>'Part VII-Pro Forma'!G94</f>
        <v>-5000</v>
      </c>
      <c r="H1122" s="2122">
        <f>'Part VII-Pro Forma'!H94</f>
        <v>-5000</v>
      </c>
      <c r="I1122" s="2122">
        <f>'Part VII-Pro Forma'!I94</f>
        <v>-5000</v>
      </c>
      <c r="J1122" s="2122">
        <f>'Part VII-Pro Forma'!J94</f>
        <v>-5000</v>
      </c>
      <c r="K1122" s="2122">
        <f>'Part VII-Pro Forma'!K94</f>
        <v>-5000</v>
      </c>
      <c r="N1122" s="1910"/>
      <c r="O1122" s="1910"/>
    </row>
    <row r="1123" spans="1:15" ht="13.35" customHeight="1">
      <c r="A1123" s="1995" t="s">
        <v>1142</v>
      </c>
      <c r="B1123" s="2122">
        <f>'Part VII-Pro Forma'!B95</f>
        <v>9815.4880849495203</v>
      </c>
      <c r="C1123" s="2122">
        <f>'Part VII-Pro Forma'!C95</f>
        <v>5708.5802528229251</v>
      </c>
      <c r="D1123" s="2122">
        <f>'Part VII-Pro Forma'!D95</f>
        <v>1387.4295362389275</v>
      </c>
      <c r="E1123" s="2122">
        <f>'Part VII-Pro Forma'!E95</f>
        <v>-3157.0420643259531</v>
      </c>
      <c r="F1123" s="2122">
        <f>'Part VII-Pro Forma'!F95</f>
        <v>-7932.1613026406485</v>
      </c>
      <c r="G1123" s="2122">
        <f>'Part VII-Pro Forma'!G95</f>
        <v>-12947.511877632576</v>
      </c>
      <c r="H1123" s="2122">
        <f>'Part VII-Pro Forma'!H95</f>
        <v>-18210.942884592576</v>
      </c>
      <c r="I1123" s="2122">
        <f>'Part VII-Pro Forma'!I95</f>
        <v>-23733.577534774027</v>
      </c>
      <c r="J1123" s="2122">
        <f>'Part VII-Pro Forma'!J95</f>
        <v>-29523.822151733635</v>
      </c>
      <c r="K1123" s="2122">
        <f>'Part VII-Pro Forma'!K95</f>
        <v>-35593.375453020359</v>
      </c>
      <c r="N1123" s="1910"/>
      <c r="O1123" s="1910"/>
    </row>
    <row r="1124" spans="1:15" ht="13.35" customHeight="1">
      <c r="A1124" s="1995" t="str">
        <f>$A1093</f>
        <v>DCR Mortgage A</v>
      </c>
      <c r="B1124" s="2122" t="str">
        <f>'Part VII-Pro Forma'!B96</f>
        <v/>
      </c>
      <c r="C1124" s="2122" t="str">
        <f>'Part VII-Pro Forma'!C96</f>
        <v/>
      </c>
      <c r="D1124" s="2122" t="str">
        <f>'Part VII-Pro Forma'!D96</f>
        <v/>
      </c>
      <c r="E1124" s="2122" t="str">
        <f>'Part VII-Pro Forma'!E96</f>
        <v/>
      </c>
      <c r="F1124" s="2122" t="str">
        <f>'Part VII-Pro Forma'!F96</f>
        <v/>
      </c>
      <c r="G1124" s="2122" t="str">
        <f>'Part VII-Pro Forma'!G96</f>
        <v/>
      </c>
      <c r="H1124" s="2122" t="str">
        <f>'Part VII-Pro Forma'!H96</f>
        <v/>
      </c>
      <c r="I1124" s="2122" t="str">
        <f>'Part VII-Pro Forma'!I96</f>
        <v/>
      </c>
      <c r="J1124" s="2122" t="str">
        <f>'Part VII-Pro Forma'!J96</f>
        <v/>
      </c>
      <c r="K1124" s="2122" t="str">
        <f>'Part VII-Pro Forma'!K96</f>
        <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3532</v>
      </c>
      <c r="B1128" s="2122" t="str">
        <f>'Part VII-Pro Forma'!B100</f>
        <v/>
      </c>
      <c r="C1128" s="2122" t="str">
        <f>'Part VII-Pro Forma'!C100</f>
        <v/>
      </c>
      <c r="D1128" s="2122" t="str">
        <f>'Part VII-Pro Forma'!D100</f>
        <v/>
      </c>
      <c r="E1128" s="2122" t="str">
        <f>'Part VII-Pro Forma'!E100</f>
        <v/>
      </c>
      <c r="F1128" s="2122" t="str">
        <f>'Part VII-Pro Forma'!F100</f>
        <v/>
      </c>
      <c r="G1128" s="2122" t="str">
        <f>'Part VII-Pro Forma'!G100</f>
        <v/>
      </c>
      <c r="H1128" s="2122" t="str">
        <f>'Part VII-Pro Forma'!H100</f>
        <v/>
      </c>
      <c r="I1128" s="2122" t="str">
        <f>'Part VII-Pro Forma'!I100</f>
        <v/>
      </c>
      <c r="J1128" s="2122" t="str">
        <f>'Part VII-Pro Forma'!J100</f>
        <v/>
      </c>
      <c r="K1128" s="2122" t="str">
        <f>'Part VII-Pro Forma'!K100</f>
        <v/>
      </c>
      <c r="N1128" s="1910"/>
      <c r="O1128" s="1910"/>
    </row>
    <row r="1129" spans="1:15" ht="13.35" customHeight="1">
      <c r="A1129" s="1995" t="s">
        <v>752</v>
      </c>
      <c r="B1129" s="2122">
        <f>'Part VII-Pro Forma'!B101</f>
        <v>1.033643826071311</v>
      </c>
      <c r="C1129" s="2122">
        <f>'Part VII-Pro Forma'!C101</f>
        <v>1.0236093743930419</v>
      </c>
      <c r="D1129" s="2122">
        <f>'Part VII-Pro Forma'!D101</f>
        <v>1.0136723089059931</v>
      </c>
      <c r="E1129" s="2122">
        <f>'Part VII-Pro Forma'!E101</f>
        <v>1.003829954009603</v>
      </c>
      <c r="F1129" s="2122">
        <f>'Part VII-Pro Forma'!F101</f>
        <v>0.99408399201219788</v>
      </c>
      <c r="G1129" s="2122">
        <f>'Part VII-Pro Forma'!G101</f>
        <v>0.9844319390563101</v>
      </c>
      <c r="H1129" s="2122">
        <f>'Part VII-Pro Forma'!H101</f>
        <v>0.97487533004734761</v>
      </c>
      <c r="I1129" s="2122">
        <f>'Part VII-Pro Forma'!I101</f>
        <v>0.96541005755537623</v>
      </c>
      <c r="J1129" s="2122">
        <f>'Part VII-Pro Forma'!J101</f>
        <v>0.95603770993805226</v>
      </c>
      <c r="K1129" s="2122">
        <f>'Part VII-Pro Forma'!K101</f>
        <v>0.94675463699631468</v>
      </c>
      <c r="N1129" s="1910"/>
      <c r="O1129" s="1910"/>
    </row>
    <row r="1130" spans="1:15" ht="13.35" customHeight="1">
      <c r="A1130" s="1995" t="s">
        <v>2549</v>
      </c>
      <c r="B1130" s="2122" t="str">
        <f>'Part VII-Pro Forma'!B102</f>
        <v/>
      </c>
      <c r="C1130" s="2122" t="str">
        <f>'Part VII-Pro Forma'!C102</f>
        <v/>
      </c>
      <c r="D1130" s="2122" t="str">
        <f>'Part VII-Pro Forma'!D102</f>
        <v/>
      </c>
      <c r="E1130" s="2122" t="str">
        <f>'Part VII-Pro Forma'!E102</f>
        <v/>
      </c>
      <c r="F1130" s="2122" t="str">
        <f>'Part VII-Pro Forma'!F102</f>
        <v/>
      </c>
      <c r="G1130" s="2122" t="str">
        <f>'Part VII-Pro Forma'!G102</f>
        <v/>
      </c>
      <c r="H1130" s="2122" t="str">
        <f>'Part VII-Pro Forma'!H102</f>
        <v/>
      </c>
      <c r="I1130" s="2122" t="str">
        <f>'Part VII-Pro Forma'!I102</f>
        <v/>
      </c>
      <c r="J1130" s="2122" t="str">
        <f>'Part VII-Pro Forma'!J102</f>
        <v/>
      </c>
      <c r="K1130" s="2122" t="str">
        <f>'Part VII-Pro Forma'!K102</f>
        <v/>
      </c>
      <c r="N1130" s="1910"/>
      <c r="O1130" s="1910"/>
    </row>
    <row r="1131" spans="1:15" ht="13.35" customHeight="1">
      <c r="A1131" s="1995" t="s">
        <v>2550</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2551</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2415</v>
      </c>
      <c r="B1135" s="2122">
        <f>K1105+1</f>
        <v>31</v>
      </c>
      <c r="C1135" s="2122">
        <f>B1135+1</f>
        <v>32</v>
      </c>
      <c r="D1135" s="2122">
        <f>C1135+1</f>
        <v>33</v>
      </c>
      <c r="E1135" s="2122">
        <f>D1135+1</f>
        <v>34</v>
      </c>
      <c r="F1135" s="2122">
        <f>E1135+1</f>
        <v>35</v>
      </c>
      <c r="G1135" s="2122"/>
      <c r="H1135" s="2122"/>
      <c r="I1135" s="2122"/>
      <c r="J1135" s="2122"/>
      <c r="K1135" s="2122"/>
      <c r="N1135" s="1995" t="s">
        <v>3523</v>
      </c>
    </row>
    <row r="1136" spans="1:15" ht="13.35" customHeight="1">
      <c r="A1136" s="1995" t="s">
        <v>2341</v>
      </c>
      <c r="B1136" s="2122">
        <f>'Part VII-Pro Forma'!B108</f>
        <v>584924.88273865485</v>
      </c>
      <c r="C1136" s="2122">
        <f>'Part VII-Pro Forma'!C108</f>
        <v>596623.38039342791</v>
      </c>
      <c r="D1136" s="2122">
        <f>'Part VII-Pro Forma'!D108</f>
        <v>608555.84800129652</v>
      </c>
      <c r="E1136" s="2122">
        <f>'Part VII-Pro Forma'!E108</f>
        <v>620726.96496132249</v>
      </c>
      <c r="F1136" s="2122">
        <f>'Part VII-Pro Forma'!F108</f>
        <v>633141.50426054886</v>
      </c>
      <c r="G1136" s="2122"/>
      <c r="H1136" s="2122"/>
      <c r="I1136" s="2122"/>
      <c r="J1136" s="2122"/>
      <c r="K1136" s="2122"/>
      <c r="N1136" s="1910"/>
      <c r="O1136" s="1910"/>
    </row>
    <row r="1137" spans="1:19" ht="13.35" customHeight="1">
      <c r="A1137" s="1995" t="s">
        <v>994</v>
      </c>
      <c r="B1137" s="2122">
        <f>'Part VII-Pro Forma'!B109</f>
        <v>11698.497654773098</v>
      </c>
      <c r="C1137" s="2122">
        <f>'Part VII-Pro Forma'!C109</f>
        <v>11932.467607868559</v>
      </c>
      <c r="D1137" s="2122">
        <f>'Part VII-Pro Forma'!D109</f>
        <v>12171.116960025933</v>
      </c>
      <c r="E1137" s="2122">
        <f>'Part VII-Pro Forma'!E109</f>
        <v>12414.539299226451</v>
      </c>
      <c r="F1137" s="2122">
        <f>'Part VII-Pro Forma'!F109</f>
        <v>12662.830085210979</v>
      </c>
      <c r="G1137" s="2122"/>
      <c r="H1137" s="2122"/>
      <c r="I1137" s="2122"/>
      <c r="J1137" s="2122"/>
      <c r="K1137" s="2122"/>
      <c r="N1137" s="1910"/>
      <c r="O1137" s="1910"/>
    </row>
    <row r="1138" spans="1:19" ht="13.35" customHeight="1">
      <c r="A1138" s="1995" t="s">
        <v>2342</v>
      </c>
      <c r="B1138" s="2122">
        <f>'Part VII-Pro Forma'!B110</f>
        <v>-41763.636627539956</v>
      </c>
      <c r="C1138" s="2122">
        <f>'Part VII-Pro Forma'!C110</f>
        <v>-42598.909360090758</v>
      </c>
      <c r="D1138" s="2122">
        <f>'Part VII-Pro Forma'!D110</f>
        <v>-43450.887547292579</v>
      </c>
      <c r="E1138" s="2122">
        <f>'Part VII-Pro Forma'!E110</f>
        <v>-44319.905298238431</v>
      </c>
      <c r="F1138" s="2122">
        <f>'Part VII-Pro Forma'!F110</f>
        <v>-45206.303404203194</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4375</v>
      </c>
      <c r="B1141" s="2122">
        <f>'Part VII-Pro Forma'!B113</f>
        <v>554859.74376588792</v>
      </c>
      <c r="C1141" s="2122">
        <f>'Part VII-Pro Forma'!C113</f>
        <v>565956.93864120578</v>
      </c>
      <c r="D1141" s="2122">
        <f>'Part VII-Pro Forma'!D113</f>
        <v>577276.07741402986</v>
      </c>
      <c r="E1141" s="2122">
        <f>'Part VII-Pro Forma'!E113</f>
        <v>588821.59896231059</v>
      </c>
      <c r="F1141" s="2122">
        <f>'Part VII-Pro Forma'!F113</f>
        <v>600598.03094155667</v>
      </c>
      <c r="G1141" s="2122"/>
      <c r="H1141" s="2122"/>
      <c r="I1141" s="2122"/>
      <c r="J1141" s="2122"/>
      <c r="K1141" s="2122"/>
      <c r="N1141" s="1910"/>
      <c r="O1141" s="1910"/>
    </row>
    <row r="1142" spans="1:19" ht="13.35" customHeight="1">
      <c r="A1142" s="1995" t="s">
        <v>597</v>
      </c>
      <c r="B1142" s="2122">
        <f>'Part VII-Pro Forma'!B114</f>
        <v>-503215.20100209775</v>
      </c>
      <c r="C1142" s="2122">
        <f>'Part VII-Pro Forma'!C114</f>
        <v>-518311.65703216079</v>
      </c>
      <c r="D1142" s="2122">
        <f>'Part VII-Pro Forma'!D114</f>
        <v>-533861.0067431255</v>
      </c>
      <c r="E1142" s="2122">
        <f>'Part VII-Pro Forma'!E114</f>
        <v>-549876.83694541932</v>
      </c>
      <c r="F1142" s="2122">
        <f>'Part VII-Pro Forma'!F114</f>
        <v>-566373.14205378178</v>
      </c>
      <c r="G1142" s="2122"/>
      <c r="H1142" s="2122"/>
      <c r="I1142" s="2122"/>
      <c r="J1142" s="2122"/>
      <c r="K1142" s="2122"/>
      <c r="N1142" s="1910"/>
      <c r="O1142" s="1910"/>
    </row>
    <row r="1143" spans="1:19" ht="13.35" customHeight="1">
      <c r="A1143" s="1995" t="s">
        <v>1093</v>
      </c>
      <c r="B1143" s="2122">
        <f>'Part VII-Pro Forma'!B115</f>
        <v>-58254</v>
      </c>
      <c r="C1143" s="2122">
        <f>'Part VII-Pro Forma'!C115</f>
        <v>-60002</v>
      </c>
      <c r="D1143" s="2122">
        <f>'Part VII-Pro Forma'!D115</f>
        <v>-61802</v>
      </c>
      <c r="E1143" s="2122">
        <f>'Part VII-Pro Forma'!E115</f>
        <v>-63656</v>
      </c>
      <c r="F1143" s="2122">
        <f>'Part VII-Pro Forma'!F115</f>
        <v>-65566</v>
      </c>
      <c r="G1143" s="2122"/>
      <c r="H1143" s="2122"/>
      <c r="I1143" s="2122"/>
      <c r="J1143" s="2122"/>
      <c r="K1143" s="2122"/>
      <c r="N1143" s="1910"/>
      <c r="O1143" s="1910"/>
    </row>
    <row r="1144" spans="1:19" ht="13.35" customHeight="1">
      <c r="A1144" s="1995" t="s">
        <v>1176</v>
      </c>
      <c r="B1144" s="2122">
        <f>'Part VII-Pro Forma'!B116</f>
        <v>-30340.780889870737</v>
      </c>
      <c r="C1144" s="2122">
        <f>'Part VII-Pro Forma'!C116</f>
        <v>-31251.004316566865</v>
      </c>
      <c r="D1144" s="2122">
        <f>'Part VII-Pro Forma'!D116</f>
        <v>-32188.534446063866</v>
      </c>
      <c r="E1144" s="2122">
        <f>'Part VII-Pro Forma'!E116</f>
        <v>-33154.190479445781</v>
      </c>
      <c r="F1144" s="2122">
        <f>'Part VII-Pro Forma'!F116</f>
        <v>-34148.816193829152</v>
      </c>
      <c r="G1144" s="2122"/>
      <c r="H1144" s="2122"/>
      <c r="I1144" s="2122"/>
      <c r="J1144" s="2122"/>
      <c r="K1144" s="2122"/>
      <c r="N1144" s="1910"/>
      <c r="O1144" s="1910"/>
      <c r="Q1144" s="1874">
        <v>10</v>
      </c>
      <c r="R1144" s="1900">
        <f>-SUM(B1150:K1150)</f>
        <v>0</v>
      </c>
      <c r="S1144" s="1900">
        <f>SUM(B1151:K1151)+R1144</f>
        <v>0</v>
      </c>
    </row>
    <row r="1145" spans="1:19" ht="13.35" customHeight="1">
      <c r="A1145" s="1995" t="s">
        <v>4374</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-36950.238126080563</v>
      </c>
      <c r="C1146" s="2122">
        <f>'Part VII-Pro Forma'!C118</f>
        <v>-43607.722707521869</v>
      </c>
      <c r="D1146" s="2122">
        <f>'Part VII-Pro Forma'!D118</f>
        <v>-50575.463775159507</v>
      </c>
      <c r="E1146" s="2122">
        <f>'Part VII-Pro Forma'!E118</f>
        <v>-57865.428462554511</v>
      </c>
      <c r="F1146" s="2122">
        <f>'Part VII-Pro Forma'!F118</f>
        <v>-65489.927306054255</v>
      </c>
      <c r="G1146" s="2122"/>
      <c r="H1146" s="2122"/>
      <c r="I1146" s="2122"/>
      <c r="J1146" s="2122"/>
      <c r="K1146" s="2122"/>
      <c r="N1146" s="1910"/>
      <c r="O1146" s="1910"/>
    </row>
    <row r="1147" spans="1:19" ht="13.35" customHeight="1">
      <c r="A1147" s="1995" t="str">
        <f>$A1117</f>
        <v>Mortgage A</v>
      </c>
      <c r="B1147" s="2122">
        <f>'Part VII-Pro Forma'!B119</f>
        <v>0</v>
      </c>
      <c r="C1147" s="2122">
        <f>'Part VII-Pro Forma'!C119</f>
        <v>0</v>
      </c>
      <c r="D1147" s="2122">
        <f>'Part VII-Pro Forma'!D119</f>
        <v>0</v>
      </c>
      <c r="E1147" s="2122">
        <f>'Part VII-Pro Forma'!E119</f>
        <v>0</v>
      </c>
      <c r="F1147" s="2122">
        <f>'Part VII-Pro Forma'!F119</f>
        <v>0</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-5000</v>
      </c>
      <c r="C1152" s="2122">
        <f>'Part VII-Pro Forma'!C124</f>
        <v>-5000</v>
      </c>
      <c r="D1152" s="2122">
        <f>'Part VII-Pro Forma'!D124</f>
        <v>-5000</v>
      </c>
      <c r="E1152" s="2122">
        <f>'Part VII-Pro Forma'!E124</f>
        <v>-5000</v>
      </c>
      <c r="F1152" s="2122">
        <f>'Part VII-Pro Forma'!F124</f>
        <v>-5000</v>
      </c>
      <c r="G1152" s="2122"/>
      <c r="H1152" s="2122"/>
      <c r="I1152" s="2122"/>
      <c r="J1152" s="2122"/>
      <c r="K1152" s="2122"/>
      <c r="N1152" s="1910"/>
      <c r="O1152" s="1910"/>
    </row>
    <row r="1153" spans="1:15" ht="13.35" customHeight="1">
      <c r="A1153" s="1995" t="s">
        <v>1142</v>
      </c>
      <c r="B1153" s="2122">
        <f>'Part VII-Pro Forma'!B125</f>
        <v>-41950.238126080563</v>
      </c>
      <c r="C1153" s="2122">
        <f>'Part VII-Pro Forma'!C125</f>
        <v>-48607.722707521869</v>
      </c>
      <c r="D1153" s="2122">
        <f>'Part VII-Pro Forma'!D125</f>
        <v>-55575.463775159507</v>
      </c>
      <c r="E1153" s="2122">
        <f>'Part VII-Pro Forma'!E125</f>
        <v>-62865.428462554511</v>
      </c>
      <c r="F1153" s="2122">
        <f>'Part VII-Pro Forma'!F125</f>
        <v>-70489.927306054247</v>
      </c>
      <c r="G1153" s="2122"/>
      <c r="H1153" s="2122"/>
      <c r="I1153" s="2122"/>
      <c r="J1153" s="2122"/>
      <c r="K1153" s="2122"/>
      <c r="N1153" s="1910"/>
      <c r="O1153" s="1910"/>
    </row>
    <row r="1154" spans="1:15" ht="13.35" customHeight="1">
      <c r="A1154" s="1995" t="str">
        <f>$A1124</f>
        <v>DCR Mortgage A</v>
      </c>
      <c r="B1154" s="2122" t="str">
        <f>'Part VII-Pro Forma'!B126</f>
        <v/>
      </c>
      <c r="C1154" s="2122" t="str">
        <f>'Part VII-Pro Forma'!C126</f>
        <v/>
      </c>
      <c r="D1154" s="2122" t="str">
        <f>'Part VII-Pro Forma'!D126</f>
        <v/>
      </c>
      <c r="E1154" s="2122" t="str">
        <f>'Part VII-Pro Forma'!E126</f>
        <v/>
      </c>
      <c r="F1154" s="2122" t="str">
        <f>'Part VII-Pro Forma'!F126</f>
        <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3532</v>
      </c>
      <c r="B1158" s="2122" t="str">
        <f>'Part VII-Pro Forma'!B130</f>
        <v/>
      </c>
      <c r="C1158" s="2122" t="str">
        <f>'Part VII-Pro Forma'!C130</f>
        <v/>
      </c>
      <c r="D1158" s="2122" t="str">
        <f>'Part VII-Pro Forma'!D130</f>
        <v/>
      </c>
      <c r="E1158" s="2122" t="str">
        <f>'Part VII-Pro Forma'!E130</f>
        <v/>
      </c>
      <c r="F1158" s="2122" t="str">
        <f>'Part VII-Pro Forma'!F130</f>
        <v/>
      </c>
      <c r="G1158" s="2122"/>
      <c r="H1158" s="2122"/>
      <c r="I1158" s="2122"/>
      <c r="J1158" s="2122"/>
      <c r="K1158" s="2122"/>
      <c r="N1158" s="1910"/>
      <c r="O1158" s="1910"/>
    </row>
    <row r="1159" spans="1:15" ht="13.35" customHeight="1">
      <c r="A1159" s="1995" t="s">
        <v>752</v>
      </c>
      <c r="B1159" s="2122">
        <f>'Part VII-Pro Forma'!B131</f>
        <v>0.93756401673396317</v>
      </c>
      <c r="C1159" s="2122">
        <f>'Part VII-Pro Forma'!C131</f>
        <v>0.92846087466580651</v>
      </c>
      <c r="D1159" s="2122">
        <f>'Part VII-Pro Forma'!D131</f>
        <v>0.91944677928262064</v>
      </c>
      <c r="E1159" s="2122">
        <f>'Part VII-Pro Forma'!E131</f>
        <v>0.91052019600118306</v>
      </c>
      <c r="F1159" s="2122">
        <f>'Part VII-Pro Forma'!F131</f>
        <v>0.90167976091573609</v>
      </c>
      <c r="G1159" s="2122"/>
      <c r="H1159" s="2122"/>
      <c r="I1159" s="2122"/>
      <c r="J1159" s="2122"/>
      <c r="K1159" s="2122"/>
      <c r="N1159" s="1910"/>
      <c r="O1159" s="1910"/>
    </row>
    <row r="1160" spans="1:15" ht="13.35" customHeight="1">
      <c r="A1160" s="1995" t="s">
        <v>2549</v>
      </c>
      <c r="B1160" s="2122" t="str">
        <f>'Part VII-Pro Forma'!B132</f>
        <v/>
      </c>
      <c r="C1160" s="2122" t="str">
        <f>'Part VII-Pro Forma'!C132</f>
        <v/>
      </c>
      <c r="D1160" s="2122" t="str">
        <f>'Part VII-Pro Forma'!D132</f>
        <v/>
      </c>
      <c r="E1160" s="2122" t="str">
        <f>'Part VII-Pro Forma'!E132</f>
        <v/>
      </c>
      <c r="F1160" s="2122" t="str">
        <f>'Part VII-Pro Forma'!F132</f>
        <v/>
      </c>
      <c r="G1160" s="2122"/>
      <c r="H1160" s="2122"/>
      <c r="I1160" s="2122"/>
      <c r="J1160" s="2122"/>
      <c r="K1160" s="2122"/>
      <c r="N1160" s="1910"/>
      <c r="O1160" s="1910"/>
    </row>
    <row r="1161" spans="1:15" ht="13.35" customHeight="1">
      <c r="A1161" s="1995" t="s">
        <v>2550</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2551</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APPLICANTS: Explain any any debt service payment amounts that deviate from the amount shown in Permanent Sources (Part III)</v>
      </c>
      <c r="B1167" s="1887"/>
      <c r="C1167" s="1887"/>
      <c r="D1167" s="1887"/>
      <c r="E1167" s="1887"/>
      <c r="F1167" s="1887"/>
      <c r="G1167" s="1887">
        <f>'Part VII-Pro Forma'!G139</f>
        <v>0</v>
      </c>
      <c r="H1167" s="1887"/>
      <c r="I1167" s="1887"/>
      <c r="J1167" s="1887"/>
      <c r="K1167" s="1887"/>
      <c r="N1167" s="1973" t="s">
        <v>2613</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2020-079 Spring Creek Crossing,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6901</v>
      </c>
      <c r="K1176" s="1990"/>
      <c r="L1176" s="1990"/>
      <c r="M1176" s="1990"/>
      <c r="N1176" s="1990"/>
      <c r="O1176" s="1990"/>
      <c r="P1176" s="2125"/>
      <c r="Q1176" s="2125"/>
      <c r="R1176" s="2103"/>
      <c r="S1176" s="2103"/>
    </row>
    <row r="1177" spans="1:19" ht="12.6" customHeight="1">
      <c r="A1177" s="1771" t="s">
        <v>3335</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1983</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1970</v>
      </c>
      <c r="B1185" s="1956"/>
      <c r="C1185" s="1956"/>
      <c r="D1185" s="1956"/>
      <c r="E1185" s="1956"/>
      <c r="F1185" s="1956"/>
      <c r="G1185" s="1956"/>
      <c r="H1185" s="1956"/>
      <c r="I1185" s="1956"/>
      <c r="J1185" s="1956"/>
      <c r="K1185" s="1956"/>
      <c r="L1185" s="1956"/>
      <c r="M1185" s="1956"/>
      <c r="N1185" s="1956"/>
      <c r="O1185" s="1956"/>
      <c r="P1185" s="1956"/>
      <c r="Q1185" s="1956"/>
      <c r="R1185" s="1973" t="s">
        <v>1983</v>
      </c>
      <c r="S1185" s="1973"/>
    </row>
    <row r="1186" spans="1:19" ht="11.25" customHeight="1">
      <c r="A1186" s="1956" t="s">
        <v>1971</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1972</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1973</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1974</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1975</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1976</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1977</v>
      </c>
      <c r="B1192" s="1956"/>
      <c r="C1192" s="1956"/>
      <c r="D1192" s="1956"/>
      <c r="E1192" s="1956"/>
      <c r="F1192" s="1956"/>
      <c r="G1192" s="1956"/>
      <c r="H1192" s="1956"/>
      <c r="I1192" s="1956"/>
      <c r="J1192" s="1956"/>
      <c r="K1192" s="1956"/>
      <c r="L1192" s="1956"/>
      <c r="M1192" s="1956"/>
      <c r="N1192" s="1956"/>
      <c r="O1192" s="1956"/>
      <c r="P1192" s="1956"/>
      <c r="Q1192" s="1956"/>
      <c r="R1192" s="1973" t="s">
        <v>1983</v>
      </c>
      <c r="S1192" s="1973"/>
    </row>
    <row r="1193" spans="1:19" ht="11.25" customHeight="1">
      <c r="A1193" s="1956" t="s">
        <v>1978</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1979</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1980</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1981</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1982</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2578</v>
      </c>
      <c r="C1199" s="1936"/>
      <c r="D1199" s="449"/>
      <c r="E1199" s="449"/>
      <c r="F1199" s="449"/>
      <c r="G1199" s="449"/>
      <c r="I1199" s="1229"/>
      <c r="J1199" s="1229"/>
      <c r="K1199" s="1229"/>
      <c r="L1199" s="1732"/>
      <c r="M1199" s="1732"/>
      <c r="O1199" s="1942" t="s">
        <v>1820</v>
      </c>
      <c r="P1199" s="1897"/>
      <c r="Q1199" s="1897"/>
    </row>
    <row r="1200" spans="1:19" ht="3" customHeight="1"/>
    <row r="1201" spans="1:32" ht="11.25" customHeight="1">
      <c r="B1201" s="449" t="s">
        <v>3565</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Applicant belives that the proposed project feasible, viable and in conformance with the plan. The overall development and construction costs are considered reasonable and were evaluated by an experienced General Contractor and Engineer. The total Residential square footage as defined by the QAP and calculated by the architect is 59,020 square feet.</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1819</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2630</v>
      </c>
      <c r="C1206" s="1815"/>
      <c r="D1206" s="1815"/>
      <c r="E1206" s="1939"/>
      <c r="G1206" s="1897"/>
      <c r="H1206" s="1897"/>
      <c r="I1206" s="1897"/>
      <c r="J1206" s="1815"/>
      <c r="L1206" s="2120"/>
      <c r="M1206" s="2120"/>
      <c r="N1206" s="2120"/>
      <c r="O1206" s="1942" t="s">
        <v>1820</v>
      </c>
      <c r="P1206" s="1897"/>
      <c r="Q1206" s="1897"/>
    </row>
    <row r="1207" spans="1:32" ht="11.25" customHeight="1">
      <c r="A1207" s="1986"/>
      <c r="B1207" s="1986"/>
      <c r="C1207" s="1986"/>
      <c r="D1207" s="1986"/>
      <c r="E1207" s="1986"/>
      <c r="F1207" s="1986"/>
      <c r="G1207" s="1822" t="s">
        <v>2634</v>
      </c>
      <c r="H1207" s="1822"/>
      <c r="I1207" s="449"/>
      <c r="J1207" s="1815"/>
      <c r="K1207" s="449" t="s">
        <v>3467</v>
      </c>
      <c r="L1207" s="449"/>
      <c r="M1207" s="449"/>
      <c r="N1207" s="449"/>
    </row>
    <row r="1208" spans="1:32" ht="11.25" customHeight="1">
      <c r="A1208" s="1986"/>
      <c r="B1208" s="1986"/>
      <c r="C1208" s="1986"/>
      <c r="D1208" s="1986"/>
      <c r="E1208" s="1986"/>
      <c r="F1208" s="1986"/>
      <c r="G1208" s="1822" t="s">
        <v>341</v>
      </c>
      <c r="H1208" s="1822"/>
      <c r="I1208" s="449"/>
      <c r="J1208" s="1815"/>
      <c r="K1208" s="449" t="s">
        <v>3468</v>
      </c>
      <c r="L1208" s="449"/>
      <c r="M1208" s="449"/>
      <c r="N1208" s="449"/>
      <c r="P1208" s="1868" t="s">
        <v>2649</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4528</v>
      </c>
      <c r="Q1209" s="1849"/>
    </row>
    <row r="1210" spans="1:32" ht="10.5" customHeight="1">
      <c r="D1210" s="1932" t="s">
        <v>2633</v>
      </c>
      <c r="F1210" s="1945" t="s">
        <v>3336</v>
      </c>
      <c r="G1210" s="1945" t="s">
        <v>4452</v>
      </c>
      <c r="H1210" s="1945"/>
      <c r="I1210" s="1945"/>
      <c r="K1210" s="1945" t="s">
        <v>3336</v>
      </c>
      <c r="L1210" s="1945" t="s">
        <v>4451</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3250</v>
      </c>
      <c r="B1211" s="1956"/>
      <c r="C1211" s="1956"/>
      <c r="D1211" s="1933" t="s">
        <v>551</v>
      </c>
      <c r="E1211" s="1229">
        <v>0</v>
      </c>
      <c r="F1211" s="1934" t="str">
        <f>'Part VIII-Threshold Criteria'!F41</f>
        <v/>
      </c>
      <c r="G1211" s="2126">
        <f>'Part VIII-Threshold Criteria'!G41</f>
        <v>172377.60000000001</v>
      </c>
      <c r="H1211" s="1908" t="str">
        <f>'Part VIII-Threshold Criteria'!H41</f>
        <v xml:space="preserve">x  units = </v>
      </c>
      <c r="I1211" s="1875" t="str">
        <f>IF(F1211="","",F1211*G1211)</f>
        <v/>
      </c>
      <c r="J1211" s="1815"/>
      <c r="K1211" s="1934" t="str">
        <f>'Part VIII-Threshold Criteria'!K41</f>
        <v/>
      </c>
      <c r="L1211" s="2126">
        <f>'Part VIII-Threshold Criteria'!L41</f>
        <v>189615.36000000002</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2376</v>
      </c>
      <c r="E1212" s="1229">
        <v>1</v>
      </c>
      <c r="F1212" s="1934" t="str">
        <f>'Part VIII-Threshold Criteria'!F42</f>
        <v/>
      </c>
      <c r="G1212" s="2126">
        <f>'Part VIII-Threshold Criteria'!G42</f>
        <v>213757.4</v>
      </c>
      <c r="H1212" s="1908" t="str">
        <f>'Part VIII-Threshold Criteria'!H42</f>
        <v xml:space="preserve">x  units = </v>
      </c>
      <c r="I1212" s="1875" t="str">
        <f>IF(F1212="","",F1212*G1212)</f>
        <v/>
      </c>
      <c r="J1212" s="1815"/>
      <c r="K1212" s="1934" t="str">
        <f>'Part VIII-Threshold Criteria'!K42</f>
        <v/>
      </c>
      <c r="L1212" s="2126">
        <f>'Part VIII-Threshold Criteria'!L42</f>
        <v>235133.14</v>
      </c>
      <c r="M1212" s="1908" t="str">
        <f>'Part VIII-Threshold Criteria'!M42</f>
        <v xml:space="preserve">x  units = </v>
      </c>
      <c r="N1212" s="1875" t="str">
        <f>IF(K1212="","",K1212*L1212)</f>
        <v/>
      </c>
      <c r="O1212" s="1939"/>
      <c r="P1212" s="2103" t="str">
        <f>'Part VIII-Threshold Criteria'!P42</f>
        <v>Macon</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2377</v>
      </c>
      <c r="E1213" s="1229">
        <v>2</v>
      </c>
      <c r="F1213" s="1934" t="str">
        <f>'Part VIII-Threshold Criteria'!F43</f>
        <v/>
      </c>
      <c r="G1213" s="2126">
        <f>'Part VIII-Threshold Criteria'!G43</f>
        <v>255794.49999999997</v>
      </c>
      <c r="H1213" s="1908" t="str">
        <f>'Part VIII-Threshold Criteria'!H43</f>
        <v xml:space="preserve">x  units = </v>
      </c>
      <c r="I1213" s="1875" t="str">
        <f>IF(F1213="","",F1213*G1213)</f>
        <v/>
      </c>
      <c r="J1213" s="1815"/>
      <c r="K1213" s="1934" t="str">
        <f>'Part VIII-Threshold Criteria'!K43</f>
        <v/>
      </c>
      <c r="L1213" s="2126">
        <f>'Part VIII-Threshold Criteria'!L43</f>
        <v>281373.95</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2378</v>
      </c>
      <c r="E1214" s="1229">
        <v>3</v>
      </c>
      <c r="F1214" s="1934" t="str">
        <f>'Part VIII-Threshold Criteria'!F44</f>
        <v/>
      </c>
      <c r="G1214" s="2126">
        <f>'Part VIII-Threshold Criteria'!G44</f>
        <v>291740.90000000002</v>
      </c>
      <c r="H1214" s="1908" t="str">
        <f>'Part VIII-Threshold Criteria'!H44</f>
        <v xml:space="preserve">x  units = </v>
      </c>
      <c r="I1214" s="1875" t="str">
        <f>IF(F1214="","",F1214*G1214)</f>
        <v/>
      </c>
      <c r="J1214" s="1815"/>
      <c r="K1214" s="1934" t="str">
        <f>'Part VIII-Threshold Criteria'!K44</f>
        <v/>
      </c>
      <c r="L1214" s="2126">
        <f>'Part VIII-Threshold Criteria'!L44</f>
        <v>320914.99000000005</v>
      </c>
      <c r="M1214" s="1908" t="str">
        <f>'Part VIII-Threshold Criteria'!M44</f>
        <v xml:space="preserve">x  units = </v>
      </c>
      <c r="N1214" s="1875" t="str">
        <f>IF(K1214="","",K1214*L1214)</f>
        <v/>
      </c>
      <c r="O1214" s="1939"/>
      <c r="P1214" s="449" t="s">
        <v>4529</v>
      </c>
      <c r="Q1214" s="449"/>
      <c r="W1214" s="1815"/>
      <c r="X1214" s="1918"/>
      <c r="AC1214" s="450"/>
      <c r="AD1214" s="450"/>
      <c r="AE1214" s="450"/>
      <c r="AF1214" s="450"/>
    </row>
    <row r="1215" spans="1:32" ht="10.5" customHeight="1">
      <c r="C1215" s="1815"/>
      <c r="D1215" s="1933" t="s">
        <v>2379</v>
      </c>
      <c r="E1215" s="1229">
        <v>4</v>
      </c>
      <c r="F1215" s="1934" t="str">
        <f>'Part VIII-Threshold Criteria'!F45</f>
        <v/>
      </c>
      <c r="G1215" s="2126">
        <f>'Part VIII-Threshold Criteria'!G45</f>
        <v>343805</v>
      </c>
      <c r="H1215" s="1908" t="str">
        <f>'Part VIII-Threshold Criteria'!H45</f>
        <v xml:space="preserve">x  units = </v>
      </c>
      <c r="I1215" s="1875" t="str">
        <f>IF(F1215="","",F1215*G1215)</f>
        <v/>
      </c>
      <c r="J1215" s="1815"/>
      <c r="K1215" s="1934" t="str">
        <f>'Part VIII-Threshold Criteria'!K45</f>
        <v/>
      </c>
      <c r="L1215" s="2126">
        <f>'Part VIII-Threshold Criteria'!L45</f>
        <v>378185.50000000006</v>
      </c>
      <c r="M1215" s="1908" t="str">
        <f>'Part VIII-Threshold Criteria'!M45</f>
        <v xml:space="preserve">x  units = </v>
      </c>
      <c r="N1215" s="1875" t="str">
        <f>IF(K1215="","",K1215*L1215)</f>
        <v/>
      </c>
      <c r="O1215" s="1939"/>
      <c r="P1215" s="2127">
        <f>'Part IV-A-Uses of Funds'!$G$132</f>
        <v>10856073</v>
      </c>
      <c r="Q1215" s="2127"/>
      <c r="AC1215" s="450"/>
      <c r="AD1215" s="450"/>
      <c r="AE1215" s="450"/>
      <c r="AF1215" s="450"/>
    </row>
    <row r="1216" spans="1:32" ht="10.5" customHeight="1">
      <c r="C1216" s="1815"/>
      <c r="D1216" s="2128" t="s">
        <v>3260</v>
      </c>
      <c r="E1216" s="1910"/>
      <c r="F1216" s="2129">
        <f>SUM(F1211:F1215)</f>
        <v>0</v>
      </c>
      <c r="G1216" s="2130"/>
      <c r="H1216" s="1938"/>
      <c r="I1216" s="2131">
        <f>SUM(I1211:I1215)</f>
        <v>0</v>
      </c>
      <c r="J1216" s="1910"/>
      <c r="K1216" s="2129">
        <f>SUM(K1211:K1215)</f>
        <v>0</v>
      </c>
      <c r="L1216" s="1910"/>
      <c r="M1216" s="1938"/>
      <c r="N1216" s="2131">
        <f>SUM(N1211:N1215)</f>
        <v>0</v>
      </c>
      <c r="O1216" s="1939"/>
      <c r="P1216" s="449" t="s">
        <v>4514</v>
      </c>
      <c r="Q1216" s="449"/>
      <c r="R1216" s="1935" t="s">
        <v>4530</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3245</v>
      </c>
      <c r="B1218" s="1956"/>
      <c r="C1218" s="1956"/>
      <c r="D1218" s="1933" t="s">
        <v>551</v>
      </c>
      <c r="E1218" s="1934">
        <v>0</v>
      </c>
      <c r="F1218" s="1934" t="str">
        <f>'Part VIII-Threshold Criteria'!F48</f>
        <v/>
      </c>
      <c r="G1218" s="2126">
        <f>'Part VIII-Threshold Criteria'!G48</f>
        <v>148159.19999999998</v>
      </c>
      <c r="H1218" s="1908" t="str">
        <f>'Part VIII-Threshold Criteria'!H48</f>
        <v xml:space="preserve">x  units = </v>
      </c>
      <c r="I1218" s="1875" t="str">
        <f>IF(F1218="","",F1218*G1218)</f>
        <v/>
      </c>
      <c r="J1218" s="1815"/>
      <c r="K1218" s="1934" t="s">
        <v>4483</v>
      </c>
      <c r="L1218" s="2126">
        <v>159979.19999999998</v>
      </c>
      <c r="M1218" s="1908" t="s">
        <v>6812</v>
      </c>
      <c r="N1218" s="1875" t="str">
        <f>IF(K1218="","",K1218*L1218)</f>
        <v/>
      </c>
      <c r="P1218" s="2127">
        <f>'Part VIII-Threshold Criteria'!P48</f>
        <v>10492302</v>
      </c>
      <c r="Q1218" s="2127"/>
      <c r="AC1218" s="450"/>
      <c r="AD1218" s="450"/>
      <c r="AE1218" s="450"/>
      <c r="AF1218" s="450"/>
    </row>
    <row r="1219" spans="1:32" ht="10.5" customHeight="1">
      <c r="A1219" s="1956"/>
      <c r="B1219" s="1956"/>
      <c r="C1219" s="1956"/>
      <c r="D1219" s="1933" t="s">
        <v>2376</v>
      </c>
      <c r="E1219" s="1229">
        <v>1</v>
      </c>
      <c r="F1219" s="1934">
        <f>'Part VIII-Threshold Criteria'!F49</f>
        <v>10</v>
      </c>
      <c r="G1219" s="2126">
        <f>'Part VIII-Threshold Criteria'!G49</f>
        <v>185459.34999999998</v>
      </c>
      <c r="H1219" s="1908" t="str">
        <f>'Part VIII-Threshold Criteria'!H49</f>
        <v xml:space="preserve">x 10 units = </v>
      </c>
      <c r="I1219" s="1875">
        <f>IF(F1219="","",F1219*G1219)</f>
        <v>1854593.4999999998</v>
      </c>
      <c r="J1219" s="1815"/>
      <c r="K1219" s="1934" t="s">
        <v>4483</v>
      </c>
      <c r="L1219" s="2126">
        <v>198564.74999999997</v>
      </c>
      <c r="M1219" s="1908" t="s">
        <v>6812</v>
      </c>
      <c r="N1219" s="1875" t="str">
        <f>IF(K1219="","",K1219*L1219)</f>
        <v/>
      </c>
      <c r="P1219" s="1822" t="s">
        <v>3772</v>
      </c>
      <c r="Q1219" s="1822"/>
      <c r="AC1219" s="450"/>
      <c r="AD1219" s="450"/>
      <c r="AE1219" s="450"/>
      <c r="AF1219" s="450"/>
    </row>
    <row r="1220" spans="1:32" ht="10.5" customHeight="1">
      <c r="A1220" s="1956"/>
      <c r="B1220" s="1956"/>
      <c r="C1220" s="1956"/>
      <c r="D1220" s="1933" t="s">
        <v>2377</v>
      </c>
      <c r="E1220" s="1229">
        <v>2</v>
      </c>
      <c r="F1220" s="1934">
        <f>'Part VIII-Threshold Criteria'!F50</f>
        <v>20</v>
      </c>
      <c r="G1220" s="2126">
        <f>'Part VIII-Threshold Criteria'!G50</f>
        <v>224804.3</v>
      </c>
      <c r="H1220" s="1908" t="str">
        <f>'Part VIII-Threshold Criteria'!H50</f>
        <v xml:space="preserve">x 20 units = </v>
      </c>
      <c r="I1220" s="1875">
        <f>IF(F1220="","",F1220*G1220)</f>
        <v>4496086</v>
      </c>
      <c r="J1220" s="1815"/>
      <c r="K1220" s="1934" t="s">
        <v>4483</v>
      </c>
      <c r="L1220" s="2126">
        <v>237737.19999999998</v>
      </c>
      <c r="M1220" s="1908" t="s">
        <v>6812</v>
      </c>
      <c r="N1220" s="1875" t="str">
        <f>IF(K1220="","",K1220*L1220)</f>
        <v/>
      </c>
      <c r="O1220" s="1896"/>
      <c r="P1220" s="2132"/>
      <c r="Q1220" s="2132"/>
      <c r="R1220" s="2240"/>
      <c r="S1220" s="1952" t="s">
        <v>6926</v>
      </c>
      <c r="T1220" s="1952"/>
      <c r="U1220" s="1952"/>
      <c r="V1220" s="1952"/>
      <c r="AC1220" s="450"/>
      <c r="AD1220" s="450"/>
      <c r="AE1220" s="450"/>
      <c r="AF1220" s="450"/>
    </row>
    <row r="1221" spans="1:32" ht="10.5" customHeight="1">
      <c r="C1221" s="1815"/>
      <c r="D1221" s="1933" t="s">
        <v>2378</v>
      </c>
      <c r="E1221" s="1229">
        <v>3</v>
      </c>
      <c r="F1221" s="1934">
        <f>'Part VIII-Threshold Criteria'!F51</f>
        <v>20</v>
      </c>
      <c r="G1221" s="2126">
        <f>'Part VIII-Threshold Criteria'!G51</f>
        <v>262540.30000000005</v>
      </c>
      <c r="H1221" s="1908" t="str">
        <f>'Part VIII-Threshold Criteria'!H51</f>
        <v xml:space="preserve">x 20 units = </v>
      </c>
      <c r="I1221" s="1875">
        <f>IF(F1221="","",F1221*G1221)</f>
        <v>5250806.0000000009</v>
      </c>
      <c r="J1221" s="1815"/>
      <c r="K1221" s="1934" t="s">
        <v>4483</v>
      </c>
      <c r="L1221" s="2126">
        <v>271326</v>
      </c>
      <c r="M1221" s="1908" t="s">
        <v>6812</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2379</v>
      </c>
      <c r="E1222" s="1229">
        <v>4</v>
      </c>
      <c r="F1222" s="1934" t="str">
        <f>'Part VIII-Threshold Criteria'!F52</f>
        <v/>
      </c>
      <c r="G1222" s="2126">
        <f>'Part VIII-Threshold Criteria'!G52</f>
        <v>311483.7</v>
      </c>
      <c r="H1222" s="1908" t="str">
        <f>'Part VIII-Threshold Criteria'!H52</f>
        <v xml:space="preserve">x  units = </v>
      </c>
      <c r="I1222" s="1875" t="str">
        <f>IF(F1222="","",F1222*G1222)</f>
        <v/>
      </c>
      <c r="J1222" s="1815"/>
      <c r="K1222" s="1934" t="s">
        <v>4483</v>
      </c>
      <c r="L1222" s="2126">
        <v>319916.30000000005</v>
      </c>
      <c r="M1222" s="1908" t="s">
        <v>6812</v>
      </c>
      <c r="N1222" s="1875" t="str">
        <f>IF(K1222="","",K1222*L1222)</f>
        <v/>
      </c>
      <c r="O1222" s="1896"/>
      <c r="P1222" s="1849" t="s">
        <v>3463</v>
      </c>
      <c r="Q1222" s="1849"/>
      <c r="S1222" s="1952"/>
      <c r="T1222" s="1952"/>
      <c r="U1222" s="1952"/>
      <c r="V1222" s="1952"/>
      <c r="AC1222" s="450"/>
      <c r="AD1222" s="450"/>
      <c r="AE1222" s="450"/>
      <c r="AF1222" s="450"/>
    </row>
    <row r="1223" spans="1:32" ht="10.5" customHeight="1">
      <c r="C1223" s="1815"/>
      <c r="D1223" s="2128" t="s">
        <v>3260</v>
      </c>
      <c r="E1223" s="1910"/>
      <c r="F1223" s="2129">
        <f>SUM(F1218:F1222)</f>
        <v>50</v>
      </c>
      <c r="G1223" s="2130"/>
      <c r="H1223" s="1938"/>
      <c r="I1223" s="2131">
        <f>SUM(I1218:I1222)</f>
        <v>11601485.5</v>
      </c>
      <c r="J1223" s="1910"/>
      <c r="K1223" s="2129">
        <f>SUM(K1218:K1222)</f>
        <v>0</v>
      </c>
      <c r="L1223" s="1910"/>
      <c r="M1223" s="1938"/>
      <c r="N1223" s="2131">
        <f>SUM(N1218:N1222)</f>
        <v>0</v>
      </c>
      <c r="O1223" s="1896"/>
      <c r="P1223" s="1898" t="s">
        <v>3139</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3246</v>
      </c>
      <c r="C1225" s="1815"/>
      <c r="D1225" s="1933" t="s">
        <v>551</v>
      </c>
      <c r="E1225" s="1229">
        <v>0</v>
      </c>
      <c r="F1225" s="1934" t="str">
        <f>'Part VIII-Threshold Criteria'!F55</f>
        <v/>
      </c>
      <c r="G1225" s="2126">
        <f>'Part VIII-Threshold Criteria'!G55</f>
        <v>130016.4</v>
      </c>
      <c r="H1225" s="1908" t="str">
        <f>'Part VIII-Threshold Criteria'!H55</f>
        <v xml:space="preserve">x  units = </v>
      </c>
      <c r="I1225" s="1875" t="str">
        <f>IF(F1225="","",F1225*G1225)</f>
        <v/>
      </c>
      <c r="J1225" s="1815"/>
      <c r="K1225" s="1934" t="str">
        <f>'Part VIII-Threshold Criteria'!K55</f>
        <v/>
      </c>
      <c r="L1225" s="2126">
        <f>'Part VIII-Threshold Criteria'!L55</f>
        <v>143018.04</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2376</v>
      </c>
      <c r="E1226" s="1229">
        <v>1</v>
      </c>
      <c r="F1226" s="1934" t="str">
        <f>'Part VIII-Threshold Criteria'!F56</f>
        <v/>
      </c>
      <c r="G1226" s="2126">
        <f>'Part VIII-Threshold Criteria'!G56</f>
        <v>170090.75</v>
      </c>
      <c r="H1226" s="1908" t="str">
        <f>'Part VIII-Threshold Criteria'!H56</f>
        <v xml:space="preserve">x  units = </v>
      </c>
      <c r="I1226" s="1875" t="str">
        <f>IF(F1226="","",F1226*G1226)</f>
        <v/>
      </c>
      <c r="J1226" s="1815"/>
      <c r="K1226" s="1934" t="str">
        <f>'Part VIII-Threshold Criteria'!K56</f>
        <v/>
      </c>
      <c r="L1226" s="2126">
        <f>'Part VIII-Threshold Criteria'!L56</f>
        <v>187099.82500000001</v>
      </c>
      <c r="M1226" s="1908" t="str">
        <f>'Part VIII-Threshold Criteria'!M56</f>
        <v xml:space="preserve">x  units = </v>
      </c>
      <c r="N1226" s="1875" t="str">
        <f>IF(K1226="","",K1226*L1226)</f>
        <v/>
      </c>
      <c r="P1226" s="1849" t="s">
        <v>3464</v>
      </c>
      <c r="Q1226" s="1849"/>
      <c r="S1226" s="1952"/>
      <c r="T1226" s="1952"/>
      <c r="U1226" s="1952"/>
      <c r="V1226" s="1952"/>
      <c r="W1226" s="1815"/>
      <c r="AB1226" s="450"/>
      <c r="AC1226" s="450"/>
      <c r="AD1226" s="450"/>
      <c r="AE1226" s="450"/>
      <c r="AF1226" s="450"/>
    </row>
    <row r="1227" spans="1:32" ht="10.5" customHeight="1">
      <c r="C1227" s="1815"/>
      <c r="D1227" s="1933" t="s">
        <v>2377</v>
      </c>
      <c r="E1227" s="1229">
        <v>2</v>
      </c>
      <c r="F1227" s="1934" t="str">
        <f>'Part VIII-Threshold Criteria'!F57</f>
        <v/>
      </c>
      <c r="G1227" s="2126">
        <f>'Part VIII-Threshold Criteria'!G57</f>
        <v>215255.84999999998</v>
      </c>
      <c r="H1227" s="1908" t="str">
        <f>'Part VIII-Threshold Criteria'!H57</f>
        <v xml:space="preserve">x  units = </v>
      </c>
      <c r="I1227" s="1875" t="str">
        <f>IF(F1227="","",F1227*G1227)</f>
        <v/>
      </c>
      <c r="J1227" s="1815"/>
      <c r="K1227" s="1934" t="str">
        <f>'Part VIII-Threshold Criteria'!K57</f>
        <v/>
      </c>
      <c r="L1227" s="2126">
        <f>'Part VIII-Threshold Criteria'!L57</f>
        <v>236781.435</v>
      </c>
      <c r="M1227" s="1908" t="str">
        <f>'Part VIII-Threshold Criteria'!M57</f>
        <v xml:space="preserve">x  units = </v>
      </c>
      <c r="N1227" s="1875" t="str">
        <f>IF(K1227="","",K1227*L1227)</f>
        <v/>
      </c>
      <c r="P1227" s="1898" t="s">
        <v>3139</v>
      </c>
      <c r="Q1227" s="1898" t="s">
        <v>251</v>
      </c>
      <c r="S1227" s="1952"/>
      <c r="T1227" s="1952"/>
      <c r="U1227" s="1952"/>
      <c r="V1227" s="1952"/>
      <c r="W1227" s="1815"/>
      <c r="AB1227" s="450"/>
      <c r="AC1227" s="450"/>
      <c r="AD1227" s="450"/>
      <c r="AE1227" s="450"/>
      <c r="AF1227" s="450"/>
    </row>
    <row r="1228" spans="1:32" ht="10.5" customHeight="1">
      <c r="C1228" s="1815"/>
      <c r="D1228" s="1933" t="s">
        <v>2378</v>
      </c>
      <c r="E1228" s="1229">
        <v>3</v>
      </c>
      <c r="F1228" s="1934" t="str">
        <f>'Part VIII-Threshold Criteria'!F58</f>
        <v/>
      </c>
      <c r="G1228" s="2126">
        <f>'Part VIII-Threshold Criteria'!G58</f>
        <v>271257.80000000005</v>
      </c>
      <c r="H1228" s="1908" t="str">
        <f>'Part VIII-Threshold Criteria'!H58</f>
        <v xml:space="preserve">x  units = </v>
      </c>
      <c r="I1228" s="1875" t="str">
        <f>IF(F1228="","",F1228*G1228)</f>
        <v/>
      </c>
      <c r="J1228" s="1815"/>
      <c r="K1228" s="1934" t="str">
        <f>'Part VIII-Threshold Criteria'!K58</f>
        <v/>
      </c>
      <c r="L1228" s="2126">
        <f>'Part VIII-Threshold Criteria'!L58</f>
        <v>298383.58000000007</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2379</v>
      </c>
      <c r="E1229" s="1229">
        <v>4</v>
      </c>
      <c r="F1229" s="1934" t="str">
        <f>'Part VIII-Threshold Criteria'!F59</f>
        <v/>
      </c>
      <c r="G1229" s="2126">
        <f>'Part VIII-Threshold Criteria'!G59</f>
        <v>336185.30000000005</v>
      </c>
      <c r="H1229" s="1908" t="str">
        <f>'Part VIII-Threshold Criteria'!H59</f>
        <v xml:space="preserve">x  units = </v>
      </c>
      <c r="I1229" s="1875" t="str">
        <f>IF(F1229="","",F1229*G1229)</f>
        <v/>
      </c>
      <c r="J1229" s="1815"/>
      <c r="K1229" s="1934" t="str">
        <f>'Part VIII-Threshold Criteria'!K59</f>
        <v/>
      </c>
      <c r="L1229" s="2126">
        <f>'Part VIII-Threshold Criteria'!L59</f>
        <v>369803.83000000007</v>
      </c>
      <c r="M1229" s="1908" t="str">
        <f>'Part VIII-Threshold Criteria'!M59</f>
        <v xml:space="preserve">x  units = </v>
      </c>
      <c r="N1229" s="1875" t="str">
        <f>IF(K1229="","",K1229*L1229)</f>
        <v/>
      </c>
      <c r="O1229" s="1896"/>
      <c r="P1229" s="1995" t="s">
        <v>2678</v>
      </c>
      <c r="S1229" s="1952"/>
      <c r="T1229" s="1952"/>
      <c r="U1229" s="1952"/>
      <c r="V1229" s="1952"/>
      <c r="W1229" s="1815"/>
      <c r="AB1229" s="450"/>
      <c r="AC1229" s="450"/>
      <c r="AD1229" s="450"/>
      <c r="AE1229" s="450"/>
      <c r="AF1229" s="450"/>
    </row>
    <row r="1230" spans="1:32" ht="10.5" customHeight="1">
      <c r="C1230" s="1815"/>
      <c r="D1230" s="2128" t="s">
        <v>3260</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3247</v>
      </c>
      <c r="C1232" s="1815"/>
      <c r="D1232" s="1933" t="s">
        <v>551</v>
      </c>
      <c r="E1232" s="1229">
        <v>0</v>
      </c>
      <c r="F1232" s="1934" t="str">
        <f>'Part VIII-Threshold Criteria'!F62</f>
        <v/>
      </c>
      <c r="G1232" s="2126">
        <f>'Part VIII-Threshold Criteria'!G62</f>
        <v>134386.79999999999</v>
      </c>
      <c r="H1232" s="1908" t="str">
        <f>'Part VIII-Threshold Criteria'!H62</f>
        <v xml:space="preserve">x  units = </v>
      </c>
      <c r="I1232" s="1875" t="str">
        <f>IF(F1232="","",F1232*G1232)</f>
        <v/>
      </c>
      <c r="J1232" s="1815"/>
      <c r="K1232" s="1934" t="str">
        <f>'Part VIII-Threshold Criteria'!K62</f>
        <v/>
      </c>
      <c r="L1232" s="2126">
        <f>'Part VIII-Threshold Criteria'!L62</f>
        <v>147825.48000000001</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2376</v>
      </c>
      <c r="E1233" s="1229">
        <v>1</v>
      </c>
      <c r="F1233" s="1934" t="str">
        <f>'Part VIII-Threshold Criteria'!F63</f>
        <v/>
      </c>
      <c r="G1233" s="2126">
        <f>'Part VIII-Threshold Criteria'!G63</f>
        <v>180301.59999999998</v>
      </c>
      <c r="H1233" s="1908" t="str">
        <f>'Part VIII-Threshold Criteria'!H63</f>
        <v xml:space="preserve">x  units = </v>
      </c>
      <c r="I1233" s="1875" t="str">
        <f>IF(F1233="","",F1233*G1233)</f>
        <v/>
      </c>
      <c r="J1233" s="1815"/>
      <c r="K1233" s="1934" t="str">
        <f>'Part VIII-Threshold Criteria'!K63</f>
        <v/>
      </c>
      <c r="L1233" s="2126">
        <f>'Part VIII-Threshold Criteria'!L63</f>
        <v>198331.75999999998</v>
      </c>
      <c r="M1233" s="1908" t="str">
        <f>'Part VIII-Threshold Criteria'!M63</f>
        <v xml:space="preserve">x  units = </v>
      </c>
      <c r="N1233" s="1875" t="str">
        <f>IF(K1233="","",K1233*L1233)</f>
        <v/>
      </c>
      <c r="O1233" s="1896"/>
      <c r="P1233" s="2133">
        <f>'Part VIII-Threshold Criteria'!P63</f>
        <v>11601485.5</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2377</v>
      </c>
      <c r="E1234" s="1229">
        <v>2</v>
      </c>
      <c r="F1234" s="1934" t="str">
        <f>'Part VIII-Threshold Criteria'!F64</f>
        <v/>
      </c>
      <c r="G1234" s="2126">
        <f>'Part VIII-Threshold Criteria'!G64</f>
        <v>231815.84999999998</v>
      </c>
      <c r="H1234" s="1908" t="str">
        <f>'Part VIII-Threshold Criteria'!H64</f>
        <v xml:space="preserve">x  units = </v>
      </c>
      <c r="I1234" s="1875" t="str">
        <f>IF(F1234="","",F1234*G1234)</f>
        <v/>
      </c>
      <c r="J1234" s="1815"/>
      <c r="K1234" s="1934" t="str">
        <f>'Part VIII-Threshold Criteria'!K64</f>
        <v/>
      </c>
      <c r="L1234" s="2126">
        <f>'Part VIII-Threshold Criteria'!L64</f>
        <v>254997.435</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2378</v>
      </c>
      <c r="E1235" s="1229">
        <v>3</v>
      </c>
      <c r="F1235" s="1934" t="str">
        <f>'Part VIII-Threshold Criteria'!F65</f>
        <v/>
      </c>
      <c r="G1235" s="2126">
        <f>'Part VIII-Threshold Criteria'!G65</f>
        <v>295650.30000000005</v>
      </c>
      <c r="H1235" s="1908" t="str">
        <f>'Part VIII-Threshold Criteria'!H65</f>
        <v xml:space="preserve">x  units = </v>
      </c>
      <c r="I1235" s="1875" t="str">
        <f>IF(F1235="","",F1235*G1235)</f>
        <v/>
      </c>
      <c r="J1235" s="1815"/>
      <c r="K1235" s="1934" t="str">
        <f>'Part VIII-Threshold Criteria'!K65</f>
        <v/>
      </c>
      <c r="L1235" s="2126">
        <f>'Part VIII-Threshold Criteria'!L65</f>
        <v>325215.33000000007</v>
      </c>
      <c r="M1235" s="1908" t="str">
        <f>'Part VIII-Threshold Criteria'!M65</f>
        <v xml:space="preserve">x  units = </v>
      </c>
      <c r="N1235" s="1875" t="str">
        <f>IF(K1235="","",K1235*L1235)</f>
        <v/>
      </c>
      <c r="P1235" s="1986" t="s">
        <v>6809</v>
      </c>
      <c r="Q1235" s="1986"/>
      <c r="R1235" s="2240"/>
      <c r="V1235" s="1815"/>
      <c r="W1235" s="1815"/>
      <c r="X1235" s="1918"/>
      <c r="Y1235" s="1815"/>
      <c r="Z1235" s="449"/>
      <c r="AA1235" s="450"/>
      <c r="AB1235" s="450"/>
      <c r="AC1235" s="450"/>
      <c r="AD1235" s="450"/>
      <c r="AE1235" s="450"/>
      <c r="AF1235" s="450"/>
    </row>
    <row r="1236" spans="1:32" ht="10.5" customHeight="1">
      <c r="C1236" s="1815"/>
      <c r="D1236" s="1933" t="s">
        <v>2379</v>
      </c>
      <c r="E1236" s="1229">
        <v>4</v>
      </c>
      <c r="F1236" s="1934" t="str">
        <f>'Part VIII-Threshold Criteria'!F66</f>
        <v/>
      </c>
      <c r="G1236" s="2126">
        <f>'Part VIII-Threshold Criteria'!G66</f>
        <v>369562.60000000003</v>
      </c>
      <c r="H1236" s="1908" t="str">
        <f>'Part VIII-Threshold Criteria'!H66</f>
        <v xml:space="preserve">x  units = </v>
      </c>
      <c r="I1236" s="1875" t="str">
        <f>IF(F1236="","",F1236*G1236)</f>
        <v/>
      </c>
      <c r="J1236" s="1815"/>
      <c r="K1236" s="1934" t="str">
        <f>'Part VIII-Threshold Criteria'!K66</f>
        <v/>
      </c>
      <c r="L1236" s="2126">
        <f>'Part VIII-Threshold Criteria'!L66</f>
        <v>406518.86000000004</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3260</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3261</v>
      </c>
      <c r="B1239" s="1815"/>
      <c r="C1239" s="1815"/>
      <c r="D1239" s="1815"/>
      <c r="E1239" s="1897"/>
      <c r="F1239" s="2134">
        <f>F1216+F1223+F1230+F1237</f>
        <v>50</v>
      </c>
      <c r="G1239" s="1849"/>
      <c r="H1239" s="1858">
        <f>I1216+I1223+I1230+I1237</f>
        <v>11601485.5</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3565</v>
      </c>
      <c r="D1240" s="1908"/>
      <c r="E1240" s="1908"/>
      <c r="F1240" s="1908"/>
      <c r="G1240" s="1908"/>
      <c r="H1240" s="1908"/>
      <c r="I1240" s="1229"/>
      <c r="J1240" s="1229"/>
      <c r="K1240" s="1936" t="s">
        <v>1819</v>
      </c>
      <c r="L1240" s="1732"/>
      <c r="M1240" s="1732"/>
      <c r="N1240" s="1732"/>
      <c r="O1240" s="1732"/>
      <c r="P1240" s="1986"/>
      <c r="Q1240" s="1986"/>
    </row>
    <row r="1241" spans="1:32" ht="10.5" customHeight="1">
      <c r="A1241" s="1936" t="str">
        <f>'Part VIII-Threshold Criteria'!A71</f>
        <v>The projects total development cost is below the cost limits.</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4553</v>
      </c>
      <c r="H1243" s="1939"/>
      <c r="J1243" s="449" t="str">
        <f>'Part I-Project Information'!$H$82</f>
        <v>Family</v>
      </c>
      <c r="K1243" s="449"/>
      <c r="L1243" s="449"/>
      <c r="O1243" s="1942" t="s">
        <v>1820</v>
      </c>
      <c r="P1243" s="1897"/>
      <c r="Q1243" s="1897"/>
    </row>
    <row r="1244" spans="1:32" ht="10.5" customHeight="1">
      <c r="B1244" s="1908" t="s">
        <v>3565</v>
      </c>
      <c r="D1244" s="1908"/>
      <c r="E1244" s="1908"/>
      <c r="F1244" s="1908"/>
      <c r="G1244" s="1908"/>
      <c r="H1244" s="1908"/>
      <c r="I1244" s="1229"/>
      <c r="J1244" s="1229"/>
      <c r="K1244" s="1936" t="s">
        <v>1819</v>
      </c>
      <c r="L1244" s="1732"/>
      <c r="M1244" s="1732"/>
      <c r="N1244" s="1732"/>
      <c r="O1244" s="1732"/>
      <c r="P1244" s="1732"/>
      <c r="Q1244" s="1732"/>
    </row>
    <row r="1245" spans="1:32" ht="10.5" customHeight="1">
      <c r="A1245" s="1936" t="str">
        <f>'Part VIII-Threshold Criteria'!A75</f>
        <v>The Applicant is targeting a family tenancy for the development.</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2579</v>
      </c>
      <c r="C1247" s="1908"/>
      <c r="D1247" s="1939"/>
      <c r="E1247" s="1939"/>
      <c r="F1247" s="1939"/>
      <c r="G1247" s="1939"/>
      <c r="H1247" s="1939"/>
      <c r="I1247" s="1939"/>
      <c r="J1247" s="1939"/>
      <c r="L1247" s="1940" t="s">
        <v>4249</v>
      </c>
      <c r="M1247" s="1229" t="s">
        <v>4250</v>
      </c>
      <c r="O1247" s="1942" t="s">
        <v>1820</v>
      </c>
      <c r="P1247" s="1897"/>
      <c r="Q1247" s="1897"/>
    </row>
    <row r="1248" spans="1:32" ht="1.5" customHeight="1"/>
    <row r="1249" spans="1:31" ht="12" customHeight="1">
      <c r="A1249" s="1942" t="s">
        <v>1935</v>
      </c>
      <c r="B1249" s="1936" t="s">
        <v>4242</v>
      </c>
      <c r="C1249" s="1936"/>
      <c r="D1249" s="1936"/>
      <c r="E1249" s="1936"/>
      <c r="F1249" s="1936"/>
      <c r="G1249" s="1936"/>
      <c r="H1249" s="1936"/>
      <c r="I1249" s="1936"/>
      <c r="J1249" s="1936"/>
      <c r="L1249" s="1938" t="s">
        <v>2806</v>
      </c>
      <c r="M1249" s="1817">
        <v>2</v>
      </c>
      <c r="N1249" s="1936" t="s">
        <v>4698</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4248</v>
      </c>
      <c r="M1250" s="1938">
        <v>4</v>
      </c>
      <c r="O1250" s="1936"/>
      <c r="P1250" s="449"/>
      <c r="Q1250" s="449"/>
    </row>
    <row r="1251" spans="1:31" ht="12" customHeight="1">
      <c r="A1251" s="1940" t="s">
        <v>1937</v>
      </c>
      <c r="B1251" s="1936" t="s">
        <v>4251</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4255</v>
      </c>
      <c r="D1252" s="1936"/>
      <c r="E1252" s="1936"/>
      <c r="F1252" s="1936"/>
      <c r="G1252" s="1936"/>
      <c r="H1252" s="1936"/>
      <c r="I1252" s="1936"/>
      <c r="J1252" s="1936"/>
      <c r="K1252" s="1936"/>
      <c r="L1252" s="1936"/>
      <c r="N1252" s="1936" t="s">
        <v>4699</v>
      </c>
      <c r="O1252" s="1936"/>
      <c r="P1252" s="1229">
        <f>'Part VIII-Threshold Criteria'!P82</f>
        <v>0</v>
      </c>
      <c r="Q1252" s="1229"/>
    </row>
    <row r="1253" spans="1:31" ht="12" customHeight="1">
      <c r="A1253" s="1940"/>
      <c r="B1253" s="1939" t="s">
        <v>1695</v>
      </c>
      <c r="C1253" s="1936" t="s">
        <v>4252</v>
      </c>
      <c r="D1253" s="1936"/>
      <c r="E1253" s="1936"/>
      <c r="F1253" s="1936"/>
      <c r="G1253" s="1936"/>
      <c r="H1253" s="1936"/>
      <c r="I1253" s="1936"/>
      <c r="J1253" s="1936"/>
      <c r="K1253" s="1936"/>
      <c r="L1253" s="1936"/>
      <c r="N1253" s="1936" t="s">
        <v>4700</v>
      </c>
      <c r="O1253" s="1936"/>
      <c r="P1253" s="1229" t="str">
        <f>'Part VIII-Threshold Criteria'!P83</f>
        <v>Agree</v>
      </c>
      <c r="Q1253" s="1229"/>
    </row>
    <row r="1254" spans="1:31" ht="12" customHeight="1">
      <c r="A1254" s="1942"/>
      <c r="B1254" s="1939" t="s">
        <v>1696</v>
      </c>
      <c r="C1254" s="1936" t="s">
        <v>4253</v>
      </c>
      <c r="E1254" s="1936"/>
      <c r="F1254" s="1936"/>
      <c r="G1254" s="1936"/>
      <c r="H1254" s="1936"/>
      <c r="I1254" s="1936"/>
      <c r="J1254" s="1936"/>
      <c r="K1254" s="1936"/>
      <c r="L1254" s="1936"/>
      <c r="M1254" s="1936"/>
      <c r="N1254" s="1936" t="s">
        <v>4701</v>
      </c>
      <c r="O1254" s="1936"/>
      <c r="P1254" s="1229" t="str">
        <f>'Part VIII-Threshold Criteria'!P84</f>
        <v>Agree</v>
      </c>
      <c r="Q1254" s="1229"/>
    </row>
    <row r="1255" spans="1:31" ht="11.1" customHeight="1">
      <c r="A1255" s="1982"/>
      <c r="B1255" s="1939" t="s">
        <v>2304</v>
      </c>
      <c r="C1255" s="1939" t="s">
        <v>4256</v>
      </c>
      <c r="D1255" s="449"/>
      <c r="E1255" s="449"/>
      <c r="F1255" s="449"/>
      <c r="G1255" s="449"/>
      <c r="H1255" s="449"/>
      <c r="I1255" s="1815"/>
      <c r="J1255" s="1815"/>
      <c r="N1255" s="1936" t="s">
        <v>4702</v>
      </c>
      <c r="O1255" s="1936"/>
      <c r="P1255" s="1229">
        <f>'Part VIII-Threshold Criteria'!P85</f>
        <v>0</v>
      </c>
      <c r="Q1255" s="1229"/>
    </row>
    <row r="1256" spans="1:31" ht="11.1" customHeight="1">
      <c r="A1256" s="1982"/>
      <c r="B1256" s="1939"/>
      <c r="C1256" s="1936" t="s">
        <v>4257</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4254</v>
      </c>
      <c r="D1257" s="1936"/>
      <c r="E1257" s="1936"/>
      <c r="F1257" s="1936"/>
      <c r="G1257" s="1936"/>
      <c r="H1257" s="1936"/>
      <c r="I1257" s="1936"/>
      <c r="J1257" s="1936"/>
      <c r="K1257" s="1936"/>
      <c r="L1257" s="1936"/>
      <c r="M1257" s="1945"/>
      <c r="N1257" s="1936" t="s">
        <v>4703</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3565</v>
      </c>
      <c r="D1259" s="1908"/>
      <c r="E1259" s="1908"/>
      <c r="F1259" s="1908"/>
      <c r="G1259" s="1908"/>
      <c r="H1259" s="1908"/>
      <c r="I1259" s="1229"/>
      <c r="J1259" s="1229"/>
      <c r="K1259" s="1936" t="s">
        <v>1819</v>
      </c>
      <c r="L1259" s="1732"/>
      <c r="M1259" s="1732"/>
      <c r="N1259" s="1732"/>
      <c r="O1259" s="1732"/>
      <c r="P1259" s="1732"/>
      <c r="Q1259" s="1732"/>
    </row>
    <row r="1260" spans="1:31" ht="10.5" customHeight="1">
      <c r="A1260" s="1936" t="str">
        <f>'Part VIII-Threshold Criteria'!A90</f>
        <v>Applicant certifies that they will include the number and kinds of services required in the QAP for the proposed tenancy. The proposed development will consist of 50 units.</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4692</v>
      </c>
      <c r="C1262" s="1922"/>
      <c r="D1262" s="1939"/>
      <c r="E1262" s="1939"/>
      <c r="F1262" s="1939"/>
      <c r="G1262" s="1939"/>
      <c r="H1262" s="1229" t="str">
        <f>'Part I-Project Information'!$K$40</f>
        <v>Rural</v>
      </c>
      <c r="J1262" s="1940" t="s">
        <v>4697</v>
      </c>
      <c r="K1262" s="449" t="str">
        <f>'Part I-Project Information'!$H$105</f>
        <v>Rural</v>
      </c>
      <c r="L1262" s="1940" t="s">
        <v>4308</v>
      </c>
      <c r="M1262" s="1908" t="str">
        <f>'Part I-Project Information'!$H$82</f>
        <v>Family</v>
      </c>
      <c r="O1262" s="1942" t="s">
        <v>1820</v>
      </c>
      <c r="P1262" s="1897"/>
      <c r="Q1262" s="1897"/>
    </row>
    <row r="1263" spans="1:31" ht="3" customHeight="1"/>
    <row r="1264" spans="1:31" ht="10.5" customHeight="1">
      <c r="A1264" s="1940" t="s">
        <v>1935</v>
      </c>
      <c r="B1264" s="449" t="s">
        <v>2395</v>
      </c>
      <c r="D1264" s="449"/>
      <c r="E1264" s="449"/>
      <c r="F1264" s="449"/>
      <c r="G1264" s="449"/>
      <c r="H1264" s="449"/>
      <c r="I1264" s="1815"/>
      <c r="J1264" s="1815"/>
      <c r="K1264" s="1815"/>
      <c r="L1264" s="1940" t="s">
        <v>1935</v>
      </c>
      <c r="M1264" s="449" t="str">
        <f>'Part VIII-Threshold Criteria'!M94</f>
        <v>Novogradac &amp; Company, LLP</v>
      </c>
      <c r="N1264" s="449"/>
      <c r="O1264" s="449"/>
      <c r="P1264" s="1815"/>
      <c r="Q1264" s="1229"/>
    </row>
    <row r="1265" spans="1:31" ht="10.5" customHeight="1">
      <c r="A1265" s="1940" t="s">
        <v>1937</v>
      </c>
      <c r="B1265" s="449" t="s">
        <v>4554</v>
      </c>
      <c r="D1265" s="449"/>
      <c r="E1265" s="449"/>
      <c r="F1265" s="449"/>
      <c r="L1265" s="1940" t="s">
        <v>1937</v>
      </c>
      <c r="M1265" s="449" t="str">
        <f>'Part VIII-Threshold Criteria'!M95</f>
        <v>Four to Five months</v>
      </c>
      <c r="N1265" s="449"/>
      <c r="O1265" s="449"/>
      <c r="P1265" s="1815"/>
      <c r="Q1265" s="1229"/>
    </row>
    <row r="1266" spans="1:31" ht="10.5" customHeight="1">
      <c r="A1266" s="1940" t="s">
        <v>731</v>
      </c>
      <c r="B1266" s="449" t="s">
        <v>2777</v>
      </c>
      <c r="D1266" s="449"/>
      <c r="E1266" s="449"/>
      <c r="F1266" s="449"/>
      <c r="L1266" s="1940" t="s">
        <v>731</v>
      </c>
      <c r="M1266" s="2136">
        <f>'Part VIII-Threshold Criteria'!M96</f>
        <v>0.98699999999999999</v>
      </c>
      <c r="N1266" s="2136"/>
      <c r="O1266" s="2136"/>
      <c r="P1266" s="2225"/>
      <c r="Q1266" s="1229"/>
    </row>
    <row r="1267" spans="1:31" ht="10.5" customHeight="1">
      <c r="A1267" s="1940" t="s">
        <v>2064</v>
      </c>
      <c r="B1267" s="449" t="s">
        <v>3664</v>
      </c>
      <c r="D1267" s="449"/>
      <c r="E1267" s="449"/>
      <c r="F1267" s="449"/>
      <c r="L1267" s="1940" t="s">
        <v>3665</v>
      </c>
      <c r="M1267" s="2226">
        <f>'Part VIII-Threshold Criteria'!M97</f>
        <v>0.126</v>
      </c>
      <c r="N1267" s="2136"/>
      <c r="O1267" s="1941" t="s">
        <v>3804</v>
      </c>
      <c r="P1267" s="1985" t="str">
        <f>'Part VIII-Threshold Criteria'!P97</f>
        <v>N/A</v>
      </c>
      <c r="Q1267" s="1229"/>
    </row>
    <row r="1268" spans="1:31" ht="10.5" customHeight="1">
      <c r="A1268" s="1940" t="s">
        <v>1692</v>
      </c>
      <c r="B1268" s="449" t="s">
        <v>4555</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2316</v>
      </c>
      <c r="E1269" s="1908" t="s">
        <v>599</v>
      </c>
      <c r="F1269" s="1908"/>
      <c r="H1269" s="449"/>
      <c r="I1269" s="1229" t="s">
        <v>2316</v>
      </c>
      <c r="J1269" s="1908" t="s">
        <v>599</v>
      </c>
      <c r="K1269" s="1908"/>
      <c r="M1269" s="449"/>
      <c r="N1269" s="1229" t="s">
        <v>2316</v>
      </c>
      <c r="O1269" s="1908" t="s">
        <v>599</v>
      </c>
      <c r="P1269" s="1908"/>
      <c r="Q1269" s="1940"/>
    </row>
    <row r="1270" spans="1:31" ht="10.5" customHeight="1">
      <c r="C1270" s="1940" t="s">
        <v>1694</v>
      </c>
      <c r="D1270" s="1229" t="str">
        <f>'Part VIII-Threshold Criteria'!D100</f>
        <v>2003-029</v>
      </c>
      <c r="E1270" s="449" t="str">
        <f>'Part VIII-Threshold Criteria'!E100</f>
        <v>Country Village</v>
      </c>
      <c r="F1270" s="449"/>
      <c r="G1270" s="449"/>
      <c r="H1270" s="1940" t="s">
        <v>1696</v>
      </c>
      <c r="I1270" s="1229" t="str">
        <f>'Part VIII-Threshold Criteria'!I100</f>
        <v>1992-016</v>
      </c>
      <c r="J1270" s="449" t="str">
        <f>'Part VIII-Threshold Criteria'!J100</f>
        <v>Whitewater Village, LP</v>
      </c>
      <c r="K1270" s="449"/>
      <c r="L1270" s="449"/>
      <c r="M1270" s="1940" t="s">
        <v>1516</v>
      </c>
      <c r="N1270" s="1229">
        <f>'Part VIII-Threshold Criteria'!N100</f>
        <v>0</v>
      </c>
      <c r="O1270" s="449">
        <f>'Part VIII-Threshold Criteria'!O100</f>
        <v>0</v>
      </c>
      <c r="P1270" s="449"/>
      <c r="Q1270" s="449"/>
    </row>
    <row r="1271" spans="1:31" ht="10.5" customHeight="1">
      <c r="C1271" s="1940" t="s">
        <v>1695</v>
      </c>
      <c r="D1271" s="1229" t="str">
        <f>'Part VIII-Threshold Criteria'!D101</f>
        <v>1992-017</v>
      </c>
      <c r="E1271" s="449" t="str">
        <f>'Part VIII-Threshold Criteria'!E101</f>
        <v>Marshall Lane LP</v>
      </c>
      <c r="F1271" s="449"/>
      <c r="G1271" s="449"/>
      <c r="H1271" s="1940" t="s">
        <v>2304</v>
      </c>
      <c r="I1271" s="1229">
        <f>'Part VIII-Threshold Criteria'!I101</f>
        <v>0</v>
      </c>
      <c r="J1271" s="449">
        <f>'Part VIII-Threshold Criteria'!J101</f>
        <v>0</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1899</v>
      </c>
      <c r="B1273" s="1936" t="s">
        <v>6868</v>
      </c>
      <c r="C1273" s="1936"/>
      <c r="D1273" s="1936"/>
      <c r="E1273" s="1936"/>
      <c r="F1273" s="1936"/>
      <c r="G1273" s="1936"/>
      <c r="H1273" s="1936"/>
      <c r="I1273" s="1936"/>
      <c r="J1273" s="1936"/>
      <c r="K1273" s="1936"/>
      <c r="L1273" s="1936"/>
      <c r="M1273" s="1936"/>
      <c r="N1273" s="1936"/>
      <c r="O1273" s="1942" t="s">
        <v>4787</v>
      </c>
      <c r="P1273" s="1938" t="str">
        <f>'Part VIII-Threshold Criteria'!P103</f>
        <v>Yes</v>
      </c>
      <c r="Q1273" s="1938"/>
    </row>
    <row r="1274" spans="1:31" s="1815" customFormat="1" ht="10.5" customHeight="1">
      <c r="A1274" s="1940"/>
      <c r="B1274" s="1939" t="s">
        <v>1695</v>
      </c>
      <c r="C1274" s="449" t="s">
        <v>4788</v>
      </c>
      <c r="D1274" s="449"/>
      <c r="E1274" s="449"/>
      <c r="F1274" s="449"/>
      <c r="G1274" s="449"/>
      <c r="H1274" s="449"/>
      <c r="K1274" s="449"/>
      <c r="L1274" s="1908"/>
      <c r="M1274" s="1908"/>
      <c r="O1274" s="1940" t="s">
        <v>1695</v>
      </c>
      <c r="P1274" s="1229">
        <f>'Part VIII-Threshold Criteria'!P104</f>
        <v>0</v>
      </c>
      <c r="Q1274" s="1229"/>
    </row>
    <row r="1275" spans="1:31" ht="9.75" customHeight="1">
      <c r="B1275" s="1908" t="s">
        <v>3565</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Please see Tab 5 of this application for the Market Study. The overall stabalized vacancy in the market is low at only 1.3%. The Pines At Westdale is the only LIHTC comparable reporting vacant units. The market analyst's contact at this property reports that all five vacant units are being processed from the waiting list, which consists of 62 households. Further, the remaining LIHTC comparables also reported maintaining waiting lists ranging from 12 to over 150 households, indicating strong demand for affordable housing in the area.</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1819</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2580</v>
      </c>
      <c r="C1279" s="1922"/>
      <c r="D1279" s="1939"/>
      <c r="E1279" s="1939"/>
      <c r="F1279" s="1939"/>
      <c r="G1279" s="1939"/>
      <c r="H1279" s="1939"/>
      <c r="I1279" s="1939"/>
      <c r="J1279" s="1939"/>
      <c r="K1279" s="1939"/>
      <c r="L1279" s="1939"/>
      <c r="M1279" s="1939"/>
      <c r="O1279" s="1942" t="s">
        <v>1820</v>
      </c>
      <c r="P1279" s="1897"/>
      <c r="Q1279" s="1897"/>
    </row>
    <row r="1280" spans="1:31" ht="3" customHeight="1"/>
    <row r="1281" spans="1:17" ht="10.5" customHeight="1">
      <c r="A1281" s="1940" t="s">
        <v>1935</v>
      </c>
      <c r="B1281" s="449" t="s">
        <v>4704</v>
      </c>
      <c r="C1281" s="449"/>
      <c r="E1281" s="449"/>
      <c r="F1281" s="449"/>
      <c r="G1281" s="449"/>
      <c r="H1281" s="449"/>
      <c r="I1281" s="449"/>
      <c r="J1281" s="449"/>
      <c r="K1281" s="449"/>
      <c r="L1281" s="1908"/>
      <c r="M1281" s="1908"/>
      <c r="O1281" s="1940" t="s">
        <v>1935</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4373</v>
      </c>
      <c r="O1283" s="1940" t="s">
        <v>1695</v>
      </c>
      <c r="P1283" s="1229">
        <f>'Part VIII-Threshold Criteria'!P113</f>
        <v>0</v>
      </c>
      <c r="Q1283" s="1229"/>
    </row>
    <row r="1284" spans="1:17" s="1815" customFormat="1" ht="9.75" customHeight="1">
      <c r="B1284" s="1939" t="s">
        <v>1696</v>
      </c>
      <c r="C1284" s="449" t="s">
        <v>4740</v>
      </c>
      <c r="O1284" s="1942" t="s">
        <v>1696</v>
      </c>
      <c r="P1284" s="2137">
        <f>'Part VIII-Threshold Criteria'!P114</f>
        <v>0</v>
      </c>
      <c r="Q1284" s="2137"/>
    </row>
    <row r="1285" spans="1:17" ht="10.5" customHeight="1">
      <c r="A1285" s="1229"/>
      <c r="B1285" s="1939" t="s">
        <v>2304</v>
      </c>
      <c r="C1285" s="1908" t="s">
        <v>4258</v>
      </c>
      <c r="D1285" s="1922"/>
      <c r="E1285" s="1922"/>
      <c r="F1285" s="1922"/>
      <c r="G1285" s="1922"/>
      <c r="H1285" s="1922"/>
      <c r="I1285" s="1922"/>
      <c r="J1285" s="1922"/>
      <c r="K1285" s="1922"/>
      <c r="L1285" s="1922"/>
      <c r="M1285" s="1922"/>
      <c r="O1285" s="1942" t="s">
        <v>2304</v>
      </c>
      <c r="P1285" s="1229">
        <f>'Part VIII-Threshold Criteria'!P115</f>
        <v>0</v>
      </c>
      <c r="Q1285" s="1229"/>
    </row>
    <row r="1286" spans="1:17" ht="10.5" customHeight="1">
      <c r="A1286" s="1229"/>
      <c r="B1286" s="1939" t="s">
        <v>1516</v>
      </c>
      <c r="C1286" s="1908" t="s">
        <v>3351</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3352</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2778</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4557</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1937</v>
      </c>
      <c r="B1290" s="449" t="s">
        <v>4556</v>
      </c>
      <c r="C1290" s="449"/>
      <c r="E1290" s="449"/>
      <c r="F1290" s="449"/>
      <c r="G1290" s="449"/>
      <c r="H1290" s="449"/>
      <c r="I1290" s="449"/>
      <c r="J1290" s="449"/>
      <c r="K1290" s="449"/>
      <c r="L1290" s="449"/>
      <c r="M1290" s="449"/>
      <c r="O1290" s="1940" t="s">
        <v>1937</v>
      </c>
      <c r="P1290" s="1229" t="str">
        <f>'Part VIII-Threshold Criteria'!P120</f>
        <v>No</v>
      </c>
      <c r="Q1290" s="1229"/>
    </row>
    <row r="1291" spans="1:17" ht="10.5" customHeight="1">
      <c r="B1291" s="1939" t="s">
        <v>1694</v>
      </c>
      <c r="C1291" s="449" t="s">
        <v>4796</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4795</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No</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3565</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There is not an identity of interest between the buyer and seller. An appraisal is not included in the application.</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1819</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2581</v>
      </c>
      <c r="C1301" s="1908"/>
      <c r="D1301" s="1939"/>
      <c r="E1301" s="1939"/>
      <c r="F1301" s="1939"/>
      <c r="G1301" s="1939"/>
      <c r="H1301" s="1939"/>
      <c r="I1301" s="1939"/>
      <c r="J1301" s="1939"/>
      <c r="K1301" s="1939"/>
      <c r="L1301" s="1939"/>
      <c r="M1301" s="1939"/>
      <c r="O1301" s="1942" t="s">
        <v>1820</v>
      </c>
      <c r="P1301" s="1897"/>
      <c r="Q1301" s="1897"/>
    </row>
    <row r="1302" spans="1:31" ht="6.6" customHeight="1"/>
    <row r="1303" spans="1:31" ht="12" customHeight="1">
      <c r="A1303" s="1940" t="s">
        <v>1935</v>
      </c>
      <c r="B1303" s="449" t="s">
        <v>3469</v>
      </c>
      <c r="D1303" s="449"/>
      <c r="E1303" s="449"/>
      <c r="F1303" s="449"/>
      <c r="G1303" s="449"/>
      <c r="H1303" s="449"/>
      <c r="I1303" s="1815"/>
      <c r="J1303" s="1815"/>
      <c r="K1303" s="1940" t="s">
        <v>1935</v>
      </c>
      <c r="L1303" s="1897" t="str">
        <f>'Part VIII-Threshold Criteria'!L133</f>
        <v>Geotechnical &amp; Environmental Consultants, Inc</v>
      </c>
      <c r="M1303" s="1897"/>
      <c r="N1303" s="1897"/>
      <c r="O1303" s="1897"/>
      <c r="P1303" s="1897"/>
      <c r="Q1303" s="1229"/>
    </row>
    <row r="1304" spans="1:31" ht="12" customHeight="1">
      <c r="A1304" s="1940" t="s">
        <v>1937</v>
      </c>
      <c r="B1304" s="449" t="s">
        <v>1505</v>
      </c>
      <c r="D1304" s="449"/>
      <c r="E1304" s="449"/>
      <c r="F1304" s="449"/>
      <c r="G1304" s="449"/>
      <c r="H1304" s="449"/>
      <c r="I1304" s="1815"/>
      <c r="J1304" s="1815"/>
      <c r="K1304" s="449"/>
      <c r="L1304" s="1908"/>
      <c r="O1304" s="1940" t="s">
        <v>1937</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2610</v>
      </c>
      <c r="E1306" s="449"/>
      <c r="F1306" s="449"/>
      <c r="G1306" s="449"/>
      <c r="H1306" s="449"/>
      <c r="I1306" s="1815"/>
      <c r="J1306" s="1815"/>
      <c r="K1306" s="1940" t="s">
        <v>1694</v>
      </c>
      <c r="L1306" s="1897" t="str">
        <f>'Part VIII-Threshold Criteria'!L136</f>
        <v>Geotechnical &amp; Environmental Consultants, Inc</v>
      </c>
      <c r="M1306" s="1897"/>
      <c r="N1306" s="1897"/>
      <c r="O1306" s="1897"/>
      <c r="P1306" s="1897"/>
      <c r="Q1306" s="1229"/>
    </row>
    <row r="1307" spans="1:31" ht="12" customHeight="1">
      <c r="A1307" s="1904"/>
      <c r="B1307" s="1908" t="s">
        <v>1695</v>
      </c>
      <c r="C1307" s="449" t="s">
        <v>3353</v>
      </c>
      <c r="E1307" s="1815"/>
      <c r="F1307" s="1815"/>
      <c r="G1307" s="1815"/>
      <c r="H1307" s="449"/>
      <c r="I1307" s="1815"/>
      <c r="J1307" s="1815"/>
      <c r="K1307" s="449"/>
      <c r="L1307" s="1908"/>
      <c r="M1307" s="1908"/>
      <c r="O1307" s="1940" t="s">
        <v>1695</v>
      </c>
      <c r="P1307" s="1229" t="str">
        <f>'Part VIII-Threshold Criteria'!P137</f>
        <v>&lt;65 dB</v>
      </c>
      <c r="Q1307" s="1229"/>
    </row>
    <row r="1308" spans="1:31" ht="12" customHeight="1">
      <c r="A1308" s="1904"/>
      <c r="B1308" s="1908" t="s">
        <v>1696</v>
      </c>
      <c r="C1308" s="449" t="s">
        <v>4243</v>
      </c>
      <c r="E1308" s="1815"/>
      <c r="F1308" s="1815"/>
      <c r="G1308" s="1815"/>
      <c r="H1308" s="449"/>
      <c r="I1308" s="1815"/>
      <c r="J1308" s="1815"/>
      <c r="K1308" s="449"/>
      <c r="L1308" s="1908"/>
      <c r="M1308" s="1908"/>
      <c r="O1308" s="1940" t="s">
        <v>1696</v>
      </c>
      <c r="P1308" s="1229">
        <f>'Part VIII-Threshold Criteria'!P138</f>
        <v>0</v>
      </c>
      <c r="Q1308" s="1229"/>
    </row>
    <row r="1309" spans="1:31" ht="12" customHeight="1">
      <c r="A1309" s="1940" t="s">
        <v>2064</v>
      </c>
      <c r="B1309" s="449" t="s">
        <v>1234</v>
      </c>
      <c r="D1309" s="449"/>
      <c r="E1309" s="449"/>
      <c r="F1309" s="449"/>
      <c r="G1309" s="449"/>
      <c r="H1309" s="449"/>
      <c r="I1309" s="1815"/>
      <c r="J1309" s="1815"/>
      <c r="K1309" s="449"/>
      <c r="L1309" s="1908"/>
      <c r="M1309" s="1908"/>
      <c r="N1309" s="1908"/>
      <c r="O1309" s="1940" t="s">
        <v>2064</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2561</v>
      </c>
      <c r="E1312" s="1940" t="s">
        <v>2371</v>
      </c>
      <c r="F1312" s="449" t="s">
        <v>2562</v>
      </c>
      <c r="G1312" s="1815"/>
      <c r="H1312" s="449"/>
      <c r="I1312" s="1815"/>
      <c r="J1312" s="1815"/>
      <c r="K1312" s="449"/>
      <c r="L1312" s="1908"/>
      <c r="M1312" s="1908"/>
      <c r="O1312" s="1940" t="s">
        <v>2371</v>
      </c>
      <c r="P1312" s="2138">
        <f>'Part VIII-Threshold Criteria'!P142</f>
        <v>0</v>
      </c>
      <c r="Q1312" s="2138"/>
    </row>
    <row r="1313" spans="1:17" ht="12" customHeight="1">
      <c r="A1313" s="1940"/>
      <c r="B1313" s="1908"/>
      <c r="E1313" s="1940" t="s">
        <v>2372</v>
      </c>
      <c r="F1313" s="449" t="s">
        <v>2563</v>
      </c>
      <c r="G1313" s="1815"/>
      <c r="H1313" s="449"/>
      <c r="I1313" s="1815"/>
      <c r="J1313" s="1815"/>
      <c r="K1313" s="449"/>
      <c r="L1313" s="1908"/>
      <c r="M1313" s="1908"/>
      <c r="O1313" s="1940" t="s">
        <v>2372</v>
      </c>
      <c r="P1313" s="1229">
        <f>'Part VIII-Threshold Criteria'!P143</f>
        <v>0</v>
      </c>
      <c r="Q1313" s="1229"/>
    </row>
    <row r="1314" spans="1:17" ht="12" customHeight="1">
      <c r="A1314" s="1940"/>
      <c r="B1314" s="1908"/>
      <c r="E1314" s="1940" t="s">
        <v>2373</v>
      </c>
      <c r="F1314" s="449" t="s">
        <v>2564</v>
      </c>
      <c r="G1314" s="1815"/>
      <c r="H1314" s="449"/>
      <c r="I1314" s="1815"/>
      <c r="J1314" s="1815"/>
      <c r="K1314" s="449"/>
      <c r="L1314" s="1908"/>
      <c r="M1314" s="1908"/>
      <c r="O1314" s="1940" t="s">
        <v>2373</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2561</v>
      </c>
      <c r="E1316" s="1940" t="s">
        <v>2371</v>
      </c>
      <c r="F1316" s="449" t="s">
        <v>2565</v>
      </c>
      <c r="G1316" s="1815"/>
      <c r="H1316" s="449"/>
      <c r="I1316" s="1815"/>
      <c r="J1316" s="1815"/>
      <c r="K1316" s="449"/>
      <c r="L1316" s="1908"/>
      <c r="O1316" s="1940" t="s">
        <v>2371</v>
      </c>
      <c r="P1316" s="2138">
        <f>'Part VIII-Threshold Criteria'!P146</f>
        <v>0</v>
      </c>
      <c r="Q1316" s="2138"/>
    </row>
    <row r="1317" spans="1:17" ht="12" customHeight="1">
      <c r="A1317" s="1940"/>
      <c r="B1317" s="1940"/>
      <c r="E1317" s="1940" t="s">
        <v>2372</v>
      </c>
      <c r="F1317" s="449" t="s">
        <v>2566</v>
      </c>
      <c r="G1317" s="1815"/>
      <c r="H1317" s="449"/>
      <c r="I1317" s="1815"/>
      <c r="J1317" s="1815"/>
      <c r="O1317" s="1940" t="s">
        <v>2372</v>
      </c>
      <c r="P1317" s="1229">
        <f>'Part VIII-Threshold Criteria'!P147</f>
        <v>0</v>
      </c>
      <c r="Q1317" s="1229"/>
    </row>
    <row r="1318" spans="1:17" ht="12" customHeight="1">
      <c r="A1318" s="1940"/>
      <c r="B1318" s="1940"/>
      <c r="E1318" s="1940" t="s">
        <v>2373</v>
      </c>
      <c r="F1318" s="449" t="s">
        <v>2564</v>
      </c>
      <c r="G1318" s="1815"/>
      <c r="H1318" s="449"/>
      <c r="I1318" s="1815"/>
      <c r="J1318" s="1815"/>
      <c r="O1318" s="1940" t="s">
        <v>2373</v>
      </c>
      <c r="P1318" s="1229">
        <f>'Part VIII-Threshold Criteria'!P148</f>
        <v>0</v>
      </c>
      <c r="Q1318" s="1229"/>
    </row>
    <row r="1319" spans="1:17" ht="12" customHeight="1">
      <c r="A1319" s="1940" t="s">
        <v>1692</v>
      </c>
      <c r="B1319" s="1908" t="s">
        <v>2351</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2429</v>
      </c>
      <c r="E1320" s="449"/>
      <c r="F1320" s="1229" t="str">
        <f>'Part VIII-Threshold Criteria'!F150</f>
        <v>No</v>
      </c>
      <c r="G1320" s="1229"/>
      <c r="H1320" s="1940" t="s">
        <v>4404</v>
      </c>
      <c r="I1320" s="1945" t="s">
        <v>2568</v>
      </c>
      <c r="L1320" s="1229" t="str">
        <f>'Part VIII-Threshold Criteria'!L150</f>
        <v>No</v>
      </c>
      <c r="M1320" s="1229"/>
      <c r="N1320" s="1940" t="s">
        <v>4408</v>
      </c>
      <c r="O1320" s="449" t="s">
        <v>1519</v>
      </c>
      <c r="P1320" s="1229" t="str">
        <f>'Part VIII-Threshold Criteria'!P150</f>
        <v>No</v>
      </c>
      <c r="Q1320" s="1229"/>
    </row>
    <row r="1321" spans="1:17" ht="12" customHeight="1">
      <c r="A1321" s="449"/>
      <c r="B1321" s="1908" t="s">
        <v>1695</v>
      </c>
      <c r="C1321" s="449" t="s">
        <v>2709</v>
      </c>
      <c r="E1321" s="449"/>
      <c r="F1321" s="1229" t="str">
        <f>'Part VIII-Threshold Criteria'!F151</f>
        <v>No</v>
      </c>
      <c r="G1321" s="1229"/>
      <c r="H1321" s="1940" t="s">
        <v>4405</v>
      </c>
      <c r="I1321" s="1945" t="s">
        <v>2569</v>
      </c>
      <c r="L1321" s="1229" t="str">
        <f>'Part VIII-Threshold Criteria'!L151</f>
        <v>No</v>
      </c>
      <c r="M1321" s="1229"/>
      <c r="N1321" s="1940" t="s">
        <v>4409</v>
      </c>
      <c r="O1321" s="449" t="s">
        <v>1518</v>
      </c>
      <c r="P1321" s="1229" t="str">
        <f>'Part VIII-Threshold Criteria'!P151</f>
        <v>No</v>
      </c>
      <c r="Q1321" s="1229"/>
    </row>
    <row r="1322" spans="1:17" ht="12" customHeight="1">
      <c r="A1322" s="449"/>
      <c r="B1322" s="1908" t="s">
        <v>1696</v>
      </c>
      <c r="C1322" s="449" t="s">
        <v>2567</v>
      </c>
      <c r="E1322" s="449"/>
      <c r="F1322" s="1229" t="str">
        <f>'Part VIII-Threshold Criteria'!F152</f>
        <v>No</v>
      </c>
      <c r="G1322" s="1229"/>
      <c r="H1322" s="1940" t="s">
        <v>4406</v>
      </c>
      <c r="I1322" s="1945" t="s">
        <v>3630</v>
      </c>
      <c r="L1322" s="1229" t="str">
        <f>'Part VIII-Threshold Criteria'!L152</f>
        <v>No</v>
      </c>
      <c r="M1322" s="1229"/>
      <c r="N1322" s="1940" t="s">
        <v>4410</v>
      </c>
      <c r="O1322" s="449" t="s">
        <v>1520</v>
      </c>
      <c r="P1322" s="1229" t="str">
        <f>'Part VIII-Threshold Criteria'!P152</f>
        <v>No</v>
      </c>
      <c r="Q1322" s="1229"/>
    </row>
    <row r="1323" spans="1:17" ht="12" customHeight="1">
      <c r="A1323" s="449"/>
      <c r="B1323" s="1908" t="s">
        <v>2304</v>
      </c>
      <c r="C1323" s="449" t="s">
        <v>2711</v>
      </c>
      <c r="E1323" s="449"/>
      <c r="F1323" s="1229" t="str">
        <f>'Part VIII-Threshold Criteria'!F153</f>
        <v>No</v>
      </c>
      <c r="G1323" s="1229"/>
      <c r="H1323" s="1940" t="s">
        <v>4407</v>
      </c>
      <c r="I1323" s="449" t="s">
        <v>2708</v>
      </c>
      <c r="L1323" s="1229" t="str">
        <f>'Part VIII-Threshold Criteria'!L153</f>
        <v>No</v>
      </c>
      <c r="M1323" s="1229"/>
      <c r="O1323" s="1940"/>
    </row>
    <row r="1324" spans="1:17" ht="12" customHeight="1">
      <c r="A1324" s="449"/>
      <c r="B1324" s="1908" t="s">
        <v>2790</v>
      </c>
      <c r="C1324" s="449" t="s">
        <v>2710</v>
      </c>
      <c r="E1324" s="449"/>
      <c r="F1324" s="449"/>
      <c r="G1324" s="449"/>
      <c r="H1324" s="449"/>
      <c r="I1324" s="449"/>
      <c r="J1324" s="449"/>
      <c r="K1324" s="449"/>
      <c r="L1324" s="449"/>
      <c r="M1324" s="449"/>
      <c r="O1324" s="1940"/>
      <c r="P1324" s="1940"/>
    </row>
    <row r="1325" spans="1:17" ht="12" customHeight="1">
      <c r="A1325" s="449"/>
      <c r="C1325" s="449" t="str">
        <f>'Part VIII-Threshold Criteria'!C155</f>
        <v>N/A</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3436</v>
      </c>
      <c r="D1326" s="449"/>
      <c r="E1326" s="449"/>
      <c r="F1326" s="449"/>
      <c r="G1326" s="449"/>
      <c r="H1326" s="449"/>
      <c r="I1326" s="1815"/>
      <c r="J1326" s="1815"/>
      <c r="K1326" s="449"/>
      <c r="L1326" s="449"/>
      <c r="M1326" s="1908"/>
    </row>
    <row r="1327" spans="1:17" ht="12" customHeight="1">
      <c r="A1327" s="1815"/>
      <c r="B1327" s="1908" t="s">
        <v>1694</v>
      </c>
      <c r="C1327" s="449" t="s">
        <v>2712</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2304</v>
      </c>
      <c r="C1330" s="449" t="s">
        <v>4390</v>
      </c>
      <c r="E1330" s="449"/>
      <c r="F1330" s="449"/>
      <c r="G1330" s="449"/>
      <c r="H1330" s="449"/>
      <c r="I1330" s="1815"/>
      <c r="J1330" s="1815"/>
      <c r="K1330" s="449"/>
      <c r="L1330" s="449"/>
      <c r="M1330" s="449"/>
      <c r="O1330" s="1940" t="s">
        <v>2304</v>
      </c>
      <c r="P1330" s="1229">
        <f>'Part VIII-Threshold Criteria'!P160</f>
        <v>0</v>
      </c>
      <c r="Q1330" s="1229"/>
    </row>
    <row r="1331" spans="1:31" ht="12" customHeight="1">
      <c r="A1331" s="1945" t="s">
        <v>4558</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1899</v>
      </c>
      <c r="B1332" s="1936" t="s">
        <v>6927</v>
      </c>
      <c r="C1332" s="1936"/>
      <c r="D1332" s="1936"/>
      <c r="E1332" s="1936"/>
      <c r="F1332" s="1936"/>
      <c r="G1332" s="1936"/>
      <c r="H1332" s="1936"/>
      <c r="I1332" s="1936"/>
      <c r="J1332" s="1936"/>
      <c r="K1332" s="1936"/>
      <c r="L1332" s="1936"/>
      <c r="M1332" s="1940" t="s">
        <v>1899</v>
      </c>
      <c r="N1332" s="1936" t="str">
        <f>'Part VIII-Threshold Criteria'!N162</f>
        <v>&lt;&lt;Select&gt;&gt;</v>
      </c>
      <c r="O1332" s="1936"/>
      <c r="P1332" s="1936" t="s">
        <v>1727</v>
      </c>
      <c r="Q1332" s="1936"/>
    </row>
    <row r="1333" spans="1:31" ht="11.25" customHeight="1">
      <c r="B1333" s="1908" t="s">
        <v>3565</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Please see Tab 7 of this application for the Environmental Report.</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1819</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2582</v>
      </c>
      <c r="C1339" s="1922"/>
      <c r="D1339" s="1939"/>
      <c r="E1339" s="1939"/>
      <c r="F1339" s="1939"/>
      <c r="G1339" s="1939"/>
      <c r="H1339" s="1939"/>
      <c r="I1339" s="1939"/>
      <c r="J1339" s="1939"/>
      <c r="K1339" s="1939"/>
      <c r="O1339" s="1942" t="s">
        <v>1820</v>
      </c>
      <c r="P1339" s="1897"/>
      <c r="Q1339" s="1897"/>
    </row>
    <row r="1340" spans="1:31" ht="12" customHeight="1">
      <c r="A1340" s="1940" t="s">
        <v>1935</v>
      </c>
      <c r="B1340" s="1908" t="s">
        <v>1694</v>
      </c>
      <c r="C1340" s="449" t="s">
        <v>6869</v>
      </c>
      <c r="D1340" s="449"/>
      <c r="E1340" s="449"/>
      <c r="F1340" s="449"/>
      <c r="G1340" s="449"/>
      <c r="K1340" s="449" t="s">
        <v>2626</v>
      </c>
      <c r="M1340" s="2227">
        <f>'Part VIII-Threshold Criteria'!M170</f>
        <v>44196</v>
      </c>
      <c r="N1340" s="2227"/>
      <c r="O1340" s="1940" t="s">
        <v>1694</v>
      </c>
      <c r="P1340" s="1229" t="str">
        <f>'Part VIII-Threshold Criteria'!P170</f>
        <v>Yes</v>
      </c>
      <c r="Q1340" s="1229"/>
    </row>
    <row r="1341" spans="1:31" ht="12" customHeight="1">
      <c r="A1341" s="1940"/>
      <c r="B1341" s="1908" t="s">
        <v>1695</v>
      </c>
      <c r="C1341" s="449" t="s">
        <v>6870</v>
      </c>
      <c r="D1341" s="449"/>
      <c r="E1341" s="449"/>
      <c r="F1341" s="449"/>
      <c r="G1341" s="449"/>
      <c r="K1341" s="449" t="s">
        <v>2626</v>
      </c>
      <c r="M1341" s="2227">
        <f>'Part VIII-Threshold Criteria'!M171</f>
        <v>0</v>
      </c>
      <c r="N1341" s="2227"/>
      <c r="O1341" s="1940" t="s">
        <v>1695</v>
      </c>
      <c r="P1341" s="1229">
        <f>'Part VIII-Threshold Criteria'!P171</f>
        <v>0</v>
      </c>
      <c r="Q1341" s="1229"/>
    </row>
    <row r="1342" spans="1:31" ht="12" customHeight="1">
      <c r="A1342" s="1940" t="s">
        <v>1937</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1937</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Spring Creek Crossing Montezuma, LP</v>
      </c>
      <c r="L1343" s="449"/>
      <c r="M1343" s="449"/>
      <c r="N1343" s="449"/>
      <c r="O1343" s="449"/>
      <c r="P1343" s="449"/>
      <c r="Q1343" s="1229"/>
    </row>
    <row r="1344" spans="1:31" ht="12" customHeight="1">
      <c r="B1344" s="1908" t="s">
        <v>3565</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Please see Tab 8 for site control documentation. Site control is provided through Novemeber, 30, 2020.</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1819</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2583</v>
      </c>
      <c r="C1349" s="1922"/>
      <c r="D1349" s="1939"/>
      <c r="E1349" s="1939"/>
      <c r="F1349" s="1939"/>
      <c r="G1349" s="1939"/>
      <c r="H1349" s="1939"/>
      <c r="I1349" s="1939"/>
      <c r="J1349" s="1939"/>
      <c r="K1349" s="1939"/>
      <c r="L1349" s="1939"/>
      <c r="M1349" s="1939"/>
      <c r="O1349" s="1942" t="s">
        <v>1820</v>
      </c>
      <c r="P1349" s="1897"/>
      <c r="Q1349" s="1897"/>
    </row>
    <row r="1350" spans="1:31" ht="21.75" customHeight="1">
      <c r="A1350" s="1942" t="s">
        <v>1935</v>
      </c>
      <c r="B1350" s="1936" t="s">
        <v>3556</v>
      </c>
      <c r="C1350" s="1936"/>
      <c r="D1350" s="1936"/>
      <c r="E1350" s="1936"/>
      <c r="F1350" s="1936"/>
      <c r="G1350" s="1936"/>
      <c r="H1350" s="1936"/>
      <c r="I1350" s="1936"/>
      <c r="J1350" s="1936"/>
      <c r="K1350" s="1936"/>
      <c r="L1350" s="1936"/>
      <c r="M1350" s="1936"/>
      <c r="N1350" s="1936"/>
      <c r="O1350" s="1942" t="s">
        <v>1935</v>
      </c>
      <c r="P1350" s="1938" t="str">
        <f>'Part VIII-Threshold Criteria'!P180</f>
        <v>Yes</v>
      </c>
      <c r="Q1350" s="1938"/>
    </row>
    <row r="1351" spans="1:31" ht="22.35" customHeight="1">
      <c r="A1351" s="1942" t="s">
        <v>1937</v>
      </c>
      <c r="B1351" s="1936" t="s">
        <v>4259</v>
      </c>
      <c r="C1351" s="1936"/>
      <c r="D1351" s="1936"/>
      <c r="E1351" s="1936"/>
      <c r="F1351" s="1936"/>
      <c r="G1351" s="1936"/>
      <c r="H1351" s="1936"/>
      <c r="I1351" s="1936"/>
      <c r="J1351" s="1936"/>
      <c r="K1351" s="1936"/>
      <c r="L1351" s="1936"/>
      <c r="M1351" s="1936"/>
      <c r="N1351" s="1936"/>
      <c r="O1351" s="1942" t="s">
        <v>1937</v>
      </c>
      <c r="P1351" s="1938" t="str">
        <f>'Part VIII-Threshold Criteria'!P181</f>
        <v>N/Ap</v>
      </c>
      <c r="Q1351" s="1938"/>
    </row>
    <row r="1352" spans="1:31" ht="22.35" customHeight="1">
      <c r="A1352" s="1942" t="s">
        <v>731</v>
      </c>
      <c r="B1352" s="1936" t="s">
        <v>3557</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2064</v>
      </c>
      <c r="B1353" s="1936" t="s">
        <v>4351</v>
      </c>
      <c r="C1353" s="1936"/>
      <c r="D1353" s="1936"/>
      <c r="E1353" s="1936"/>
      <c r="F1353" s="1936"/>
      <c r="G1353" s="1936"/>
      <c r="H1353" s="1936"/>
      <c r="I1353" s="1936"/>
      <c r="J1353" s="1936"/>
      <c r="K1353" s="1936"/>
      <c r="L1353" s="1936"/>
      <c r="M1353" s="1936"/>
      <c r="N1353" s="1936"/>
      <c r="O1353" s="1942" t="s">
        <v>2064</v>
      </c>
      <c r="P1353" s="1938" t="str">
        <f>'Part VIII-Threshold Criteria'!P183</f>
        <v>N/Ap</v>
      </c>
      <c r="Q1353" s="1938"/>
    </row>
    <row r="1354" spans="1:31" ht="12" customHeight="1">
      <c r="B1354" s="1908" t="s">
        <v>3565</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The site is legally accessible by paved roads and documentation reflecting this is included in the application.</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1819</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2584</v>
      </c>
      <c r="C1359" s="1815"/>
      <c r="D1359" s="1815"/>
      <c r="O1359" s="1942" t="s">
        <v>1820</v>
      </c>
      <c r="P1359" s="1897"/>
      <c r="Q1359" s="1897"/>
    </row>
    <row r="1360" spans="1:31" ht="12" customHeight="1">
      <c r="A1360" s="1942" t="s">
        <v>1935</v>
      </c>
      <c r="B1360" s="1939" t="s">
        <v>459</v>
      </c>
      <c r="D1360" s="1939"/>
      <c r="E1360" s="1939"/>
      <c r="F1360" s="1939"/>
      <c r="G1360" s="1939"/>
      <c r="H1360" s="1939"/>
      <c r="I1360" s="1939"/>
      <c r="J1360" s="1939"/>
      <c r="K1360" s="1939"/>
      <c r="L1360" s="1939"/>
      <c r="M1360" s="1939"/>
      <c r="O1360" s="1942" t="s">
        <v>1935</v>
      </c>
      <c r="P1360" s="1229" t="str">
        <f>'Part VIII-Threshold Criteria'!P190</f>
        <v>Yes</v>
      </c>
      <c r="Q1360" s="1229"/>
    </row>
    <row r="1361" spans="1:31" ht="12" customHeight="1">
      <c r="A1361" s="1942" t="s">
        <v>1937</v>
      </c>
      <c r="B1361" s="1939" t="s">
        <v>2570</v>
      </c>
      <c r="D1361" s="1939"/>
      <c r="E1361" s="1939"/>
      <c r="F1361" s="1939"/>
      <c r="G1361" s="1939"/>
      <c r="H1361" s="1939"/>
      <c r="I1361" s="1939"/>
      <c r="J1361" s="1939"/>
      <c r="K1361" s="1939"/>
      <c r="L1361" s="1939"/>
      <c r="M1361" s="1939"/>
      <c r="O1361" s="1942" t="s">
        <v>1937</v>
      </c>
      <c r="P1361" s="1229" t="str">
        <f>'Part VIII-Threshold Criteria'!P191</f>
        <v>Yes</v>
      </c>
      <c r="Q1361" s="1229"/>
    </row>
    <row r="1362" spans="1:31" ht="12" customHeight="1">
      <c r="A1362" s="1942" t="s">
        <v>731</v>
      </c>
      <c r="B1362" s="1939" t="s">
        <v>2571</v>
      </c>
      <c r="D1362" s="1939"/>
      <c r="E1362" s="1939"/>
      <c r="F1362" s="1939"/>
      <c r="G1362" s="1939"/>
      <c r="H1362" s="1939"/>
      <c r="I1362" s="1939"/>
      <c r="J1362" s="1936" t="s">
        <v>4363</v>
      </c>
      <c r="L1362" s="1939"/>
      <c r="M1362" s="1939"/>
      <c r="O1362" s="1942" t="s">
        <v>731</v>
      </c>
      <c r="P1362" s="1229" t="str">
        <f>'Part VIII-Threshold Criteria'!P192</f>
        <v>Yes</v>
      </c>
      <c r="Q1362" s="1229"/>
    </row>
    <row r="1363" spans="1:31" ht="12" customHeight="1">
      <c r="B1363" s="1908" t="s">
        <v>1694</v>
      </c>
      <c r="C1363" s="1908" t="s">
        <v>2572</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6928</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3558</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2304</v>
      </c>
      <c r="C1366" s="1908" t="s">
        <v>2574</v>
      </c>
      <c r="G1366" s="1939"/>
      <c r="H1366" s="1939"/>
      <c r="I1366" s="1939"/>
      <c r="J1366" s="1939"/>
      <c r="K1366" s="1939"/>
      <c r="L1366" s="1939"/>
      <c r="M1366" s="1939"/>
      <c r="O1366" s="1943" t="s">
        <v>2304</v>
      </c>
      <c r="P1366" s="1229" t="str">
        <f>'Part VIII-Threshold Criteria'!P196</f>
        <v>Yes</v>
      </c>
      <c r="Q1366" s="1229"/>
    </row>
    <row r="1367" spans="1:31" s="1910" customFormat="1" ht="21.75" customHeight="1">
      <c r="A1367" s="1942"/>
      <c r="B1367" s="1939" t="s">
        <v>1516</v>
      </c>
      <c r="C1367" s="1936" t="s">
        <v>2575</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3666</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2064</v>
      </c>
      <c r="B1369" s="1936" t="s">
        <v>2576</v>
      </c>
      <c r="C1369" s="1936"/>
      <c r="D1369" s="1936"/>
      <c r="E1369" s="1936"/>
      <c r="F1369" s="1936"/>
      <c r="G1369" s="1936"/>
      <c r="H1369" s="1936"/>
      <c r="I1369" s="1936"/>
      <c r="J1369" s="1936"/>
      <c r="K1369" s="1936"/>
      <c r="L1369" s="1936"/>
      <c r="M1369" s="1936"/>
      <c r="N1369" s="1936"/>
      <c r="O1369" s="1942" t="s">
        <v>2064</v>
      </c>
      <c r="P1369" s="1938" t="str">
        <f>'Part VIII-Threshold Criteria'!P199</f>
        <v>Yes</v>
      </c>
      <c r="Q1369" s="1938"/>
    </row>
    <row r="1370" spans="1:31" ht="12" customHeight="1">
      <c r="A1370" s="1942" t="s">
        <v>1692</v>
      </c>
      <c r="B1370" s="1939" t="s">
        <v>2317</v>
      </c>
      <c r="D1370" s="1939"/>
      <c r="E1370" s="1939"/>
      <c r="F1370" s="1939"/>
      <c r="G1370" s="1939"/>
      <c r="H1370" s="1939"/>
      <c r="I1370" s="1939"/>
      <c r="J1370" s="1939"/>
      <c r="K1370" s="1939"/>
      <c r="L1370" s="1939"/>
      <c r="M1370" s="1939"/>
      <c r="O1370" s="1942" t="s">
        <v>1692</v>
      </c>
      <c r="P1370" s="1229" t="str">
        <f>'Part VIII-Threshold Criteria'!P200</f>
        <v>No</v>
      </c>
      <c r="Q1370" s="1229"/>
    </row>
    <row r="1371" spans="1:31" ht="12" customHeight="1">
      <c r="B1371" s="1908" t="s">
        <v>3565</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Please see Tab 10 for zoning confirmation and supporting documentation.</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1819</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2585</v>
      </c>
      <c r="C1376" s="1922"/>
      <c r="D1376" s="1939"/>
      <c r="E1376" s="1981"/>
      <c r="F1376" s="1981"/>
      <c r="G1376" s="1939"/>
      <c r="J1376" s="1936"/>
      <c r="K1376" s="1936"/>
      <c r="L1376" s="1936"/>
      <c r="M1376" s="1936"/>
      <c r="N1376" s="1936"/>
      <c r="O1376" s="1942" t="s">
        <v>1820</v>
      </c>
      <c r="P1376" s="1897"/>
      <c r="Q1376" s="1897"/>
    </row>
    <row r="1377" spans="1:31" ht="22.5" customHeight="1">
      <c r="A1377" s="449" t="s">
        <v>4481</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f>'Part VIII-Threshold Criteria'!J208</f>
        <v>0</v>
      </c>
      <c r="K1378" s="449"/>
      <c r="L1378" s="449"/>
      <c r="M1378" s="449"/>
      <c r="N1378" s="449"/>
      <c r="O1378" s="1940" t="s">
        <v>1694</v>
      </c>
      <c r="P1378" s="1229">
        <f>'Part VIII-Threshold Criteria'!P208</f>
        <v>0</v>
      </c>
      <c r="Q1378" s="1229"/>
    </row>
    <row r="1379" spans="1:31" ht="11.25" customHeight="1">
      <c r="A1379" s="1904"/>
      <c r="B1379" s="1908" t="s">
        <v>3565</v>
      </c>
      <c r="C1379" s="1910"/>
      <c r="D1379" s="1910"/>
      <c r="E1379" s="1910"/>
      <c r="F1379" s="1910"/>
      <c r="H1379" s="1940" t="s">
        <v>1695</v>
      </c>
      <c r="I1379" s="449" t="s">
        <v>1563</v>
      </c>
      <c r="J1379" s="449" t="str">
        <f>'Part VIII-Threshold Criteria'!J209</f>
        <v>Georgia Power Company</v>
      </c>
      <c r="K1379" s="449"/>
      <c r="L1379" s="449"/>
      <c r="M1379" s="449"/>
      <c r="N1379" s="449"/>
      <c r="O1379" s="1940" t="s">
        <v>1695</v>
      </c>
      <c r="P1379" s="1229" t="str">
        <f>'Part VIII-Threshold Criteria'!P209</f>
        <v>Yes</v>
      </c>
      <c r="Q1379" s="1229"/>
    </row>
    <row r="1380" spans="1:31" ht="11.4" customHeight="1">
      <c r="A1380" s="1936" t="str">
        <f>'Part VIII-Threshold Criteria'!A210</f>
        <v>A letter from Georgia Power Company is included in Tab 11 of the application.</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1819</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2586</v>
      </c>
      <c r="C1384" s="1815"/>
      <c r="D1384" s="449"/>
      <c r="E1384" s="449"/>
      <c r="F1384" s="449"/>
      <c r="G1384" s="1939"/>
      <c r="H1384" s="1939"/>
      <c r="I1384" s="1939"/>
      <c r="J1384" s="1939"/>
      <c r="K1384" s="1939"/>
      <c r="L1384" s="1939"/>
      <c r="M1384" s="1939"/>
      <c r="O1384" s="1942" t="s">
        <v>1820</v>
      </c>
      <c r="P1384" s="1897"/>
      <c r="Q1384" s="1897"/>
    </row>
    <row r="1385" spans="1:31" ht="11.4" customHeight="1">
      <c r="A1385" s="1942" t="s">
        <v>1935</v>
      </c>
      <c r="B1385" s="1936" t="s">
        <v>1802</v>
      </c>
      <c r="C1385" s="1936"/>
      <c r="D1385" s="1936"/>
      <c r="E1385" s="1936"/>
      <c r="F1385" s="1936"/>
      <c r="G1385" s="1936"/>
      <c r="H1385" s="1940" t="s">
        <v>1694</v>
      </c>
      <c r="I1385" s="449" t="s">
        <v>617</v>
      </c>
      <c r="J1385" s="449" t="str">
        <f>'Part VIII-Threshold Criteria'!J215</f>
        <v>City of Montezuma</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City of Montezuma</v>
      </c>
      <c r="K1386" s="449"/>
      <c r="L1386" s="449"/>
      <c r="M1386" s="449"/>
      <c r="N1386" s="449"/>
      <c r="O1386" s="1942" t="s">
        <v>1695</v>
      </c>
      <c r="P1386" s="1229" t="str">
        <f>'Part VIII-Threshold Criteria'!P216</f>
        <v>Yes</v>
      </c>
      <c r="Q1386" s="1229"/>
    </row>
    <row r="1387" spans="1:31" ht="12" customHeight="1">
      <c r="A1387" s="1942" t="s">
        <v>1937</v>
      </c>
      <c r="B1387" s="449" t="s">
        <v>3671</v>
      </c>
      <c r="D1387" s="449"/>
      <c r="E1387" s="449"/>
      <c r="F1387" s="449"/>
      <c r="G1387" s="449"/>
      <c r="H1387" s="449"/>
      <c r="I1387" s="449"/>
      <c r="J1387" s="449"/>
      <c r="K1387" s="1815"/>
      <c r="L1387" s="449"/>
      <c r="M1387" s="449"/>
      <c r="O1387" s="1940" t="s">
        <v>1937</v>
      </c>
      <c r="P1387" s="1229" t="str">
        <f>'Part VIII-Threshold Criteria'!P217</f>
        <v>No</v>
      </c>
      <c r="Q1387" s="1229"/>
    </row>
    <row r="1388" spans="1:31" ht="12" customHeight="1">
      <c r="A1388" s="1940" t="s">
        <v>731</v>
      </c>
      <c r="B1388" s="449" t="s">
        <v>3672</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3565</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A letter from the City of Montezuma confirming water/sewer availibility is include in Tab 12 of the application.</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1819</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2587</v>
      </c>
      <c r="C1394" s="1908"/>
      <c r="D1394" s="1939"/>
      <c r="E1394" s="1939"/>
      <c r="F1394" s="1939"/>
      <c r="G1394" s="1939"/>
      <c r="H1394" s="1939"/>
      <c r="I1394" s="1939"/>
      <c r="J1394" s="1939"/>
      <c r="K1394" s="1939"/>
      <c r="L1394" s="1939"/>
      <c r="M1394" s="1939"/>
      <c r="O1394" s="1942" t="s">
        <v>1820</v>
      </c>
      <c r="P1394" s="1897"/>
      <c r="Q1394" s="1897"/>
    </row>
    <row r="1395" spans="1:18" ht="11.4" customHeight="1">
      <c r="B1395" s="1945" t="s">
        <v>1167</v>
      </c>
      <c r="N1395" s="1874"/>
      <c r="P1395" s="1229" t="str">
        <f>'Part VIII-Threshold Criteria'!P225</f>
        <v>No</v>
      </c>
      <c r="Q1395" s="1229"/>
    </row>
    <row r="1396" spans="1:18" ht="12" customHeight="1">
      <c r="A1396" s="1940" t="s">
        <v>1935</v>
      </c>
      <c r="B1396" s="449" t="s">
        <v>6972</v>
      </c>
      <c r="D1396" s="1815"/>
      <c r="E1396" s="1815"/>
      <c r="F1396" s="1815"/>
      <c r="G1396" s="1815"/>
      <c r="H1396" s="1815"/>
      <c r="I1396" s="1815"/>
      <c r="J1396" s="1815"/>
      <c r="K1396" s="1815"/>
      <c r="L1396" s="1815"/>
      <c r="M1396" s="1815"/>
      <c r="O1396" s="1940" t="s">
        <v>1935</v>
      </c>
      <c r="P1396" s="1229" t="str">
        <f>'Part VIII-Threshold Criteria'!P226</f>
        <v>Agree</v>
      </c>
      <c r="Q1396" s="1229"/>
    </row>
    <row r="1397" spans="1:18" ht="11.4" customHeight="1">
      <c r="A1397" s="1940"/>
      <c r="B1397" s="1908" t="s">
        <v>1694</v>
      </c>
      <c r="C1397" s="449" t="s">
        <v>1883</v>
      </c>
      <c r="E1397" s="449"/>
      <c r="F1397" s="449"/>
      <c r="G1397" s="449"/>
      <c r="H1397" s="449"/>
      <c r="I1397" s="1815"/>
      <c r="J1397" s="1940" t="s">
        <v>1455</v>
      </c>
      <c r="K1397" s="449" t="str">
        <f>'Part VIII-Threshold Criteria'!K227</f>
        <v>Building</v>
      </c>
      <c r="L1397" s="449"/>
      <c r="Q1397" s="1229"/>
    </row>
    <row r="1398" spans="1:18" ht="11.4" customHeight="1">
      <c r="A1398" s="1940"/>
      <c r="B1398" s="1908" t="s">
        <v>1695</v>
      </c>
      <c r="C1398" s="1908" t="s">
        <v>4244</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1696</v>
      </c>
      <c r="C1399" s="1908" t="s">
        <v>4247</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2304</v>
      </c>
      <c r="C1400" s="1908" t="s">
        <v>4246</v>
      </c>
      <c r="E1400" s="1908"/>
      <c r="F1400" s="1908"/>
      <c r="G1400" s="1908"/>
      <c r="H1400" s="1908"/>
      <c r="I1400" s="1815"/>
      <c r="J1400" s="1940" t="s">
        <v>4245</v>
      </c>
      <c r="K1400" s="449" t="str">
        <f>'Part VIII-Threshold Criteria'!K230</f>
        <v>W&amp;D installed in each unit</v>
      </c>
      <c r="L1400" s="449"/>
      <c r="M1400" s="449"/>
      <c r="N1400" s="449"/>
      <c r="Q1400" s="1229"/>
      <c r="R1400" s="1815"/>
    </row>
    <row r="1401" spans="1:18" ht="11.25" customHeight="1">
      <c r="A1401" s="1940" t="s">
        <v>1937</v>
      </c>
      <c r="B1401" s="449" t="s">
        <v>6929</v>
      </c>
      <c r="D1401" s="449"/>
      <c r="E1401" s="449"/>
      <c r="F1401" s="449"/>
      <c r="G1401" s="449"/>
      <c r="H1401" s="449"/>
      <c r="I1401" s="449"/>
      <c r="J1401" s="449"/>
      <c r="K1401" s="1815"/>
      <c r="L1401" s="1815"/>
      <c r="M1401" s="1815"/>
      <c r="N1401" s="1815"/>
      <c r="O1401" s="1940" t="s">
        <v>1937</v>
      </c>
      <c r="P1401" s="1229" t="str">
        <f>'Part VIII-Threshold Criteria'!P231</f>
        <v>Agree</v>
      </c>
      <c r="Q1401" s="1229"/>
    </row>
    <row r="1402" spans="1:18" ht="11.1" customHeight="1">
      <c r="A1402" s="1940"/>
      <c r="B1402" s="449" t="s">
        <v>6871</v>
      </c>
      <c r="D1402" s="449"/>
      <c r="E1402" s="449"/>
      <c r="F1402" s="449"/>
      <c r="G1402" s="449"/>
      <c r="H1402" s="449"/>
      <c r="I1402" s="449"/>
      <c r="J1402" s="449"/>
      <c r="K1402" s="1815"/>
      <c r="L1402" s="1815"/>
      <c r="M1402" s="1815"/>
      <c r="N1402" s="1940" t="s">
        <v>3451</v>
      </c>
      <c r="O1402" s="2139">
        <f>'Part VI-Revenues &amp; Expenses'!$P$67</f>
        <v>50</v>
      </c>
      <c r="P1402" s="1945" t="s">
        <v>4401</v>
      </c>
      <c r="Q1402" s="1945"/>
    </row>
    <row r="1403" spans="1:18" ht="11.1" customHeight="1">
      <c r="A1403" s="1940"/>
      <c r="B1403" s="1908" t="s">
        <v>1694</v>
      </c>
      <c r="C1403" s="449" t="s">
        <v>4402</v>
      </c>
      <c r="D1403" s="449"/>
      <c r="E1403" s="449"/>
      <c r="F1403" s="449"/>
      <c r="H1403" s="1940" t="s">
        <v>4403</v>
      </c>
      <c r="I1403" s="449" t="s">
        <v>6825</v>
      </c>
      <c r="M1403" s="1815"/>
      <c r="N1403" s="1815"/>
      <c r="O1403" s="1816"/>
      <c r="P1403" s="1898" t="s">
        <v>755</v>
      </c>
      <c r="Q1403" s="1898" t="s">
        <v>4400</v>
      </c>
    </row>
    <row r="1404" spans="1:18" s="1951" customFormat="1" ht="11.4" customHeight="1">
      <c r="A1404" s="1229"/>
      <c r="B1404" s="1940" t="s">
        <v>2065</v>
      </c>
      <c r="C1404" s="1936" t="str">
        <f>'Part VIII-Threshold Criteria'!C234</f>
        <v xml:space="preserve">Equipped Computer Center and WiFi </v>
      </c>
      <c r="D1404" s="1936"/>
      <c r="E1404" s="1936"/>
      <c r="F1404" s="1936"/>
      <c r="G1404" s="1936"/>
      <c r="H1404" s="1940" t="s">
        <v>2065</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2066</v>
      </c>
      <c r="C1405" s="1936" t="str">
        <f>'Part VIII-Threshold Criteria'!C235</f>
        <v>Furnished Exercise /Fitness Center</v>
      </c>
      <c r="D1405" s="1936"/>
      <c r="E1405" s="1936"/>
      <c r="F1405" s="1936"/>
      <c r="G1405" s="1936"/>
      <c r="H1405" s="1940" t="s">
        <v>2066</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Fenced community gardens</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4411</v>
      </c>
      <c r="C1407" s="1936" t="str">
        <f>'Part VIII-Threshold Criteria'!C237</f>
        <v>Wellness Center</v>
      </c>
      <c r="D1407" s="1936"/>
      <c r="E1407" s="1936"/>
      <c r="F1407" s="1936"/>
      <c r="G1407" s="1936"/>
      <c r="H1407" s="1940" t="s">
        <v>4411</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3346</v>
      </c>
      <c r="E1409" s="449"/>
      <c r="F1409" s="449"/>
      <c r="L1409" s="1815"/>
      <c r="M1409" s="1815"/>
      <c r="O1409" s="1940" t="s">
        <v>1694</v>
      </c>
      <c r="P1409" s="1229" t="str">
        <f>'Part VIII-Threshold Criteria'!P239</f>
        <v>Yes</v>
      </c>
      <c r="Q1409" s="1229"/>
    </row>
    <row r="1410" spans="1:31" ht="11.4" customHeight="1">
      <c r="B1410" s="1908" t="s">
        <v>1695</v>
      </c>
      <c r="C1410" s="1908" t="s">
        <v>2713</v>
      </c>
      <c r="E1410" s="1908"/>
      <c r="F1410" s="1908"/>
      <c r="L1410" s="1815"/>
      <c r="M1410" s="1815"/>
      <c r="O1410" s="1940" t="s">
        <v>1695</v>
      </c>
      <c r="P1410" s="1229" t="str">
        <f>'Part VIII-Threshold Criteria'!P240</f>
        <v>Yes</v>
      </c>
      <c r="Q1410" s="1229"/>
    </row>
    <row r="1411" spans="1:31" ht="11.4" customHeight="1">
      <c r="B1411" s="1908" t="s">
        <v>1696</v>
      </c>
      <c r="C1411" s="1908" t="s">
        <v>4560</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2304</v>
      </c>
      <c r="C1412" s="1908" t="s">
        <v>2714</v>
      </c>
      <c r="E1412" s="1908"/>
      <c r="F1412" s="1908"/>
      <c r="G1412" s="1908"/>
      <c r="H1412" s="1908"/>
      <c r="I1412" s="1815"/>
      <c r="J1412" s="1815"/>
      <c r="K1412" s="1815"/>
      <c r="L1412" s="1815"/>
      <c r="M1412" s="1815"/>
      <c r="O1412" s="1940" t="s">
        <v>2304</v>
      </c>
      <c r="P1412" s="1229" t="str">
        <f>'Part VIII-Threshold Criteria'!P242</f>
        <v>Yes</v>
      </c>
      <c r="Q1412" s="1229"/>
    </row>
    <row r="1413" spans="1:31" ht="11.4" customHeight="1">
      <c r="A1413" s="1940"/>
      <c r="B1413" s="1908" t="s">
        <v>1516</v>
      </c>
      <c r="C1413" s="1908" t="s">
        <v>2715</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6872</v>
      </c>
      <c r="E1414" s="449"/>
      <c r="F1414" s="449"/>
      <c r="G1414" s="449"/>
      <c r="H1414" s="449"/>
      <c r="I1414" s="1815"/>
      <c r="J1414" s="1815"/>
      <c r="K1414" s="1815"/>
      <c r="L1414" s="1815"/>
      <c r="M1414" s="1815"/>
      <c r="O1414" s="1940" t="s">
        <v>2705</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2706</v>
      </c>
      <c r="P1415" s="1229">
        <f>'Part VIII-Threshold Criteria'!P245</f>
        <v>0</v>
      </c>
      <c r="Q1415" s="1229"/>
    </row>
    <row r="1416" spans="1:31" ht="11.25" customHeight="1">
      <c r="A1416" s="1940" t="s">
        <v>2064</v>
      </c>
      <c r="B1416" s="449" t="s">
        <v>4559</v>
      </c>
      <c r="C1416" s="449"/>
      <c r="E1416" s="449"/>
      <c r="F1416" s="449"/>
      <c r="G1416" s="449"/>
      <c r="H1416" s="449"/>
      <c r="I1416" s="449"/>
      <c r="J1416" s="449"/>
      <c r="K1416" s="1815"/>
      <c r="M1416" s="1940"/>
      <c r="N1416" s="1908" t="str">
        <f>'Part I-Project Information'!$H$82</f>
        <v>Family</v>
      </c>
      <c r="O1416" s="1940" t="s">
        <v>2064</v>
      </c>
      <c r="P1416" s="1229" t="str">
        <f>'Part VIII-Threshold Criteria'!P246</f>
        <v>N/A</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f>'Part VIII-Threshold Criteria'!P247</f>
        <v>0</v>
      </c>
      <c r="Q1417" s="1229"/>
    </row>
    <row r="1418" spans="1:31" ht="11.4" customHeight="1">
      <c r="B1418" s="1908" t="s">
        <v>1695</v>
      </c>
      <c r="C1418" s="449" t="s">
        <v>4260</v>
      </c>
      <c r="E1418" s="1815"/>
      <c r="F1418" s="1815"/>
      <c r="G1418" s="1908"/>
      <c r="H1418" s="1908"/>
      <c r="I1418" s="1815"/>
      <c r="J1418" s="1908"/>
      <c r="K1418" s="1815"/>
      <c r="L1418" s="1908"/>
      <c r="M1418" s="1908"/>
      <c r="O1418" s="1940" t="s">
        <v>1695</v>
      </c>
      <c r="P1418" s="1229">
        <f>'Part VIII-Threshold Criteria'!P248</f>
        <v>0</v>
      </c>
      <c r="Q1418" s="1229"/>
    </row>
    <row r="1419" spans="1:31" ht="11.25" customHeight="1">
      <c r="B1419" s="1908" t="s">
        <v>3565</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Applicant agrees to provide the required standard site amenities and additional site amenities to conform with th DCA Amenities Guidebook.</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1819</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2690</v>
      </c>
      <c r="B1424" s="1815" t="s">
        <v>4561</v>
      </c>
      <c r="C1424" s="1815"/>
      <c r="D1424" s="449"/>
      <c r="E1424" s="449"/>
      <c r="F1424" s="449"/>
      <c r="G1424" s="449"/>
      <c r="H1424" s="1939"/>
      <c r="I1424" s="1939"/>
      <c r="J1424" s="1939"/>
      <c r="K1424" s="1939"/>
      <c r="L1424" s="1817"/>
      <c r="M1424" s="1944"/>
      <c r="O1424" s="1942" t="s">
        <v>1820</v>
      </c>
      <c r="P1424" s="1897"/>
      <c r="Q1424" s="1897"/>
    </row>
    <row r="1425" spans="1:17" ht="11.4" customHeight="1">
      <c r="A1425" s="1940" t="s">
        <v>1935</v>
      </c>
      <c r="B1425" s="449" t="s">
        <v>1242</v>
      </c>
      <c r="D1425" s="1815"/>
      <c r="E1425" s="449"/>
      <c r="F1425" s="449"/>
      <c r="J1425" s="1940" t="s">
        <v>1935</v>
      </c>
      <c r="K1425" s="449" t="str">
        <f>'Part VIII-Threshold Criteria'!K255</f>
        <v>&lt;&lt;Select&gt;&gt;</v>
      </c>
      <c r="L1425" s="449"/>
      <c r="M1425" s="449"/>
      <c r="N1425" s="449"/>
      <c r="O1425" s="449"/>
      <c r="P1425" s="449" t="s">
        <v>1727</v>
      </c>
      <c r="Q1425" s="449"/>
    </row>
    <row r="1426" spans="1:17" ht="11.4" customHeight="1">
      <c r="A1426" s="1940" t="s">
        <v>1937</v>
      </c>
      <c r="B1426" s="449" t="s">
        <v>2716</v>
      </c>
      <c r="D1426" s="449"/>
      <c r="E1426" s="449"/>
      <c r="F1426" s="449"/>
      <c r="J1426" s="1940" t="s">
        <v>1937</v>
      </c>
      <c r="K1426" s="2140">
        <f>'Part VIII-Threshold Criteria'!K256</f>
        <v>0</v>
      </c>
      <c r="L1426" s="2140"/>
      <c r="M1426" s="2140"/>
      <c r="N1426" s="2140"/>
      <c r="O1426" s="2140"/>
      <c r="P1426" s="2140"/>
      <c r="Q1426" s="2140"/>
    </row>
    <row r="1427" spans="1:17" ht="11.4" customHeight="1">
      <c r="A1427" s="1940"/>
      <c r="B1427" s="449" t="s">
        <v>1897</v>
      </c>
      <c r="D1427" s="449"/>
      <c r="E1427" s="449"/>
      <c r="F1427" s="449"/>
      <c r="K1427" s="449">
        <f>'Part VIII-Threshold Criteria'!K257</f>
        <v>0</v>
      </c>
      <c r="L1427" s="449"/>
      <c r="M1427" s="449"/>
      <c r="N1427" s="449"/>
      <c r="O1427" s="449"/>
      <c r="P1427" s="449"/>
      <c r="Q1427" s="449"/>
    </row>
    <row r="1428" spans="1:17" ht="11.4" customHeight="1">
      <c r="A1428" s="1940"/>
      <c r="B1428" s="449" t="s">
        <v>2476</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4352</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4265</v>
      </c>
      <c r="D1430" s="449"/>
      <c r="E1430" s="449"/>
      <c r="F1430" s="449"/>
    </row>
    <row r="1431" spans="1:17" ht="11.4" customHeight="1">
      <c r="A1431" s="1940"/>
      <c r="C1431" s="449" t="s">
        <v>4263</v>
      </c>
      <c r="D1431" s="449"/>
      <c r="E1431" s="449"/>
      <c r="F1431" s="449"/>
      <c r="K1431" s="1940" t="s">
        <v>4262</v>
      </c>
      <c r="L1431" s="1985">
        <f>'Part VIII-Threshold Criteria'!L261</f>
        <v>0</v>
      </c>
      <c r="M1431" s="449"/>
      <c r="N1431" s="1946"/>
      <c r="O1431" s="1946"/>
      <c r="P1431" s="1229">
        <f>'Part VIII-Threshold Criteria'!P261</f>
        <v>0</v>
      </c>
      <c r="Q1431" s="1229"/>
    </row>
    <row r="1432" spans="1:17" ht="11.4" customHeight="1">
      <c r="A1432" s="1940"/>
      <c r="B1432" s="449"/>
      <c r="C1432" s="1945" t="s">
        <v>4484</v>
      </c>
      <c r="D1432" s="449"/>
      <c r="E1432" s="449"/>
      <c r="F1432" s="449"/>
      <c r="K1432" s="1940" t="s">
        <v>4264</v>
      </c>
      <c r="L1432" s="2170">
        <f>'Part VIII-Threshold Criteria'!L262</f>
        <v>0</v>
      </c>
      <c r="M1432" s="449"/>
      <c r="N1432" s="1946"/>
      <c r="O1432" s="1946"/>
      <c r="P1432" s="1229">
        <f>'Part VIII-Threshold Criteria'!P262</f>
        <v>0</v>
      </c>
      <c r="Q1432" s="1229"/>
    </row>
    <row r="1433" spans="1:17" ht="11.4" customHeight="1">
      <c r="A1433" s="1940"/>
      <c r="B1433" s="449" t="s">
        <v>4261</v>
      </c>
      <c r="D1433" s="449"/>
      <c r="E1433" s="449"/>
      <c r="F1433" s="449"/>
      <c r="K1433" s="449">
        <f>'Part VIII-Threshold Criteria'!K263</f>
        <v>0</v>
      </c>
      <c r="L1433" s="449"/>
      <c r="M1433" s="449"/>
      <c r="N1433" s="449"/>
      <c r="O1433" s="449"/>
      <c r="P1433" s="449"/>
      <c r="Q1433" s="449"/>
    </row>
    <row r="1434" spans="1:17" ht="11.4" customHeight="1">
      <c r="A1434" s="1940" t="s">
        <v>2064</v>
      </c>
      <c r="B1434" s="449" t="s">
        <v>3673</v>
      </c>
      <c r="D1434" s="449"/>
      <c r="E1434" s="449"/>
      <c r="F1434" s="449"/>
      <c r="G1434" s="449"/>
      <c r="H1434" s="449"/>
      <c r="I1434" s="1815"/>
      <c r="J1434" s="1815"/>
      <c r="K1434" s="1815"/>
      <c r="M1434" s="449"/>
      <c r="N1434" s="1946"/>
      <c r="O1434" s="1940" t="s">
        <v>2064</v>
      </c>
      <c r="P1434" s="1229">
        <f>'Part VIII-Threshold Criteria'!P264</f>
        <v>0</v>
      </c>
      <c r="Q1434" s="1229"/>
    </row>
    <row r="1435" spans="1:17" ht="11.4" customHeight="1">
      <c r="A1435" s="1940"/>
      <c r="B1435" s="1936" t="s">
        <v>3571</v>
      </c>
      <c r="C1435" s="1936"/>
      <c r="D1435" s="1936"/>
      <c r="E1435" s="1936"/>
      <c r="F1435" s="1936"/>
      <c r="G1435" s="1936"/>
      <c r="H1435" s="1945" t="s">
        <v>3795</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3796</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3797</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3798</v>
      </c>
      <c r="K1438" s="1815"/>
      <c r="M1438" s="449"/>
      <c r="N1438" s="1946"/>
      <c r="O1438" s="1940" t="s">
        <v>2304</v>
      </c>
      <c r="P1438" s="1229">
        <f>'Part VIII-Threshold Criteria'!P268</f>
        <v>0</v>
      </c>
      <c r="Q1438" s="1229"/>
    </row>
    <row r="1439" spans="1:17" ht="21.75" customHeight="1">
      <c r="B1439" s="1936" t="s">
        <v>6902</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3565</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N/A</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1819</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2193</v>
      </c>
      <c r="B1445" s="1815" t="s">
        <v>2588</v>
      </c>
      <c r="C1445" s="1815"/>
      <c r="D1445" s="449"/>
      <c r="E1445" s="449"/>
      <c r="F1445" s="449"/>
      <c r="G1445" s="449"/>
      <c r="H1445" s="1939"/>
      <c r="I1445" s="1939"/>
      <c r="J1445" s="1939"/>
      <c r="K1445" s="1939"/>
      <c r="L1445" s="1939"/>
      <c r="M1445" s="1939"/>
      <c r="O1445" s="1942" t="s">
        <v>1820</v>
      </c>
      <c r="P1445" s="1897"/>
      <c r="Q1445" s="1897"/>
    </row>
    <row r="1446" spans="1:31" s="1910" customFormat="1" ht="21.75" customHeight="1">
      <c r="A1446" s="1942" t="s">
        <v>1935</v>
      </c>
      <c r="B1446" s="1939" t="s">
        <v>1694</v>
      </c>
      <c r="C1446" s="1936" t="s">
        <v>4708</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3568</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1937</v>
      </c>
      <c r="B1448" s="449" t="s">
        <v>3569</v>
      </c>
      <c r="D1448" s="449"/>
      <c r="E1448" s="449"/>
      <c r="F1448" s="449"/>
      <c r="G1448" s="449"/>
      <c r="H1448" s="449"/>
      <c r="I1448" s="449"/>
      <c r="J1448" s="449"/>
      <c r="K1448" s="449"/>
      <c r="L1448" s="449"/>
      <c r="M1448" s="449"/>
      <c r="O1448" s="1940" t="s">
        <v>1937</v>
      </c>
      <c r="P1448" s="1229" t="str">
        <f>'Part VIII-Threshold Criteria'!P278</f>
        <v>Yes</v>
      </c>
      <c r="Q1448" s="1229"/>
    </row>
    <row r="1449" spans="1:31" s="1910" customFormat="1" ht="19.95" customHeight="1">
      <c r="A1449" s="1942" t="s">
        <v>731</v>
      </c>
      <c r="B1449" s="1939" t="s">
        <v>1694</v>
      </c>
      <c r="C1449" s="1936" t="s">
        <v>4744</v>
      </c>
      <c r="D1449" s="1936"/>
      <c r="E1449" s="1936"/>
      <c r="F1449" s="1936"/>
      <c r="G1449" s="1936"/>
      <c r="H1449" s="1936"/>
      <c r="I1449" s="1936"/>
      <c r="J1449" s="1936"/>
      <c r="K1449" s="1936"/>
      <c r="L1449" s="1936"/>
      <c r="M1449" s="1936"/>
      <c r="N1449" s="1936"/>
      <c r="O1449" s="1942" t="s">
        <v>4745</v>
      </c>
      <c r="P1449" s="1938" t="str">
        <f>'Part VIII-Threshold Criteria'!P279</f>
        <v>Yes</v>
      </c>
      <c r="Q1449" s="1938"/>
    </row>
    <row r="1450" spans="1:31" ht="11.4" customHeight="1">
      <c r="A1450" s="1940"/>
      <c r="B1450" s="1939" t="s">
        <v>1695</v>
      </c>
      <c r="C1450" s="449" t="s">
        <v>3570</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2064</v>
      </c>
      <c r="B1451" s="1936" t="s">
        <v>4746</v>
      </c>
      <c r="C1451" s="1936"/>
      <c r="D1451" s="1936"/>
      <c r="E1451" s="1936"/>
      <c r="F1451" s="1936"/>
      <c r="G1451" s="1936"/>
      <c r="H1451" s="1936"/>
      <c r="I1451" s="1936"/>
      <c r="J1451" s="1936"/>
      <c r="K1451" s="1936"/>
      <c r="L1451" s="1936"/>
      <c r="M1451" s="1936"/>
      <c r="N1451" s="1936"/>
      <c r="O1451" s="1940" t="s">
        <v>2064</v>
      </c>
      <c r="P1451" s="1938" t="str">
        <f>'Part VIII-Threshold Criteria'!P281</f>
        <v>Yes</v>
      </c>
      <c r="Q1451" s="1938"/>
    </row>
    <row r="1452" spans="1:31" ht="11.25" customHeight="1">
      <c r="B1452" s="1908" t="s">
        <v>3565</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Conceptual Site Development Plan has been prepared in accordance with all instructions set forth in the DCA Submission Requirement Manual and Qualified Allocation Plan. Location and vicinity map, color photos of the property and surrounding properties are included along with the Conceptual Site Development Plan are is Tab 15 of the application.</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1819</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3783</v>
      </c>
      <c r="B1457" s="1922" t="s">
        <v>2589</v>
      </c>
      <c r="C1457" s="1922"/>
      <c r="D1457" s="1939"/>
      <c r="E1457" s="1939"/>
      <c r="F1457" s="1939"/>
      <c r="G1457" s="1939"/>
      <c r="H1457" s="1939"/>
      <c r="I1457" s="1939"/>
      <c r="J1457" s="1939"/>
      <c r="K1457" s="1939"/>
      <c r="L1457" s="1939"/>
      <c r="M1457" s="1939"/>
      <c r="O1457" s="1942" t="s">
        <v>1820</v>
      </c>
      <c r="P1457" s="1897"/>
      <c r="Q1457" s="1897"/>
    </row>
    <row r="1458" spans="1:18" s="1910" customFormat="1" ht="30" customHeight="1">
      <c r="A1458" s="1942" t="s">
        <v>1935</v>
      </c>
      <c r="B1458" s="1936" t="s">
        <v>1694</v>
      </c>
      <c r="C1458" s="1936" t="s">
        <v>4391</v>
      </c>
      <c r="D1458" s="1936"/>
      <c r="E1458" s="1936"/>
      <c r="F1458" s="1936"/>
      <c r="G1458" s="1936"/>
      <c r="H1458" s="1936"/>
      <c r="I1458" s="1936"/>
      <c r="J1458" s="1936"/>
      <c r="K1458" s="1936"/>
      <c r="L1458" s="1936"/>
      <c r="M1458" s="1936"/>
      <c r="N1458" s="1936"/>
      <c r="O1458" s="1942" t="s">
        <v>1935</v>
      </c>
      <c r="P1458" s="1938" t="str">
        <f>'Part VIII-Threshold Criteria'!P288</f>
        <v>Agree</v>
      </c>
      <c r="Q1458" s="1938"/>
    </row>
    <row r="1459" spans="1:18" s="1910" customFormat="1" ht="21.75" customHeight="1">
      <c r="A1459" s="1942"/>
      <c r="B1459" s="1936" t="s">
        <v>1695</v>
      </c>
      <c r="C1459" s="1936" t="s">
        <v>2717</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1937</v>
      </c>
      <c r="B1460" s="1897" t="s">
        <v>305</v>
      </c>
      <c r="D1460" s="1815"/>
      <c r="E1460" s="1815"/>
      <c r="R1460" s="1993"/>
    </row>
    <row r="1461" spans="1:18" ht="11.4" customHeight="1">
      <c r="A1461" s="1904"/>
      <c r="B1461" s="449" t="s">
        <v>4549</v>
      </c>
      <c r="D1461" s="1815"/>
      <c r="E1461" s="1815"/>
      <c r="O1461" s="1940" t="s">
        <v>1937</v>
      </c>
      <c r="P1461" s="1938" t="str">
        <f>'Part VIII-Threshold Criteria'!P291</f>
        <v>Agree</v>
      </c>
      <c r="Q1461" s="1938"/>
      <c r="R1461" s="1940"/>
    </row>
    <row r="1462" spans="1:18" s="1947" customFormat="1" ht="11.4" customHeight="1">
      <c r="A1462" s="1815"/>
      <c r="B1462" s="1908" t="s">
        <v>3565</v>
      </c>
      <c r="C1462" s="1815"/>
      <c r="D1462" s="1897"/>
      <c r="E1462" s="1897"/>
      <c r="F1462" s="1897"/>
      <c r="G1462" s="1897"/>
      <c r="K1462" s="449"/>
      <c r="M1462" s="1896"/>
      <c r="N1462" s="1896"/>
      <c r="O1462" s="1923"/>
      <c r="P1462" s="1896"/>
    </row>
    <row r="1463" spans="1:18" s="1951" customFormat="1" ht="21.75" customHeight="1">
      <c r="A1463" s="1936" t="str">
        <f>'Part VIII-Threshold Criteria'!A293</f>
        <v>Please see Tab 16 for Building Sustainability documenation, which includes the EarthCraft Multifamily worksheet and the Green Building Certificate of Completion.</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1819</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3784</v>
      </c>
      <c r="B1467" s="1922" t="s">
        <v>2590</v>
      </c>
      <c r="C1467" s="1981"/>
      <c r="D1467" s="1939"/>
      <c r="E1467" s="1939"/>
      <c r="F1467" s="1939"/>
      <c r="G1467" s="1939"/>
      <c r="H1467" s="1939"/>
      <c r="I1467" s="1939"/>
      <c r="J1467" s="1939"/>
      <c r="K1467" s="1939"/>
      <c r="L1467" s="1939"/>
      <c r="M1467" s="1939"/>
      <c r="O1467" s="1942" t="s">
        <v>1820</v>
      </c>
      <c r="P1467" s="1897"/>
      <c r="Q1467" s="1897"/>
    </row>
    <row r="1468" spans="1:18" ht="12.75" customHeight="1">
      <c r="A1468" s="1904" t="s">
        <v>1935</v>
      </c>
      <c r="B1468" s="1911" t="s">
        <v>6873</v>
      </c>
    </row>
    <row r="1469" spans="1:18" ht="44.25" customHeight="1">
      <c r="A1469" s="1942"/>
      <c r="B1469" s="1939" t="s">
        <v>1694</v>
      </c>
      <c r="C1469" s="1936" t="s">
        <v>3675</v>
      </c>
      <c r="D1469" s="1936"/>
      <c r="E1469" s="1936"/>
      <c r="F1469" s="1936"/>
      <c r="G1469" s="1936"/>
      <c r="H1469" s="1936"/>
      <c r="I1469" s="1936"/>
      <c r="J1469" s="1936"/>
      <c r="K1469" s="1936"/>
      <c r="L1469" s="1936"/>
      <c r="M1469" s="1936"/>
      <c r="N1469" s="1936"/>
      <c r="O1469" s="1942" t="s">
        <v>2642</v>
      </c>
      <c r="P1469" s="1938" t="str">
        <f>'Part VIII-Threshold Criteria'!P299</f>
        <v>Yes</v>
      </c>
      <c r="Q1469" s="1938"/>
    </row>
    <row r="1470" spans="1:18" s="1910" customFormat="1" ht="12" customHeight="1">
      <c r="A1470" s="1942"/>
      <c r="B1470" s="1939" t="s">
        <v>1695</v>
      </c>
      <c r="C1470" s="1936" t="s">
        <v>4743</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3674</v>
      </c>
      <c r="D1471" s="1936"/>
      <c r="E1471" s="1936"/>
      <c r="F1471" s="1936"/>
      <c r="G1471" s="1936"/>
      <c r="H1471" s="1936"/>
      <c r="I1471" s="1936"/>
      <c r="J1471" s="1936"/>
      <c r="K1471" s="1936"/>
      <c r="L1471" s="1936"/>
      <c r="M1471" s="1936"/>
      <c r="N1471" s="1936"/>
      <c r="O1471" s="1942" t="s">
        <v>1696</v>
      </c>
      <c r="P1471" s="1938">
        <f>'Part VIII-Threshold Criteria'!P301</f>
        <v>0</v>
      </c>
      <c r="Q1471" s="1938"/>
    </row>
    <row r="1472" spans="1:18" s="1815" customFormat="1" ht="12.75" customHeight="1">
      <c r="A1472" s="1904" t="s">
        <v>1937</v>
      </c>
      <c r="B1472" s="1911" t="s">
        <v>3651</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6874</v>
      </c>
      <c r="D1473" s="1936"/>
      <c r="E1473" s="1936"/>
      <c r="F1473" s="1936"/>
      <c r="G1473" s="1936"/>
      <c r="H1473" s="1936"/>
      <c r="I1473" s="1936"/>
      <c r="J1473" s="1945" t="s">
        <v>3601</v>
      </c>
      <c r="K1473" s="1945"/>
      <c r="L1473" s="1945"/>
      <c r="M1473" s="449" t="s">
        <v>3573</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3574</v>
      </c>
      <c r="N1474" s="1229" t="s">
        <v>3600</v>
      </c>
      <c r="P1474" s="1828"/>
    </row>
    <row r="1475" spans="1:33" s="1819" customFormat="1" ht="13.35" customHeight="1">
      <c r="A1475" s="1826"/>
      <c r="B1475" s="1823"/>
      <c r="C1475" s="1936"/>
      <c r="D1475" s="1936"/>
      <c r="E1475" s="1936"/>
      <c r="F1475" s="1936"/>
      <c r="G1475" s="1936"/>
      <c r="H1475" s="1936"/>
      <c r="I1475" s="449" t="s">
        <v>3800</v>
      </c>
      <c r="K1475" s="2228">
        <f>'Part VIII-Threshold Criteria'!K305</f>
        <v>3</v>
      </c>
      <c r="L1475" s="1823" t="str">
        <f>IF(K1475&lt;M1475,"Check!!!","")</f>
        <v/>
      </c>
      <c r="M1475" s="2142">
        <f>ROUNDUP('Part VI-Revenues &amp; Expenses'!$P$67*'Part VIII-Threshold Criteria'!N1475,0)</f>
        <v>0</v>
      </c>
      <c r="N1475" s="2143">
        <f>'DCA Underwriting Assumptions'!$Q$154</f>
        <v>0.05</v>
      </c>
      <c r="O1475" s="1940" t="s">
        <v>3470</v>
      </c>
      <c r="P1475" s="1229" t="str">
        <f>'Part VIII-Threshold Criteria'!P305</f>
        <v>Yes</v>
      </c>
      <c r="Q1475" s="1229"/>
      <c r="V1475" s="449"/>
      <c r="X1475" s="449"/>
      <c r="Z1475" s="1823" t="str">
        <f>IF(AA1475="","",IF(AA1475&lt;AC1475,"Check!!!",""))</f>
        <v/>
      </c>
      <c r="AA1475" s="1823" t="str">
        <f t="shared" ref="AA1475:AG1475" si="389">IF(AB1475="","",IF(AB1475&lt;AD1475,"Check!!!",""))</f>
        <v/>
      </c>
      <c r="AB1475" s="1823" t="str">
        <f t="shared" si="389"/>
        <v/>
      </c>
      <c r="AC1475" s="1823" t="str">
        <f t="shared" si="389"/>
        <v/>
      </c>
      <c r="AD1475" s="1823" t="str">
        <f t="shared" si="389"/>
        <v/>
      </c>
      <c r="AE1475" s="1823" t="str">
        <f t="shared" si="389"/>
        <v/>
      </c>
      <c r="AF1475" s="1823" t="str">
        <f t="shared" si="389"/>
        <v/>
      </c>
      <c r="AG1475" s="1823" t="str">
        <f t="shared" si="389"/>
        <v/>
      </c>
    </row>
    <row r="1476" spans="1:33" s="1815" customFormat="1" ht="12.75" customHeight="1">
      <c r="A1476" s="1942"/>
      <c r="B1476" s="1939"/>
      <c r="C1476" s="1936" t="s">
        <v>6875</v>
      </c>
      <c r="D1476" s="1936"/>
      <c r="E1476" s="1936"/>
      <c r="F1476" s="1936"/>
      <c r="G1476" s="1936"/>
      <c r="H1476" s="1936"/>
      <c r="I1476" s="1944" t="s">
        <v>3801</v>
      </c>
      <c r="J1476" s="1819"/>
      <c r="K1476" s="2228">
        <f>'Part VIII-Threshold Criteria'!K306</f>
        <v>2</v>
      </c>
      <c r="L1476" s="1823" t="str">
        <f>IF(K1476&lt;M1476,"Check!!!","")</f>
        <v/>
      </c>
      <c r="M1476" s="2142">
        <f>ROUNDUP(K1475*'Part VIII-Threshold Criteria'!N1476,0)</f>
        <v>0</v>
      </c>
      <c r="N1476" s="2143">
        <f>'DCA Underwriting Assumptions'!$Q$155</f>
        <v>0.4</v>
      </c>
      <c r="O1476" s="1940" t="s">
        <v>2066</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0">IF(AB1477="","",IF(AB1477&lt;AD1477,"Check!!!",""))</f>
        <v/>
      </c>
      <c r="AB1477" s="1823" t="str">
        <f t="shared" si="390"/>
        <v/>
      </c>
      <c r="AC1477" s="1823" t="str">
        <f t="shared" si="390"/>
        <v/>
      </c>
      <c r="AD1477" s="1823" t="str">
        <f t="shared" si="390"/>
        <v/>
      </c>
      <c r="AE1477" s="1823" t="str">
        <f t="shared" si="390"/>
        <v/>
      </c>
      <c r="AF1477" s="1823" t="str">
        <f t="shared" si="390"/>
        <v/>
      </c>
      <c r="AG1477" s="1823" t="str">
        <f t="shared" si="390"/>
        <v/>
      </c>
    </row>
    <row r="1478" spans="1:33" s="1815" customFormat="1" ht="12.75" customHeight="1">
      <c r="A1478" s="1942"/>
      <c r="B1478" s="1939" t="s">
        <v>1695</v>
      </c>
      <c r="C1478" s="1936" t="s">
        <v>6876</v>
      </c>
      <c r="D1478" s="1936"/>
      <c r="E1478" s="1936"/>
      <c r="F1478" s="1936"/>
      <c r="G1478" s="1936"/>
      <c r="H1478" s="1936"/>
      <c r="I1478" s="449" t="s">
        <v>3802</v>
      </c>
      <c r="J1478" s="1819"/>
      <c r="K1478" s="2228">
        <f>'Part VIII-Threshold Criteria'!K308</f>
        <v>1</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1">IF(AB1480="","",IF(AB1480&lt;AD1480,"Check!!!",""))</f>
        <v/>
      </c>
      <c r="AB1480" s="1823" t="str">
        <f t="shared" si="391"/>
        <v/>
      </c>
      <c r="AC1480" s="1823" t="str">
        <f t="shared" si="391"/>
        <v/>
      </c>
      <c r="AD1480" s="1823" t="str">
        <f t="shared" si="391"/>
        <v/>
      </c>
      <c r="AE1480" s="1823" t="str">
        <f t="shared" si="391"/>
        <v/>
      </c>
      <c r="AF1480" s="1823" t="str">
        <f t="shared" si="391"/>
        <v/>
      </c>
      <c r="AG1480" s="1823" t="str">
        <f t="shared" si="391"/>
        <v/>
      </c>
    </row>
    <row r="1481" spans="1:33" s="1819" customFormat="1" ht="10.5" customHeight="1">
      <c r="A1481" s="1904" t="s">
        <v>731</v>
      </c>
      <c r="B1481" s="1911" t="s">
        <v>3652</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3472</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3473</v>
      </c>
      <c r="D1483" s="1936"/>
      <c r="E1483" s="1936"/>
      <c r="F1483" s="1936"/>
      <c r="G1483" s="1936"/>
      <c r="H1483" s="1936"/>
      <c r="I1483" s="1936" t="s">
        <v>3572</v>
      </c>
      <c r="J1483" s="1936"/>
      <c r="K1483" s="1936"/>
      <c r="L1483" s="1936" t="str">
        <f>'Part VIII-Threshold Criteria'!L313</f>
        <v>Zeffert &amp; Associates</v>
      </c>
      <c r="M1483" s="1936"/>
      <c r="N1483" s="1936"/>
      <c r="O1483" s="1936"/>
      <c r="P1483" s="1936"/>
      <c r="Q1483" s="1936"/>
      <c r="R1483" s="1936"/>
    </row>
    <row r="1484" spans="1:33" s="1910" customFormat="1" ht="44.25" customHeight="1">
      <c r="B1484" s="1939" t="s">
        <v>1694</v>
      </c>
      <c r="C1484" s="1936" t="s">
        <v>3471</v>
      </c>
      <c r="D1484" s="1936"/>
      <c r="E1484" s="1936"/>
      <c r="F1484" s="1936"/>
      <c r="G1484" s="1936"/>
      <c r="H1484" s="1936"/>
      <c r="I1484" s="1936"/>
      <c r="J1484" s="1936"/>
      <c r="K1484" s="1936"/>
      <c r="L1484" s="1936"/>
      <c r="M1484" s="1936"/>
      <c r="N1484" s="1936"/>
      <c r="O1484" s="1942" t="s">
        <v>3476</v>
      </c>
      <c r="P1484" s="1938" t="str">
        <f>'Part VIII-Threshold Criteria'!P314</f>
        <v>Yes</v>
      </c>
      <c r="Q1484" s="1938"/>
    </row>
    <row r="1485" spans="1:33" s="1910" customFormat="1" ht="34.5" customHeight="1">
      <c r="B1485" s="1939" t="s">
        <v>1695</v>
      </c>
      <c r="C1485" s="1936" t="s">
        <v>4353</v>
      </c>
      <c r="D1485" s="1936"/>
      <c r="E1485" s="1936"/>
      <c r="F1485" s="1936"/>
      <c r="G1485" s="1936"/>
      <c r="H1485" s="1936"/>
      <c r="I1485" s="1936"/>
      <c r="J1485" s="1936"/>
      <c r="K1485" s="1936"/>
      <c r="L1485" s="1936"/>
      <c r="M1485" s="1936"/>
      <c r="N1485" s="1936"/>
      <c r="O1485" s="1942" t="s">
        <v>3477</v>
      </c>
      <c r="P1485" s="1938" t="str">
        <f>'Part VIII-Threshold Criteria'!P315</f>
        <v>Yes</v>
      </c>
      <c r="Q1485" s="1938"/>
    </row>
    <row r="1486" spans="1:33" s="1910" customFormat="1" ht="22.5" customHeight="1">
      <c r="B1486" s="1939" t="s">
        <v>1696</v>
      </c>
      <c r="C1486" s="1936" t="s">
        <v>3474</v>
      </c>
      <c r="D1486" s="1936"/>
      <c r="E1486" s="1936"/>
      <c r="F1486" s="1936"/>
      <c r="G1486" s="1936"/>
      <c r="H1486" s="1936"/>
      <c r="I1486" s="1936"/>
      <c r="J1486" s="1936"/>
      <c r="K1486" s="1936"/>
      <c r="L1486" s="1936"/>
      <c r="M1486" s="1936"/>
      <c r="N1486" s="1936"/>
      <c r="O1486" s="1942" t="s">
        <v>3478</v>
      </c>
      <c r="P1486" s="1938" t="str">
        <f>'Part VIII-Threshold Criteria'!P316</f>
        <v>Yes</v>
      </c>
      <c r="Q1486" s="1938"/>
    </row>
    <row r="1487" spans="1:33" s="1910" customFormat="1" ht="32.25" customHeight="1">
      <c r="B1487" s="1939" t="s">
        <v>2304</v>
      </c>
      <c r="C1487" s="1936" t="s">
        <v>3475</v>
      </c>
      <c r="D1487" s="1936"/>
      <c r="E1487" s="1936"/>
      <c r="F1487" s="1936"/>
      <c r="G1487" s="1936"/>
      <c r="H1487" s="1936"/>
      <c r="I1487" s="1936"/>
      <c r="J1487" s="1936"/>
      <c r="K1487" s="1936"/>
      <c r="L1487" s="1936"/>
      <c r="M1487" s="1936"/>
      <c r="N1487" s="1936"/>
      <c r="O1487" s="1942" t="s">
        <v>3479</v>
      </c>
      <c r="P1487" s="1938" t="str">
        <f>'Part VIII-Threshold Criteria'!P317</f>
        <v>Yes</v>
      </c>
      <c r="Q1487" s="1938"/>
    </row>
    <row r="1488" spans="1:33" ht="11.25" customHeight="1">
      <c r="B1488" s="1908" t="s">
        <v>3565</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The Applicant will retain a DCA qualified consultant to monitor the project for accessibility compliance who will not be a member of the proposed project team nor have an identity of interest with any member of the proposed project team.</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1819</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3782</v>
      </c>
      <c r="B1492" s="1815" t="s">
        <v>2591</v>
      </c>
      <c r="C1492" s="1815"/>
      <c r="D1492" s="1815"/>
      <c r="E1492" s="1815"/>
      <c r="F1492" s="1815"/>
      <c r="G1492" s="1815"/>
      <c r="H1492" s="1939"/>
      <c r="I1492" s="1939"/>
      <c r="J1492" s="1939"/>
      <c r="K1492" s="1939"/>
      <c r="L1492" s="1939"/>
      <c r="M1492" s="1939"/>
      <c r="O1492" s="1942" t="s">
        <v>1820</v>
      </c>
      <c r="P1492" s="1897"/>
      <c r="Q1492" s="1897"/>
    </row>
    <row r="1493" spans="1:256 1523:1523" ht="11.4" customHeight="1">
      <c r="B1493" s="1945" t="s">
        <v>2194</v>
      </c>
      <c r="P1493" s="1229" t="str">
        <f>'Part VIII-Threshold Criteria'!P323</f>
        <v>No</v>
      </c>
      <c r="Q1493" s="1229"/>
    </row>
    <row r="1494" spans="1:256 1523:1523" ht="12" customHeight="1">
      <c r="B1494" s="1939" t="s">
        <v>2154</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1935</v>
      </c>
      <c r="B1495" s="1908" t="s">
        <v>6877</v>
      </c>
      <c r="D1495" s="1908"/>
      <c r="E1495" s="1908"/>
      <c r="F1495" s="1908"/>
      <c r="G1495" s="1908"/>
      <c r="H1495" s="1908"/>
      <c r="I1495" s="1908"/>
      <c r="J1495" s="1908"/>
      <c r="K1495" s="1908"/>
      <c r="L1495" s="1908"/>
      <c r="M1495" s="1908"/>
      <c r="N1495" s="1942"/>
    </row>
    <row r="1496" spans="1:256 1523:1523" ht="22.5" customHeight="1">
      <c r="B1496" s="1936" t="s">
        <v>2779</v>
      </c>
      <c r="C1496" s="1936"/>
      <c r="D1496" s="1936"/>
      <c r="E1496" s="1936"/>
      <c r="F1496" s="1936"/>
      <c r="G1496" s="1936"/>
      <c r="H1496" s="1936"/>
      <c r="I1496" s="1936"/>
      <c r="J1496" s="1936"/>
      <c r="K1496" s="1936"/>
      <c r="L1496" s="1936"/>
      <c r="M1496" s="1936"/>
      <c r="N1496" s="1936"/>
      <c r="O1496" s="1942" t="s">
        <v>1935</v>
      </c>
      <c r="P1496" s="1938">
        <f>'Part VIII-Threshold Criteria'!P326</f>
        <v>0</v>
      </c>
      <c r="Q1496" s="1938"/>
    </row>
    <row r="1497" spans="1:256 1523:1523" ht="12.6" customHeight="1">
      <c r="A1497" s="1942" t="s">
        <v>1937</v>
      </c>
      <c r="B1497" s="449" t="s">
        <v>451</v>
      </c>
      <c r="D1497" s="449"/>
      <c r="E1497" s="449"/>
      <c r="F1497" s="449"/>
      <c r="G1497" s="449"/>
      <c r="H1497" s="449"/>
      <c r="I1497" s="449"/>
      <c r="J1497" s="449"/>
      <c r="K1497" s="449"/>
      <c r="L1497" s="449"/>
      <c r="M1497" s="449"/>
      <c r="O1497" s="1942" t="s">
        <v>1937</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2643</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6878</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3565</v>
      </c>
      <c r="D1505" s="1908"/>
      <c r="E1505" s="1908"/>
      <c r="F1505" s="1908"/>
      <c r="G1505" s="1908"/>
      <c r="H1505" s="1908"/>
      <c r="I1505" s="1229"/>
      <c r="J1505" s="1229"/>
      <c r="K1505" s="1229"/>
      <c r="L1505" s="1732"/>
      <c r="M1505" s="1732"/>
      <c r="N1505" s="1732"/>
      <c r="O1505" s="1732"/>
      <c r="P1505" s="1732"/>
      <c r="Q1505" s="1732"/>
    </row>
    <row r="1506" spans="1:31" ht="11.4" customHeight="1">
      <c r="A1506" s="1936">
        <f>'Part VIII-Threshold Criteria'!A336</f>
        <v>0</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1819</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3785</v>
      </c>
      <c r="B1509" s="1922" t="s">
        <v>3806</v>
      </c>
      <c r="C1509" s="1922"/>
      <c r="D1509" s="1939"/>
      <c r="E1509" s="1939"/>
      <c r="F1509" s="1939"/>
      <c r="G1509" s="1939"/>
      <c r="H1509" s="1939"/>
      <c r="O1509" s="1942" t="s">
        <v>1820</v>
      </c>
      <c r="P1509" s="1897"/>
      <c r="Q1509" s="1897"/>
    </row>
    <row r="1510" spans="1:31" ht="11.4" customHeight="1">
      <c r="A1510" s="1940" t="s">
        <v>1935</v>
      </c>
      <c r="B1510" s="1945" t="s">
        <v>4709</v>
      </c>
      <c r="O1510" s="1942" t="s">
        <v>1935</v>
      </c>
      <c r="P1510" s="1229" t="str">
        <f>'Part VIII-Threshold Criteria'!P340</f>
        <v>Yes</v>
      </c>
      <c r="Q1510" s="1229"/>
    </row>
    <row r="1511" spans="1:31" ht="11.4" customHeight="1">
      <c r="A1511" s="1942" t="s">
        <v>1937</v>
      </c>
      <c r="B1511" s="1945" t="s">
        <v>3773</v>
      </c>
      <c r="O1511" s="1942" t="s">
        <v>1937</v>
      </c>
      <c r="P1511" s="1229" t="str">
        <f>'Part VIII-Threshold Criteria'!P341</f>
        <v>Yes</v>
      </c>
      <c r="Q1511" s="1229"/>
    </row>
    <row r="1512" spans="1:31" ht="11.4" customHeight="1">
      <c r="A1512" s="1942" t="s">
        <v>731</v>
      </c>
      <c r="B1512" s="1945" t="s">
        <v>2290</v>
      </c>
      <c r="O1512" s="1942" t="s">
        <v>731</v>
      </c>
      <c r="P1512" s="1229" t="str">
        <f>'Part VIII-Threshold Criteria'!P342</f>
        <v>No</v>
      </c>
      <c r="Q1512" s="1229"/>
    </row>
    <row r="1513" spans="1:31" ht="11.4" customHeight="1">
      <c r="A1513" s="1940" t="s">
        <v>2064</v>
      </c>
      <c r="B1513" s="1945" t="s">
        <v>3627</v>
      </c>
      <c r="O1513" s="1940" t="s">
        <v>2064</v>
      </c>
      <c r="P1513" s="1229" t="str">
        <f>'Part VIII-Threshold Criteria'!P343</f>
        <v>No</v>
      </c>
      <c r="Q1513" s="1229"/>
    </row>
    <row r="1514" spans="1:31" ht="11.4" customHeight="1">
      <c r="A1514" s="1942" t="s">
        <v>1692</v>
      </c>
      <c r="B1514" s="1945" t="s">
        <v>2780</v>
      </c>
      <c r="N1514" s="1942" t="s">
        <v>1692</v>
      </c>
      <c r="O1514" s="1918" t="str">
        <f>'Part VIII-Threshold Criteria'!O344</f>
        <v>Certifying GP/Developer</v>
      </c>
      <c r="P1514" s="1918"/>
      <c r="Q1514" s="1918"/>
    </row>
    <row r="1515" spans="1:31" ht="11.4" customHeight="1">
      <c r="A1515" s="1942" t="s">
        <v>1693</v>
      </c>
      <c r="B1515" s="1945" t="s">
        <v>2291</v>
      </c>
      <c r="N1515" s="1942" t="s">
        <v>1693</v>
      </c>
      <c r="O1515" s="1918" t="s">
        <v>2781</v>
      </c>
      <c r="P1515" s="1918"/>
      <c r="Q1515" s="1918"/>
    </row>
    <row r="1516" spans="1:31" ht="11.25" customHeight="1">
      <c r="B1516" s="1908" t="s">
        <v>3565</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Please see Tab 19 of the application for the Qualification Determination letter.</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1819</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3786</v>
      </c>
      <c r="B1521" s="1815" t="s">
        <v>3764</v>
      </c>
      <c r="C1521" s="1815"/>
      <c r="D1521" s="1815"/>
      <c r="E1521" s="1815"/>
      <c r="F1521" s="1815"/>
      <c r="G1521" s="1815"/>
      <c r="H1521" s="1939"/>
      <c r="I1521" s="1939"/>
      <c r="J1521" s="1939"/>
      <c r="K1521" s="1939"/>
      <c r="L1521" s="1939"/>
      <c r="M1521" s="1939"/>
      <c r="O1521" s="1942" t="s">
        <v>1820</v>
      </c>
      <c r="P1521" s="1897"/>
      <c r="Q1521" s="1897"/>
    </row>
    <row r="1522" spans="1:31" ht="10.5" customHeight="1">
      <c r="A1522" s="1940" t="s">
        <v>1935</v>
      </c>
      <c r="B1522" s="449" t="s">
        <v>3765</v>
      </c>
      <c r="D1522" s="1815"/>
      <c r="E1522" s="1815"/>
      <c r="F1522" s="1815"/>
      <c r="G1522" s="1815"/>
      <c r="H1522" s="1940" t="s">
        <v>1935</v>
      </c>
      <c r="I1522" s="449">
        <f>'Part VIII-Threshold Criteria'!I352</f>
        <v>0</v>
      </c>
      <c r="J1522" s="449"/>
      <c r="K1522" s="449"/>
      <c r="L1522" s="449"/>
      <c r="M1522" s="449"/>
      <c r="N1522" s="449"/>
      <c r="O1522" s="449"/>
      <c r="P1522" s="449"/>
      <c r="Q1522" s="1229"/>
    </row>
    <row r="1523" spans="1:31" ht="10.5" customHeight="1">
      <c r="A1523" s="1942" t="s">
        <v>1937</v>
      </c>
      <c r="B1523" s="449" t="s">
        <v>3766</v>
      </c>
      <c r="D1523" s="1815"/>
      <c r="E1523" s="1815"/>
      <c r="F1523" s="1815"/>
      <c r="G1523" s="1815"/>
      <c r="H1523" s="1942" t="s">
        <v>1937</v>
      </c>
      <c r="I1523" s="449">
        <f>'Part VIII-Threshold Criteria'!I353</f>
        <v>0</v>
      </c>
      <c r="J1523" s="449"/>
      <c r="K1523" s="449"/>
      <c r="L1523" s="449"/>
      <c r="M1523" s="449"/>
      <c r="N1523" s="449"/>
      <c r="O1523" s="449"/>
      <c r="P1523" s="449"/>
      <c r="Q1523" s="1229"/>
    </row>
    <row r="1524" spans="1:31" ht="21.75" customHeight="1">
      <c r="A1524" s="1942" t="s">
        <v>731</v>
      </c>
      <c r="B1524" s="449" t="s">
        <v>3757</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2064</v>
      </c>
      <c r="B1525" s="1936" t="s">
        <v>3758</v>
      </c>
      <c r="C1525" s="1936"/>
      <c r="D1525" s="1936"/>
      <c r="E1525" s="1936"/>
      <c r="F1525" s="1936"/>
      <c r="G1525" s="1936"/>
      <c r="H1525" s="1936"/>
      <c r="I1525" s="1936"/>
      <c r="J1525" s="1936"/>
      <c r="K1525" s="1936"/>
      <c r="L1525" s="1936"/>
      <c r="M1525" s="1936"/>
      <c r="N1525" s="1936"/>
      <c r="O1525" s="1940" t="s">
        <v>2064</v>
      </c>
      <c r="P1525" s="1938">
        <f>'Part VIII-Threshold Criteria'!P355</f>
        <v>0</v>
      </c>
      <c r="Q1525" s="1938"/>
    </row>
    <row r="1526" spans="1:31" ht="10.5" customHeight="1">
      <c r="A1526" s="1942" t="s">
        <v>1692</v>
      </c>
      <c r="B1526" s="449" t="s">
        <v>3759</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3760</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1899</v>
      </c>
      <c r="B1528" s="1936" t="s">
        <v>3761</v>
      </c>
      <c r="D1528" s="1936"/>
      <c r="E1528" s="1936"/>
      <c r="F1528" s="1936"/>
      <c r="G1528" s="1936"/>
      <c r="H1528" s="1936"/>
      <c r="I1528" s="1936"/>
      <c r="J1528" s="1936"/>
      <c r="K1528" s="1936"/>
      <c r="L1528" s="1936"/>
      <c r="M1528" s="1936"/>
      <c r="N1528" s="1936"/>
      <c r="O1528" s="1942" t="s">
        <v>1899</v>
      </c>
      <c r="P1528" s="1938">
        <f>'Part VIII-Threshold Criteria'!P358</f>
        <v>0</v>
      </c>
      <c r="Q1528" s="1938"/>
    </row>
    <row r="1529" spans="1:31" s="1910" customFormat="1" ht="10.5" customHeight="1">
      <c r="C1529" s="1939" t="s">
        <v>6903</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3262</v>
      </c>
      <c r="B1530" s="1936" t="s">
        <v>3762</v>
      </c>
      <c r="C1530" s="1936"/>
      <c r="D1530" s="1936"/>
      <c r="E1530" s="1936"/>
      <c r="F1530" s="1936"/>
      <c r="G1530" s="1936"/>
      <c r="H1530" s="1936"/>
      <c r="I1530" s="1936"/>
      <c r="J1530" s="1936"/>
      <c r="K1530" s="1936"/>
      <c r="L1530" s="1936"/>
      <c r="M1530" s="1936"/>
      <c r="N1530" s="1936"/>
      <c r="O1530" s="1942" t="s">
        <v>3262</v>
      </c>
      <c r="P1530" s="1938">
        <f>'Part VIII-Threshold Criteria'!P360</f>
        <v>0</v>
      </c>
      <c r="Q1530" s="1938"/>
    </row>
    <row r="1531" spans="1:31" ht="33" customHeight="1">
      <c r="A1531" s="1942" t="s">
        <v>598</v>
      </c>
      <c r="B1531" s="1936" t="s">
        <v>3763</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3565</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N/A</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1819</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3789</v>
      </c>
      <c r="B1537" s="1815" t="s">
        <v>4693</v>
      </c>
      <c r="C1537" s="1815"/>
      <c r="D1537" s="1815"/>
      <c r="E1537" s="1815"/>
      <c r="F1537" s="1815"/>
      <c r="G1537" s="1815"/>
      <c r="H1537" s="1939"/>
      <c r="I1537" s="1939"/>
      <c r="J1537" s="1939"/>
      <c r="O1537" s="1942" t="s">
        <v>1820</v>
      </c>
      <c r="P1537" s="1897"/>
      <c r="Q1537" s="1897"/>
    </row>
    <row r="1538" spans="1:18" s="1815" customFormat="1" ht="10.5" customHeight="1">
      <c r="A1538" s="1940" t="s">
        <v>1935</v>
      </c>
      <c r="B1538" s="449" t="s">
        <v>3678</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4360</v>
      </c>
      <c r="D1539" s="449"/>
      <c r="E1539" s="449"/>
      <c r="F1539" s="449"/>
      <c r="H1539" s="449" t="s">
        <v>599</v>
      </c>
      <c r="J1539" s="449">
        <f>'Part VIII-Threshold Criteria'!J369</f>
        <v>0</v>
      </c>
      <c r="K1539" s="449"/>
      <c r="L1539" s="449"/>
      <c r="M1539" s="449"/>
      <c r="N1539" s="449" t="s">
        <v>3677</v>
      </c>
      <c r="O1539" s="449"/>
      <c r="P1539" s="449">
        <f>'Part VIII-Threshold Criteria'!P369</f>
        <v>0</v>
      </c>
      <c r="Q1539" s="449"/>
    </row>
    <row r="1540" spans="1:18" s="1815" customFormat="1" ht="11.25" customHeight="1">
      <c r="B1540" s="1908"/>
      <c r="C1540" s="1908"/>
      <c r="D1540" s="1908"/>
      <c r="E1540" s="1908"/>
      <c r="F1540" s="1908"/>
      <c r="G1540" s="1908"/>
      <c r="H1540" s="1908" t="s">
        <v>4485</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3679</v>
      </c>
      <c r="J1541" s="1978">
        <f>'Part VIII-Threshold Criteria'!J371</f>
        <v>0</v>
      </c>
      <c r="K1541" s="1978"/>
      <c r="O1541" s="1940"/>
    </row>
    <row r="1542" spans="1:18" s="1815" customFormat="1" ht="11.25" customHeight="1">
      <c r="A1542" s="1940"/>
      <c r="B1542" s="1908" t="s">
        <v>1696</v>
      </c>
      <c r="C1542" s="449" t="s">
        <v>3680</v>
      </c>
      <c r="D1542" s="1896"/>
      <c r="E1542" s="449"/>
      <c r="I1542" s="449"/>
      <c r="J1542" s="449">
        <f>'Part I-Project Information'!K1210</f>
        <v>0</v>
      </c>
      <c r="K1542" s="449"/>
      <c r="L1542" s="1908" t="s">
        <v>3681</v>
      </c>
      <c r="M1542" s="449"/>
      <c r="N1542" s="449"/>
      <c r="O1542" s="1940" t="s">
        <v>1696</v>
      </c>
      <c r="P1542" s="1229">
        <f>'Part VIII-Threshold Criteria'!P372</f>
        <v>0</v>
      </c>
      <c r="Q1542" s="1229"/>
    </row>
    <row r="1543" spans="1:18" s="1815" customFormat="1" ht="11.25" customHeight="1">
      <c r="A1543" s="1940"/>
      <c r="B1543" s="1908" t="s">
        <v>2304</v>
      </c>
      <c r="C1543" s="449" t="s">
        <v>4354</v>
      </c>
      <c r="E1543" s="449"/>
      <c r="F1543" s="449"/>
      <c r="G1543" s="449"/>
      <c r="H1543" s="449" t="s">
        <v>4355</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4356</v>
      </c>
      <c r="I1544" s="449"/>
      <c r="J1544" s="449">
        <f>'Part VIII-Threshold Criteria'!J374</f>
        <v>0</v>
      </c>
      <c r="K1544" s="449"/>
      <c r="L1544" s="449"/>
      <c r="M1544" s="449"/>
      <c r="N1544" s="449"/>
      <c r="O1544" s="1940"/>
    </row>
    <row r="1545" spans="1:18" s="1815" customFormat="1" ht="11.25" customHeight="1">
      <c r="A1545" s="1940"/>
      <c r="B1545" s="1908" t="s">
        <v>1516</v>
      </c>
      <c r="C1545" s="449" t="s">
        <v>3682</v>
      </c>
      <c r="E1545" s="449"/>
      <c r="F1545" s="1979">
        <f>'Part IV-A-Uses of Funds'!J1352</f>
        <v>0</v>
      </c>
      <c r="G1545" s="1979"/>
      <c r="H1545" s="449" t="s">
        <v>3683</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4562</v>
      </c>
      <c r="E1546" s="449"/>
      <c r="F1546" s="449"/>
      <c r="G1546" s="449"/>
      <c r="H1546" s="449" t="s">
        <v>4357</v>
      </c>
      <c r="I1546" s="449"/>
      <c r="J1546" s="1979">
        <f>'Part VIII-Threshold Criteria'!J376</f>
        <v>0</v>
      </c>
      <c r="K1546" s="1979"/>
      <c r="L1546" s="1979"/>
      <c r="M1546" s="1979"/>
    </row>
    <row r="1547" spans="1:18" s="1815" customFormat="1" ht="11.25" customHeight="1">
      <c r="B1547" s="1908" t="s">
        <v>96</v>
      </c>
      <c r="C1547" s="449" t="s">
        <v>3684</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1937</v>
      </c>
      <c r="B1548" s="449" t="s">
        <v>3685</v>
      </c>
      <c r="D1548" s="449"/>
      <c r="E1548" s="449"/>
      <c r="F1548" s="449"/>
      <c r="G1548" s="449"/>
      <c r="H1548" s="449"/>
      <c r="P1548" s="449"/>
      <c r="Q1548" s="449"/>
      <c r="R1548" s="449"/>
    </row>
    <row r="1549" spans="1:18" s="1815" customFormat="1" ht="11.25" customHeight="1">
      <c r="B1549" s="1908" t="s">
        <v>1694</v>
      </c>
      <c r="C1549" s="1908" t="s">
        <v>4392</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3689</v>
      </c>
      <c r="K1550" s="449"/>
      <c r="L1550" s="449"/>
      <c r="M1550" s="449"/>
      <c r="N1550" s="449" t="s">
        <v>3687</v>
      </c>
      <c r="O1550" s="449"/>
    </row>
    <row r="1551" spans="1:18" s="1815" customFormat="1" ht="11.25" customHeight="1">
      <c r="B1551" s="1908" t="s">
        <v>1695</v>
      </c>
      <c r="C1551" s="1908" t="s">
        <v>3686</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3688</v>
      </c>
      <c r="E1552" s="449"/>
      <c r="F1552" s="449"/>
      <c r="G1552" s="449"/>
      <c r="H1552" s="449"/>
      <c r="N1552" s="449"/>
      <c r="O1552" s="1940" t="s">
        <v>1696</v>
      </c>
      <c r="P1552" s="1925">
        <f>'Part VIII-Threshold Criteria'!P382</f>
        <v>0</v>
      </c>
      <c r="Q1552" s="1925"/>
    </row>
    <row r="1553" spans="1:31" s="1815" customFormat="1" ht="11.25" customHeight="1">
      <c r="B1553" s="1908" t="s">
        <v>2304</v>
      </c>
      <c r="C1553" s="449" t="s">
        <v>3690</v>
      </c>
      <c r="E1553" s="449"/>
      <c r="F1553" s="449"/>
      <c r="G1553" s="449"/>
      <c r="H1553" s="449"/>
      <c r="M1553" s="449"/>
      <c r="N1553" s="449"/>
      <c r="O1553" s="1940" t="s">
        <v>2304</v>
      </c>
      <c r="P1553" s="1229">
        <f>'Part VIII-Threshold Criteria'!P383</f>
        <v>0</v>
      </c>
      <c r="Q1553" s="1229"/>
    </row>
    <row r="1554" spans="1:31" ht="10.5" customHeight="1">
      <c r="B1554" s="1908" t="s">
        <v>3565</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N/A</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1819</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3790</v>
      </c>
      <c r="B1560" s="1815" t="s">
        <v>2607</v>
      </c>
      <c r="C1560" s="1815"/>
      <c r="D1560" s="1815"/>
      <c r="E1560" s="1815"/>
      <c r="F1560" s="1815"/>
      <c r="G1560" s="1815"/>
      <c r="H1560" s="1939"/>
      <c r="I1560" s="1939"/>
      <c r="J1560" s="1939"/>
      <c r="O1560" s="1942" t="s">
        <v>1820</v>
      </c>
      <c r="P1560" s="1897"/>
      <c r="Q1560" s="1897"/>
    </row>
    <row r="1561" spans="1:31" ht="11.4" customHeight="1">
      <c r="A1561" s="1940"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0" t="s">
        <v>1937</v>
      </c>
      <c r="B1562" s="449" t="s">
        <v>3345</v>
      </c>
      <c r="D1562" s="449"/>
      <c r="E1562" s="449"/>
      <c r="F1562" s="449"/>
      <c r="G1562" s="449"/>
      <c r="H1562" s="449"/>
      <c r="I1562" s="449"/>
      <c r="J1562" s="449"/>
      <c r="K1562" s="449"/>
      <c r="L1562" s="1908"/>
      <c r="M1562" s="1908"/>
      <c r="O1562" s="1940" t="s">
        <v>1937</v>
      </c>
      <c r="P1562" s="1229">
        <f>'Part VIII-Threshold Criteria'!P392</f>
        <v>0</v>
      </c>
      <c r="Q1562" s="1229"/>
    </row>
    <row r="1563" spans="1:31" ht="22.5" customHeight="1">
      <c r="A1563" s="1942" t="s">
        <v>731</v>
      </c>
      <c r="B1563" s="1936" t="s">
        <v>3354</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2064</v>
      </c>
      <c r="B1564" s="1945" t="s">
        <v>3518</v>
      </c>
      <c r="G1564" s="1908"/>
      <c r="H1564" s="1908"/>
      <c r="I1564" s="1908"/>
      <c r="J1564" s="1908" t="s">
        <v>3519</v>
      </c>
      <c r="L1564" s="1908"/>
      <c r="M1564" s="2144">
        <f>'Part VIII-Threshold Criteria'!M394</f>
        <v>0</v>
      </c>
      <c r="N1564" s="2144"/>
      <c r="O1564" s="1940" t="s">
        <v>2064</v>
      </c>
      <c r="P1564" s="1229">
        <f>'Part VIII-Threshold Criteria'!P394</f>
        <v>0</v>
      </c>
      <c r="Q1564" s="1229"/>
    </row>
    <row r="1565" spans="1:31" ht="11.25" customHeight="1">
      <c r="B1565" s="1908" t="s">
        <v>3565</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N/A</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1819</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3791</v>
      </c>
      <c r="B1570" s="1815" t="s">
        <v>2592</v>
      </c>
      <c r="C1570" s="1815"/>
      <c r="D1570" s="1815"/>
      <c r="E1570" s="1939"/>
      <c r="G1570" s="1936" t="s">
        <v>683</v>
      </c>
      <c r="H1570" s="1939"/>
      <c r="I1570" s="1939"/>
      <c r="J1570" s="1939"/>
      <c r="K1570" s="1939"/>
      <c r="L1570" s="1939"/>
      <c r="M1570" s="1939"/>
      <c r="O1570" s="1942" t="s">
        <v>1820</v>
      </c>
      <c r="P1570" s="1897"/>
      <c r="Q1570" s="1897"/>
    </row>
    <row r="1571" spans="1:31" ht="12" customHeight="1">
      <c r="A1571" s="1940" t="s">
        <v>1935</v>
      </c>
      <c r="B1571" s="449" t="s">
        <v>2596</v>
      </c>
      <c r="D1571" s="1936"/>
      <c r="E1571" s="1936"/>
      <c r="O1571" s="1940" t="s">
        <v>1935</v>
      </c>
      <c r="P1571" s="1229">
        <f>'Part VIII-Threshold Criteria'!P401</f>
        <v>0</v>
      </c>
      <c r="Q1571" s="1229"/>
    </row>
    <row r="1572" spans="1:31" ht="12" customHeight="1">
      <c r="A1572" s="1940" t="s">
        <v>1937</v>
      </c>
      <c r="B1572" s="449" t="s">
        <v>3442</v>
      </c>
      <c r="D1572" s="1936"/>
      <c r="E1572" s="1936"/>
      <c r="O1572" s="1940" t="s">
        <v>1937</v>
      </c>
      <c r="P1572" s="1229">
        <f>'Part VIII-Threshold Criteria'!P402</f>
        <v>0</v>
      </c>
      <c r="Q1572" s="1229"/>
    </row>
    <row r="1573" spans="1:31" ht="12" customHeight="1">
      <c r="A1573" s="1940" t="s">
        <v>731</v>
      </c>
      <c r="B1573" s="449" t="s">
        <v>4710</v>
      </c>
      <c r="D1573" s="1936"/>
      <c r="E1573" s="1936"/>
      <c r="O1573" s="1940" t="s">
        <v>731</v>
      </c>
      <c r="P1573" s="1229">
        <f>'Part VIII-Threshold Criteria'!P403</f>
        <v>0</v>
      </c>
      <c r="Q1573" s="1229"/>
    </row>
    <row r="1574" spans="1:31" ht="12" customHeight="1">
      <c r="A1574" s="1940" t="s">
        <v>2064</v>
      </c>
      <c r="B1574" s="449" t="s">
        <v>3443</v>
      </c>
      <c r="E1574" s="1936"/>
      <c r="O1574" s="1940" t="s">
        <v>2064</v>
      </c>
      <c r="P1574" s="1229">
        <f>'Part VIII-Threshold Criteria'!P404</f>
        <v>0</v>
      </c>
      <c r="Q1574" s="1229"/>
    </row>
    <row r="1575" spans="1:31" ht="12" customHeight="1">
      <c r="A1575" s="1940" t="s">
        <v>1692</v>
      </c>
      <c r="B1575" s="449" t="s">
        <v>2030</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3565</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N/A</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1819</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3792</v>
      </c>
      <c r="B1581" s="1815" t="s">
        <v>4532</v>
      </c>
      <c r="C1581" s="1815"/>
      <c r="D1581" s="1815"/>
      <c r="E1581" s="1815"/>
      <c r="F1581" s="1815"/>
      <c r="G1581" s="1815"/>
      <c r="H1581" s="1939"/>
      <c r="I1581" s="1939"/>
      <c r="J1581" s="1939"/>
      <c r="K1581" s="1939"/>
      <c r="L1581" s="1939"/>
      <c r="M1581" s="1939"/>
      <c r="O1581" s="1942" t="s">
        <v>1820</v>
      </c>
      <c r="P1581" s="1897"/>
      <c r="Q1581" s="1897"/>
    </row>
    <row r="1582" spans="1:31" ht="12" customHeight="1">
      <c r="A1582" s="1940" t="s">
        <v>1935</v>
      </c>
      <c r="B1582" s="449" t="s">
        <v>4531</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1938</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4711</v>
      </c>
      <c r="D1584" s="1945" t="s">
        <v>4712</v>
      </c>
      <c r="E1584" s="1815"/>
      <c r="F1584" s="1815"/>
      <c r="G1584" s="1815"/>
      <c r="H1584" s="1815"/>
      <c r="I1584" s="1815"/>
      <c r="J1584" s="1815"/>
      <c r="K1584" s="1815"/>
      <c r="L1584" s="1815"/>
      <c r="M1584" s="1815"/>
      <c r="N1584" s="1815"/>
      <c r="O1584" s="1940" t="s">
        <v>2371</v>
      </c>
      <c r="P1584" s="1229">
        <f>'Part VIII-Threshold Criteria'!P414</f>
        <v>0</v>
      </c>
      <c r="Q1584" s="1229"/>
    </row>
    <row r="1585" spans="1:17" ht="12" customHeight="1">
      <c r="B1585" s="449"/>
      <c r="C1585" s="449" t="s">
        <v>2372</v>
      </c>
      <c r="D1585" s="1945" t="s">
        <v>4713</v>
      </c>
      <c r="E1585" s="1815"/>
      <c r="F1585" s="1815"/>
      <c r="G1585" s="1815"/>
      <c r="H1585" s="1815"/>
      <c r="I1585" s="1815"/>
      <c r="J1585" s="1815"/>
      <c r="K1585" s="1815"/>
      <c r="L1585" s="1815"/>
      <c r="M1585" s="1815"/>
      <c r="N1585" s="1815"/>
      <c r="O1585" s="1940" t="s">
        <v>2372</v>
      </c>
      <c r="P1585" s="1229">
        <f>'Part VIII-Threshold Criteria'!P415</f>
        <v>0</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4539</v>
      </c>
      <c r="D1587" s="449" t="s">
        <v>3355</v>
      </c>
      <c r="E1587" s="449"/>
      <c r="F1587" s="449"/>
      <c r="G1587" s="449"/>
      <c r="H1587" s="449"/>
      <c r="I1587" s="449"/>
      <c r="J1587" s="449"/>
      <c r="K1587" s="449"/>
      <c r="L1587" s="449"/>
      <c r="M1587" s="449"/>
      <c r="N1587" s="1815"/>
      <c r="O1587" s="1940" t="s">
        <v>2373</v>
      </c>
      <c r="P1587" s="1229">
        <f>'Part VIII-Threshold Criteria'!P417</f>
        <v>0</v>
      </c>
      <c r="Q1587" s="1229"/>
    </row>
    <row r="1588" spans="1:17" ht="12" customHeight="1">
      <c r="A1588" s="1940"/>
      <c r="C1588" s="1940" t="s">
        <v>2374</v>
      </c>
      <c r="D1588" s="449" t="s">
        <v>3437</v>
      </c>
      <c r="E1588" s="449"/>
      <c r="F1588" s="449"/>
      <c r="G1588" s="449"/>
      <c r="H1588" s="449"/>
      <c r="I1588" s="449"/>
      <c r="J1588" s="449"/>
      <c r="K1588" s="449"/>
      <c r="L1588" s="449"/>
      <c r="M1588" s="449"/>
      <c r="N1588" s="1815"/>
      <c r="O1588" s="1940" t="s">
        <v>2374</v>
      </c>
      <c r="P1588" s="1229">
        <f>'Part VIII-Threshold Criteria'!P418</f>
        <v>0</v>
      </c>
      <c r="Q1588" s="1229"/>
    </row>
    <row r="1589" spans="1:17" ht="12" customHeight="1">
      <c r="A1589" s="1940"/>
      <c r="B1589" s="2145" t="s">
        <v>1940</v>
      </c>
      <c r="C1589" s="449" t="s">
        <v>2150</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2467</v>
      </c>
      <c r="C1590" s="1936" t="s">
        <v>2718</v>
      </c>
      <c r="D1590" s="1936"/>
      <c r="E1590" s="1936"/>
      <c r="F1590" s="1936"/>
      <c r="G1590" s="449" t="s">
        <v>4540</v>
      </c>
      <c r="J1590" s="1732">
        <f>'Part VIII-Threshold Criteria'!J420</f>
        <v>0</v>
      </c>
      <c r="K1590" s="1732"/>
      <c r="M1590" s="449" t="s">
        <v>4541</v>
      </c>
      <c r="P1590" s="1732">
        <f>'Part VIII-Threshold Criteria'!P420</f>
        <v>0</v>
      </c>
      <c r="Q1590" s="1732"/>
    </row>
    <row r="1591" spans="1:17" ht="12" customHeight="1">
      <c r="A1591" s="1940"/>
      <c r="C1591" s="1936"/>
      <c r="D1591" s="1936"/>
      <c r="E1591" s="1936"/>
      <c r="F1591" s="1936"/>
      <c r="G1591" s="449" t="s">
        <v>4542</v>
      </c>
      <c r="J1591" s="1732">
        <f>'Part VIII-Threshold Criteria'!J421</f>
        <v>0</v>
      </c>
      <c r="K1591" s="1732"/>
      <c r="M1591" s="449" t="s">
        <v>4543</v>
      </c>
      <c r="P1591" s="1732">
        <f>'Part VIII-Threshold Criteria'!P421</f>
        <v>0</v>
      </c>
      <c r="Q1591" s="1732"/>
    </row>
    <row r="1592" spans="1:17" ht="12" customHeight="1">
      <c r="A1592" s="1940"/>
      <c r="C1592" s="1936"/>
      <c r="D1592" s="1936"/>
      <c r="E1592" s="1936"/>
      <c r="F1592" s="1936"/>
      <c r="G1592" s="449" t="s">
        <v>4544</v>
      </c>
      <c r="J1592" s="1732">
        <f>'Part VIII-Threshold Criteria'!J422</f>
        <v>0</v>
      </c>
      <c r="K1592" s="1732"/>
      <c r="L1592" s="1908"/>
      <c r="M1592" s="1815"/>
      <c r="N1592" s="1940"/>
    </row>
    <row r="1593" spans="1:17" ht="12" customHeight="1">
      <c r="A1593" s="1940"/>
      <c r="B1593" s="2145" t="s">
        <v>1198</v>
      </c>
      <c r="C1593" s="1908" t="s">
        <v>4366</v>
      </c>
      <c r="E1593" s="1908"/>
      <c r="F1593" s="1908"/>
      <c r="G1593" s="1908"/>
      <c r="J1593" s="1815"/>
      <c r="K1593" s="1908"/>
      <c r="L1593" s="1908"/>
      <c r="M1593" s="1815"/>
      <c r="N1593" s="1940"/>
      <c r="P1593" s="1940"/>
      <c r="Q1593" s="1940"/>
    </row>
    <row r="1594" spans="1:17" ht="12" customHeight="1">
      <c r="A1594" s="1940"/>
      <c r="B1594" s="1945"/>
      <c r="C1594" s="1908" t="s">
        <v>4545</v>
      </c>
      <c r="E1594" s="1908"/>
      <c r="G1594" s="1945" t="s">
        <v>4533</v>
      </c>
      <c r="H1594" s="1908"/>
      <c r="I1594" s="1908"/>
      <c r="J1594" s="1229">
        <f>'Part VIII-Threshold Criteria'!J424</f>
        <v>0</v>
      </c>
      <c r="K1594" s="1229"/>
      <c r="L1594" s="1908"/>
      <c r="M1594" s="1945" t="s">
        <v>4538</v>
      </c>
    </row>
    <row r="1595" spans="1:17" ht="12" customHeight="1">
      <c r="A1595" s="1815"/>
      <c r="G1595" s="1945" t="s">
        <v>4534</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4535</v>
      </c>
      <c r="H1596" s="1908"/>
      <c r="J1596" s="1229">
        <f>'Part VIII-Threshold Criteria'!J426</f>
        <v>0</v>
      </c>
      <c r="K1596" s="1229"/>
      <c r="M1596" s="1956"/>
      <c r="N1596" s="1956"/>
      <c r="O1596" s="1956"/>
      <c r="P1596" s="1956"/>
      <c r="Q1596" s="1956"/>
    </row>
    <row r="1597" spans="1:17" ht="12" customHeight="1">
      <c r="A1597" s="1940"/>
      <c r="B1597" s="1945"/>
      <c r="C1597" s="1908" t="s">
        <v>4546</v>
      </c>
      <c r="E1597" s="1908"/>
      <c r="F1597" s="1908"/>
      <c r="L1597" s="1908"/>
      <c r="M1597" s="1908"/>
      <c r="O1597" s="1940" t="s">
        <v>1695</v>
      </c>
      <c r="P1597" s="1229" t="str">
        <f>'Part VIII-Threshold Criteria'!P427</f>
        <v>&lt;&lt;Select&gt;&gt;</v>
      </c>
      <c r="Q1597" s="1229" t="s">
        <v>1727</v>
      </c>
    </row>
    <row r="1598" spans="1:17" ht="12" customHeight="1">
      <c r="A1598" s="1815"/>
      <c r="D1598" s="1943" t="s">
        <v>2394</v>
      </c>
      <c r="E1598" s="1945" t="s">
        <v>3643</v>
      </c>
      <c r="F1598" s="1908"/>
      <c r="G1598" s="449">
        <f>'Part VIII-Threshold Criteria'!G428</f>
        <v>0</v>
      </c>
      <c r="H1598" s="449"/>
      <c r="I1598" s="449"/>
      <c r="J1598" s="449"/>
      <c r="K1598" s="449"/>
      <c r="L1598" s="1943"/>
    </row>
    <row r="1599" spans="1:17" ht="12" customHeight="1">
      <c r="D1599" s="1943" t="s">
        <v>4536</v>
      </c>
      <c r="E1599" s="1945" t="s">
        <v>4537</v>
      </c>
      <c r="F1599" s="1943"/>
      <c r="G1599" s="449" t="str">
        <f>'Part VIII-Threshold Criteria'!G429</f>
        <v>&lt;&lt; Select &gt;&gt;</v>
      </c>
      <c r="H1599" s="449"/>
      <c r="I1599" s="449"/>
      <c r="J1599" s="1945" t="s">
        <v>4274</v>
      </c>
      <c r="M1599" s="449">
        <f>'Part VIII-Threshold Criteria'!M429</f>
        <v>0</v>
      </c>
      <c r="N1599" s="449"/>
      <c r="O1599" s="449"/>
      <c r="P1599" s="449"/>
      <c r="Q1599" s="449"/>
    </row>
    <row r="1600" spans="1:17" ht="12" customHeight="1">
      <c r="A1600" s="1815"/>
      <c r="C1600" s="1945" t="s">
        <v>4413</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4269</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1937</v>
      </c>
      <c r="B1603" s="1936" t="s">
        <v>4714</v>
      </c>
      <c r="C1603" s="1936"/>
      <c r="D1603" s="1936"/>
      <c r="E1603" s="1936"/>
      <c r="F1603" s="1936"/>
      <c r="G1603" s="1936"/>
      <c r="H1603" s="1936"/>
      <c r="I1603" s="1936"/>
      <c r="J1603" s="1936"/>
      <c r="K1603" s="1936"/>
      <c r="L1603" s="1936"/>
      <c r="M1603" s="1936"/>
      <c r="N1603" s="1936"/>
    </row>
    <row r="1604" spans="1:31" ht="12" customHeight="1">
      <c r="A1604" s="1942"/>
      <c r="B1604" s="1939" t="s">
        <v>4547</v>
      </c>
      <c r="C1604" s="1939"/>
      <c r="D1604" s="1939"/>
      <c r="E1604" s="1939"/>
      <c r="F1604" s="1939"/>
      <c r="G1604" s="1939"/>
      <c r="H1604" s="1939"/>
      <c r="I1604" s="1939"/>
      <c r="J1604" s="1939"/>
      <c r="K1604" s="1939"/>
      <c r="L1604" s="1939"/>
      <c r="M1604" s="1939"/>
      <c r="N1604" s="1939"/>
    </row>
    <row r="1605" spans="1:31" ht="48" customHeight="1">
      <c r="B1605" s="1936" t="s">
        <v>6904</v>
      </c>
      <c r="C1605" s="1936"/>
      <c r="D1605" s="1936"/>
      <c r="E1605" s="1936"/>
      <c r="F1605" s="1936"/>
      <c r="G1605" s="1936"/>
      <c r="H1605" s="1936"/>
      <c r="I1605" s="1936"/>
      <c r="J1605" s="1936"/>
      <c r="K1605" s="1936"/>
      <c r="L1605" s="1936"/>
      <c r="M1605" s="1936"/>
      <c r="N1605" s="1936"/>
      <c r="O1605" s="1942" t="s">
        <v>1937</v>
      </c>
      <c r="P1605" s="1936">
        <f>'Part VIII-Threshold Criteria'!P435</f>
        <v>0</v>
      </c>
      <c r="Q1605" s="1936"/>
    </row>
    <row r="1606" spans="1:31" ht="12" customHeight="1">
      <c r="B1606" s="1908" t="s">
        <v>3565</v>
      </c>
      <c r="D1606" s="1908"/>
      <c r="E1606" s="1908"/>
      <c r="F1606" s="1908"/>
      <c r="G1606" s="1908"/>
      <c r="H1606" s="1908"/>
      <c r="I1606" s="1229"/>
      <c r="J1606" s="1229"/>
      <c r="K1606" s="1229"/>
    </row>
    <row r="1607" spans="1:31" ht="33.6" customHeight="1">
      <c r="A1607" s="1936" t="str">
        <f>'Part VIII-Threshold Criteria'!A437</f>
        <v>N/A, The site is currently vacant land.</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1819</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3793</v>
      </c>
      <c r="B1611" s="1815" t="s">
        <v>2719</v>
      </c>
      <c r="C1611" s="1815"/>
      <c r="D1611" s="449"/>
      <c r="E1611" s="1939"/>
      <c r="F1611" s="1939"/>
      <c r="G1611" s="1939"/>
      <c r="H1611" s="1939"/>
      <c r="O1611" s="1942" t="s">
        <v>1820</v>
      </c>
      <c r="P1611" s="1897"/>
      <c r="Q1611" s="1897"/>
    </row>
    <row r="1612" spans="1:31" ht="14.1" customHeight="1">
      <c r="B1612" s="449" t="s">
        <v>4458</v>
      </c>
      <c r="C1612" s="1815"/>
      <c r="D1612" s="449"/>
      <c r="E1612" s="1939"/>
      <c r="F1612" s="1939"/>
      <c r="G1612" s="1939"/>
      <c r="H1612" s="1939"/>
    </row>
    <row r="1613" spans="1:31" s="1910" customFormat="1" ht="21.75" customHeight="1">
      <c r="A1613" s="1942" t="s">
        <v>1935</v>
      </c>
      <c r="B1613" s="1936" t="s">
        <v>3692</v>
      </c>
      <c r="C1613" s="1936"/>
      <c r="D1613" s="1936"/>
      <c r="E1613" s="1936"/>
      <c r="F1613" s="1936"/>
      <c r="G1613" s="1936"/>
      <c r="H1613" s="1936"/>
      <c r="I1613" s="1936"/>
      <c r="J1613" s="1936"/>
      <c r="K1613" s="1936"/>
      <c r="L1613" s="1936"/>
      <c r="M1613" s="1936"/>
      <c r="N1613" s="1936"/>
      <c r="O1613" s="1942" t="s">
        <v>1935</v>
      </c>
      <c r="P1613" s="1938" t="str">
        <f>'Part VIII-Threshold Criteria'!P443</f>
        <v>Agree</v>
      </c>
      <c r="Q1613" s="1938"/>
    </row>
    <row r="1614" spans="1:31" s="1910" customFormat="1" ht="22.5" customHeight="1">
      <c r="A1614" s="1942" t="s">
        <v>1937</v>
      </c>
      <c r="B1614" s="1936" t="s">
        <v>3691</v>
      </c>
      <c r="C1614" s="1936"/>
      <c r="D1614" s="1936"/>
      <c r="E1614" s="1936"/>
      <c r="F1614" s="1936"/>
      <c r="G1614" s="1936"/>
      <c r="H1614" s="1936"/>
      <c r="I1614" s="1936"/>
      <c r="J1614" s="1936"/>
      <c r="K1614" s="1936"/>
      <c r="L1614" s="1936"/>
      <c r="M1614" s="1936"/>
      <c r="N1614" s="1936"/>
      <c r="O1614" s="1942" t="s">
        <v>1937</v>
      </c>
      <c r="P1614" s="1938" t="str">
        <f>'Part VIII-Threshold Criteria'!P444</f>
        <v>Agree</v>
      </c>
      <c r="Q1614" s="1938"/>
    </row>
    <row r="1615" spans="1:31" s="1910" customFormat="1" ht="22.5" customHeight="1">
      <c r="B1615" s="1939" t="s">
        <v>1694</v>
      </c>
      <c r="C1615" s="1936" t="s">
        <v>4414</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4415</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4416</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2304</v>
      </c>
      <c r="C1618" s="1936" t="s">
        <v>4417</v>
      </c>
      <c r="D1618" s="1936"/>
      <c r="E1618" s="1936"/>
      <c r="F1618" s="1936"/>
      <c r="G1618" s="1936"/>
      <c r="H1618" s="1936"/>
      <c r="I1618" s="1936"/>
      <c r="J1618" s="1936"/>
      <c r="K1618" s="1936"/>
      <c r="L1618" s="1936"/>
      <c r="M1618" s="1936"/>
      <c r="N1618" s="1936"/>
      <c r="O1618" s="1942" t="s">
        <v>2304</v>
      </c>
      <c r="P1618" s="1938" t="str">
        <f>'Part VIII-Threshold Criteria'!P448</f>
        <v>Agree</v>
      </c>
      <c r="Q1618" s="1938"/>
    </row>
    <row r="1619" spans="1:31" s="1910" customFormat="1" ht="22.5" customHeight="1">
      <c r="A1619" s="1942" t="s">
        <v>731</v>
      </c>
      <c r="B1619" s="1936" t="s">
        <v>3693</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2064</v>
      </c>
      <c r="B1620" s="1936" t="s">
        <v>4499</v>
      </c>
      <c r="C1620" s="1936"/>
      <c r="D1620" s="1936"/>
      <c r="E1620" s="1936"/>
      <c r="F1620" s="1936"/>
      <c r="G1620" s="1936"/>
      <c r="H1620" s="1936"/>
      <c r="I1620" s="1936"/>
      <c r="J1620" s="1936"/>
      <c r="K1620" s="1936"/>
      <c r="L1620" s="1936"/>
      <c r="M1620" s="1936"/>
      <c r="N1620" s="1936"/>
      <c r="O1620" s="1942" t="s">
        <v>2064</v>
      </c>
      <c r="P1620" s="1938" t="str">
        <f>'Part VIII-Threshold Criteria'!P450</f>
        <v>Agree</v>
      </c>
      <c r="Q1620" s="1938"/>
    </row>
    <row r="1621" spans="1:31" s="1910" customFormat="1" ht="21.75" customHeight="1">
      <c r="A1621" s="1942" t="s">
        <v>1692</v>
      </c>
      <c r="B1621" s="1936" t="s">
        <v>4500</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4563</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3565</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Applicant agrees to prepare an AFFH Marketing plan if selected for funding.</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1819</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3794</v>
      </c>
      <c r="C1628" s="1815" t="s">
        <v>2638</v>
      </c>
      <c r="D1628" s="1945"/>
      <c r="E1628" s="449"/>
      <c r="J1628" s="1908"/>
      <c r="M1628" s="1896"/>
      <c r="N1628" s="1896"/>
      <c r="O1628" s="1942" t="s">
        <v>1820</v>
      </c>
      <c r="P1628" s="1897"/>
      <c r="Q1628" s="1897"/>
    </row>
    <row r="1629" spans="1:31" s="1950" customFormat="1" ht="15" customHeight="1">
      <c r="A1629" s="1942" t="s">
        <v>1935</v>
      </c>
      <c r="B1629" s="1936" t="s">
        <v>4583</v>
      </c>
      <c r="C1629" s="1936"/>
      <c r="D1629" s="1936"/>
      <c r="E1629" s="1936"/>
      <c r="F1629" s="1936"/>
      <c r="G1629" s="1936"/>
      <c r="H1629" s="1936"/>
      <c r="I1629" s="1936"/>
      <c r="J1629" s="1945" t="s">
        <v>4454</v>
      </c>
      <c r="K1629" s="1945"/>
      <c r="L1629" s="1843" t="s">
        <v>4585</v>
      </c>
      <c r="M1629" s="1947"/>
      <c r="N1629" s="1926">
        <f>ROUNDUP('Part VI-Revenues &amp; Expenses'!$P$63*0.1,0)</f>
        <v>5</v>
      </c>
      <c r="O1629" s="1949" t="s">
        <v>1935</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4455</v>
      </c>
      <c r="M1630" s="1947"/>
      <c r="N1630" s="1926">
        <f>'Part VI-Revenues &amp; Expenses'!$P$63</f>
        <v>50</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50</v>
      </c>
      <c r="P1631" s="1936"/>
      <c r="Q1631" s="1936"/>
    </row>
    <row r="1632" spans="1:31" s="1936" customFormat="1" ht="22.5" customHeight="1">
      <c r="A1632" s="1942" t="s">
        <v>1937</v>
      </c>
      <c r="B1632" s="1936" t="s">
        <v>4589</v>
      </c>
      <c r="J1632" s="449" t="s">
        <v>4584</v>
      </c>
      <c r="K1632" s="449"/>
      <c r="L1632" s="449">
        <f>'Part VIII-Threshold Criteria'!L462</f>
        <v>0</v>
      </c>
      <c r="M1632" s="449"/>
      <c r="N1632" s="449"/>
      <c r="O1632" s="1949" t="s">
        <v>1937</v>
      </c>
      <c r="P1632" s="1938" t="str">
        <f>'Part VIII-Threshold Criteria'!P462</f>
        <v>Yes</v>
      </c>
      <c r="Q1632" s="1938"/>
    </row>
    <row r="1633" spans="1:31" s="1936" customFormat="1" ht="12" customHeight="1">
      <c r="A1633" s="1942" t="s">
        <v>731</v>
      </c>
      <c r="B1633" s="1936" t="s">
        <v>4358</v>
      </c>
      <c r="J1633" s="449" t="s">
        <v>4278</v>
      </c>
      <c r="K1633" s="1958">
        <f>'Part VI-Revenues &amp; Expenses'!$P$115</f>
        <v>50</v>
      </c>
      <c r="L1633" s="1908" t="s">
        <v>4277</v>
      </c>
      <c r="M1633" s="1947"/>
      <c r="N1633" s="1926">
        <f>ROUNDUP(N1631*0.1,0)</f>
        <v>5</v>
      </c>
      <c r="O1633" s="1949" t="s">
        <v>731</v>
      </c>
      <c r="P1633" s="1936" t="str">
        <f>'Part VIII-Threshold Criteria'!P463</f>
        <v>Yes</v>
      </c>
      <c r="R1633" s="1822"/>
      <c r="S1633" s="1822"/>
    </row>
    <row r="1634" spans="1:31" s="1936" customFormat="1" ht="12" customHeight="1">
      <c r="J1634" s="449" t="s">
        <v>4279</v>
      </c>
      <c r="K1634" s="2147">
        <f>IF(N1631=0,"",K1633/N1631)</f>
        <v>1</v>
      </c>
      <c r="L1634" s="1908" t="s">
        <v>4453</v>
      </c>
      <c r="M1634" s="449"/>
      <c r="N1634" s="2148">
        <f>'Part VI-Revenues &amp; Expenses'!$L$67/'Part VI-Revenues &amp; Expenses'!$P$67</f>
        <v>0.2</v>
      </c>
      <c r="O1634" s="1949" t="str">
        <f>IF(AND(N1634&lt;0.1,P1633="Yes"), "Check!","")</f>
        <v/>
      </c>
      <c r="P1634" s="1936">
        <f>'Part VIII-Threshold Criteria'!P464</f>
        <v>0</v>
      </c>
      <c r="R1634" s="1822"/>
      <c r="S1634" s="1822"/>
    </row>
    <row r="1635" spans="1:31" s="1815" customFormat="1" ht="12" customHeight="1">
      <c r="A1635" s="1940" t="s">
        <v>2064</v>
      </c>
      <c r="B1635" s="1960" t="s">
        <v>1938</v>
      </c>
      <c r="C1635" s="449" t="s">
        <v>4280</v>
      </c>
      <c r="D1635" s="449"/>
      <c r="E1635" s="449"/>
      <c r="F1635" s="449"/>
      <c r="G1635" s="449"/>
      <c r="H1635" s="449"/>
      <c r="I1635" s="449"/>
      <c r="J1635" s="449"/>
      <c r="K1635" s="449"/>
      <c r="L1635" s="449"/>
      <c r="M1635" s="449"/>
      <c r="N1635" s="449"/>
      <c r="O1635" s="1940" t="s">
        <v>4586</v>
      </c>
      <c r="P1635" s="1229" t="str">
        <f>'Part VIII-Threshold Criteria'!P465</f>
        <v>No</v>
      </c>
      <c r="Q1635" s="1229"/>
    </row>
    <row r="1636" spans="1:31" s="1815" customFormat="1">
      <c r="B1636" s="1960" t="s">
        <v>1940</v>
      </c>
      <c r="C1636" s="449" t="s">
        <v>4587</v>
      </c>
      <c r="D1636" s="449"/>
      <c r="E1636" s="449"/>
      <c r="F1636" s="449"/>
      <c r="G1636" s="449"/>
      <c r="H1636" s="449"/>
      <c r="I1636" s="449"/>
      <c r="J1636" s="449"/>
      <c r="K1636" s="449"/>
      <c r="L1636" s="449"/>
      <c r="M1636" s="449"/>
      <c r="N1636" s="449"/>
      <c r="O1636" s="1940" t="s">
        <v>4588</v>
      </c>
      <c r="P1636" s="1229">
        <f>'Part VIII-Threshold Criteria'!P466</f>
        <v>0</v>
      </c>
      <c r="Q1636" s="1229"/>
    </row>
    <row r="1637" spans="1:31" s="1951" customFormat="1" ht="11.25" customHeight="1">
      <c r="A1637" s="1815"/>
      <c r="B1637" s="1908" t="s">
        <v>3565</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Applicant has units without rental assistance and commits to accept a PBRA contract for 10% of the total restricted units for the purpose of providing Integrated Supportive Housing (ISH) opportunities for Persons w/Disabilities (PWD) and is prepared to accept the full utilization by DCA of 10% of the units. Applicant understands the requirements of the program and has 20% of the units as one-bedroom.</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1819</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4275</v>
      </c>
      <c r="B1642" s="1815"/>
      <c r="C1642" s="1815" t="s">
        <v>2593</v>
      </c>
      <c r="D1642" s="449"/>
      <c r="E1642" s="1939"/>
      <c r="F1642" s="1939"/>
      <c r="G1642" s="1939"/>
      <c r="H1642" s="1939"/>
      <c r="J1642" s="1939"/>
      <c r="K1642" s="1939"/>
      <c r="L1642" s="1939"/>
      <c r="M1642" s="1939"/>
      <c r="O1642" s="1942" t="s">
        <v>1820</v>
      </c>
      <c r="P1642" s="1897"/>
      <c r="Q1642" s="1897"/>
    </row>
    <row r="1643" spans="1:31" ht="11.25" customHeight="1">
      <c r="A1643" s="1922"/>
      <c r="B1643" s="1908" t="s">
        <v>3565</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The Applicant believes the project as proposed is an optimal utilization of DCA resources.</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1819</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4276</v>
      </c>
      <c r="B1649" s="1815"/>
      <c r="C1649" s="1815" t="s">
        <v>4694</v>
      </c>
      <c r="D1649" s="449"/>
      <c r="E1649" s="1939"/>
      <c r="F1649" s="1939"/>
      <c r="G1649" s="1939"/>
      <c r="H1649" s="1939"/>
      <c r="I1649" s="1939"/>
      <c r="J1649" s="1939"/>
      <c r="K1649" s="1939"/>
      <c r="L1649" s="1939"/>
      <c r="M1649" s="1939"/>
      <c r="O1649" s="1942" t="s">
        <v>1820</v>
      </c>
      <c r="P1649" s="1897"/>
      <c r="Q1649" s="1897"/>
    </row>
    <row r="1650" spans="1:22" s="1947" customFormat="1" ht="11.25" customHeight="1">
      <c r="B1650" s="1911" t="s">
        <v>4281</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4359</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2020-079 Spring Creek Crossing,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6905</v>
      </c>
      <c r="B1658" s="1822"/>
      <c r="C1658" s="1822"/>
      <c r="D1658" s="1822"/>
      <c r="E1658" s="1822"/>
      <c r="F1658" s="1822"/>
      <c r="G1658" s="1822"/>
      <c r="H1658" s="1822"/>
      <c r="I1658" s="1822"/>
      <c r="J1658" s="1822"/>
      <c r="K1658" s="1822"/>
      <c r="L1658" s="1822"/>
      <c r="M1658" s="1896" t="s">
        <v>2162</v>
      </c>
      <c r="N1658" s="1896"/>
      <c r="O1658" s="1896" t="s">
        <v>2161</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2162</v>
      </c>
      <c r="P1659" s="1896" t="s">
        <v>2162</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1200</v>
      </c>
      <c r="M1661" s="1923">
        <f>M2098</f>
        <v>95</v>
      </c>
      <c r="N1661" s="1923"/>
      <c r="O1661" s="1923">
        <f>O2098</f>
        <v>54</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4290</v>
      </c>
      <c r="D1663" s="449"/>
      <c r="E1663" s="449"/>
      <c r="F1663" s="449"/>
      <c r="G1663" s="449"/>
      <c r="H1663" s="1822" t="s">
        <v>6930</v>
      </c>
      <c r="I1663" s="449"/>
      <c r="J1663" s="449"/>
      <c r="K1663" s="449"/>
      <c r="L1663" s="449"/>
      <c r="M1663" s="1954" t="s">
        <v>6931</v>
      </c>
      <c r="N1663" s="449"/>
      <c r="O1663" s="1916">
        <f>'Part IX Scoring Criteria'!O8</f>
        <v>0</v>
      </c>
      <c r="P1663" s="1896">
        <f>'Part IX Scoring Criteria'!P8</f>
        <v>0</v>
      </c>
      <c r="Q1663" s="449" t="s">
        <v>6906</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3809</v>
      </c>
      <c r="B1665" s="1955" t="s">
        <v>3810</v>
      </c>
      <c r="C1665" s="449"/>
      <c r="D1665" s="449"/>
      <c r="E1665" s="1955" t="s">
        <v>3825</v>
      </c>
      <c r="F1665" s="1955" t="s">
        <v>3824</v>
      </c>
      <c r="G1665" s="1955"/>
      <c r="H1665" s="1955"/>
      <c r="I1665" s="1955"/>
      <c r="J1665" s="1955"/>
      <c r="K1665" s="1955"/>
      <c r="L1665" s="1955"/>
      <c r="M1665" s="1955"/>
      <c r="N1665" s="1955"/>
      <c r="O1665" s="1954" t="s">
        <v>4288</v>
      </c>
      <c r="P1665" s="1229">
        <f>SUM(P1666:P1678)</f>
        <v>0</v>
      </c>
      <c r="Q1665" s="449" t="s">
        <v>6932</v>
      </c>
      <c r="R1665" s="449"/>
      <c r="S1665" s="449"/>
      <c r="T1665" s="449"/>
      <c r="U1665" s="449"/>
      <c r="V1665" s="449"/>
    </row>
    <row r="1666" spans="1:22" s="1815" customFormat="1" ht="11.25" customHeight="1">
      <c r="A1666" s="1993" t="s">
        <v>724</v>
      </c>
      <c r="B1666" s="1956" t="s">
        <v>3811</v>
      </c>
      <c r="C1666" s="1956"/>
      <c r="D1666" s="1956"/>
      <c r="E1666" s="2149">
        <f>'Part IX Scoring Criteria'!E11</f>
        <v>10</v>
      </c>
      <c r="F1666" s="1986" t="str">
        <f>'Part IX Scoring Criteria'!F11</f>
        <v>The project is eleigible for 10 desirables points. The property location is within two miles there is a grocery store, retail store, pharmacy, restaurant, hospital, medical care provider, public school, community center, FDIC bank and house of worship. Applicant is eligible for maximum 10 points. There are no undesirables.</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4718</v>
      </c>
      <c r="C1667" s="1956"/>
      <c r="D1667" s="1956"/>
      <c r="E1667" s="2149">
        <f>'Part IX Scoring Criteria'!E12</f>
        <v>1</v>
      </c>
      <c r="F1667" s="1986" t="str">
        <f>'Part IX Scoring Criteria'!F12</f>
        <v>The proposed development is in the Rural pool and On-call public transportation service will be provided by Macon County Transit, which provides safe, reliable, accessible and affordable transportation for residents of Macon County. Please see Tab 28 for rural transportation documentation.</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4719</v>
      </c>
      <c r="C1668" s="1956"/>
      <c r="D1668" s="1956"/>
      <c r="E1668" s="2149">
        <f>'Part IX Scoring Criteria'!E13</f>
        <v>4</v>
      </c>
      <c r="F1668" s="1986" t="str">
        <f>'Part IX Scoring Criteria'!F13</f>
        <v>The proposed development will provide Preventive Health Care services and education for the residents at Spring Creek Crossing at no charge. The preventive health care provider will also serve as the Health Services Coordinator (HSC) and will effectively assess residents' health needs, make appropriate referrals and track health outcomes. Additionally, the the applicant has agreed to provide a Healthy Eating Initiative that will include a community garden, which is outlined above. The costs associated with the Enriched Property Services have been accounted for in the property's operating expense budget.</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3812</v>
      </c>
      <c r="C1669" s="1956"/>
      <c r="D1669" s="1956"/>
      <c r="E1669" s="2149">
        <f>'Part IX Scoring Criteria'!E14</f>
        <v>0</v>
      </c>
      <c r="F1669" s="1986" t="str">
        <f>'Part IX Scoring Criteria'!F14</f>
        <v>N/A</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3813</v>
      </c>
      <c r="C1670" s="1956"/>
      <c r="D1670" s="1956"/>
      <c r="E1670" s="2149">
        <f>'Part IX Scoring Criteria'!E15</f>
        <v>7</v>
      </c>
      <c r="F1670" s="1986" t="str">
        <f>'Part IX Scoring Criteria'!F15</f>
        <v>The Montezuma, Georgia Community Revitalization Plan was developed through a joint effort of local entities in the Montezuma/Macon County community.  A CRP steering committee was formed to lead the formulation of the CRP by actively engaging local citizens to provide input and actively participate.  The CRP will be adopted by the Mayor and City Council at their July 14, 2020 city council meeting.  The July meeting is the first meeting scheduled since the covid-19 pandemic began in March 2020.  Please see Tab 31 for full Revitalization Plan, Qualified Census Tract (QCT) and Third-Party Capital Investment documentation.</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3814</v>
      </c>
      <c r="C1671" s="1956"/>
      <c r="D1671" s="1956"/>
      <c r="E1671" s="1938" t="str">
        <f>'Part IX Scoring Criteria'!E16</f>
        <v>n/a</v>
      </c>
      <c r="F1671" s="1986" t="str">
        <f>'Part IX Scoring Criteria'!F16</f>
        <v>N/A</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4720</v>
      </c>
      <c r="C1672" s="1956"/>
      <c r="D1672" s="1956"/>
      <c r="E1672" s="2149">
        <f>'Part IX Scoring Criteria'!E17</f>
        <v>0</v>
      </c>
      <c r="F1672" s="1986" t="str">
        <f>'Part IX Scoring Criteria'!F17</f>
        <v>N/A</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4344</v>
      </c>
      <c r="B1673" s="1956" t="s">
        <v>3597</v>
      </c>
      <c r="C1673" s="1956"/>
      <c r="D1673" s="1956"/>
      <c r="E1673" s="2149">
        <f>'Part IX Scoring Criteria'!E18</f>
        <v>0</v>
      </c>
      <c r="F1673" s="1986" t="str">
        <f>'Part IX Scoring Criteria'!F18</f>
        <v>N/A</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4722</v>
      </c>
      <c r="B1674" s="1956" t="s">
        <v>4723</v>
      </c>
      <c r="C1674" s="1956"/>
      <c r="D1674" s="1956"/>
      <c r="E1674" s="1938">
        <f>'Part IX Scoring Criteria'!E19</f>
        <v>0</v>
      </c>
      <c r="F1674" s="1986" t="str">
        <f>'Part IX Scoring Criteria'!F19</f>
        <v>N/A</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4737</v>
      </c>
      <c r="B1675" s="1956" t="s">
        <v>4724</v>
      </c>
      <c r="C1675" s="1956"/>
      <c r="D1675" s="1956"/>
      <c r="E1675" s="2149">
        <f>'Part IX Scoring Criteria'!E20</f>
        <v>5</v>
      </c>
      <c r="F1675" s="1986" t="str">
        <f>'Part IX Scoring Criteria'!F20</f>
        <v>The City of Montezuma has not received a competitive 9% award within the City boundries in the last 15 years and is therefore eligible for 5 points in this category.</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3783</v>
      </c>
      <c r="B1676" s="1956" t="s">
        <v>3815</v>
      </c>
      <c r="C1676" s="1956"/>
      <c r="D1676" s="1956"/>
      <c r="E1676" s="2149">
        <f>'Part IX Scoring Criteria'!E21</f>
        <v>0</v>
      </c>
      <c r="F1676" s="1986" t="str">
        <f>'Part IX Scoring Criteria'!F21</f>
        <v>N/A The City of Montezuma is not a GICH community.</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3784</v>
      </c>
      <c r="B1677" s="1956" t="s">
        <v>3816</v>
      </c>
      <c r="C1677" s="1956"/>
      <c r="D1677" s="1956"/>
      <c r="E1677" s="2149">
        <f>'Part IX Scoring Criteria'!E22</f>
        <v>0</v>
      </c>
      <c r="F1677" s="1986" t="str">
        <f>'Part IX Scoring Criteria'!F22</f>
        <v>N/A</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3782</v>
      </c>
      <c r="B1678" s="1956" t="s">
        <v>3817</v>
      </c>
      <c r="C1678" s="1956"/>
      <c r="D1678" s="1956"/>
      <c r="E1678" s="1938">
        <f>'Part IX Scoring Criteria'!E23</f>
        <v>0</v>
      </c>
      <c r="F1678" s="1986" t="str">
        <f>'Part IX Scoring Criteria'!F23</f>
        <v>N/A</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2692</v>
      </c>
      <c r="F1680" s="1229"/>
      <c r="H1680" s="1822" t="s">
        <v>6907</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1935</v>
      </c>
      <c r="B1682" s="1897" t="s">
        <v>4283</v>
      </c>
      <c r="D1682" s="1897"/>
      <c r="E1682" s="1897"/>
      <c r="F1682" s="1229"/>
      <c r="M1682" s="1896"/>
      <c r="N1682" s="1940" t="s">
        <v>1935</v>
      </c>
    </row>
    <row r="1683" spans="1:20" s="1951" customFormat="1" ht="11.25" customHeight="1">
      <c r="A1683" s="1904"/>
      <c r="B1683" s="2151" t="s">
        <v>1938</v>
      </c>
      <c r="C1683" s="1897" t="s">
        <v>4286</v>
      </c>
      <c r="D1683" s="1897"/>
      <c r="E1683" s="1897"/>
      <c r="F1683" s="1229"/>
      <c r="H1683" s="1822" t="s">
        <v>3480</v>
      </c>
      <c r="J1683" s="449"/>
      <c r="M1683" s="1896"/>
      <c r="N1683" s="1949" t="s">
        <v>1938</v>
      </c>
      <c r="O1683" s="1916">
        <f>'Part IX Scoring Criteria'!O28</f>
        <v>0</v>
      </c>
      <c r="P1683" s="1916">
        <f>F1691</f>
        <v>0</v>
      </c>
    </row>
    <row r="1684" spans="1:20" s="1951" customFormat="1" ht="11.25" customHeight="1">
      <c r="A1684" s="1904"/>
      <c r="B1684" s="2151" t="s">
        <v>1940</v>
      </c>
      <c r="C1684" s="1897" t="s">
        <v>6826</v>
      </c>
      <c r="D1684" s="1897"/>
      <c r="E1684" s="1897"/>
      <c r="F1684" s="1229"/>
      <c r="H1684" s="1822" t="s">
        <v>4284</v>
      </c>
      <c r="J1684" s="449"/>
      <c r="M1684" s="1896"/>
      <c r="N1684" s="1949" t="s">
        <v>1940</v>
      </c>
      <c r="O1684" s="1916">
        <f>'Part IX Scoring Criteria'!O29</f>
        <v>0</v>
      </c>
      <c r="P1684" s="1916">
        <f>J1691</f>
        <v>0</v>
      </c>
    </row>
    <row r="1685" spans="1:20" s="1951" customFormat="1" ht="11.25" customHeight="1">
      <c r="A1685" s="1904"/>
      <c r="B1685" s="2151" t="s">
        <v>2467</v>
      </c>
      <c r="C1685" s="1897" t="s">
        <v>4285</v>
      </c>
      <c r="D1685" s="1897"/>
      <c r="E1685" s="1897"/>
      <c r="F1685" s="1229"/>
      <c r="H1685" s="1822" t="s">
        <v>4289</v>
      </c>
      <c r="J1685" s="449"/>
      <c r="M1685" s="1896"/>
      <c r="N1685" s="1949" t="s">
        <v>2467</v>
      </c>
      <c r="O1685" s="1916">
        <f>'Part IX Scoring Criteria'!O30</f>
        <v>0</v>
      </c>
      <c r="P1685" s="1916"/>
    </row>
    <row r="1686" spans="1:20" s="1951" customFormat="1" ht="11.25" customHeight="1">
      <c r="C1686" s="1956" t="s">
        <v>6879</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1937</v>
      </c>
      <c r="B1688" s="1897" t="s">
        <v>708</v>
      </c>
      <c r="D1688" s="1897"/>
      <c r="E1688" s="1897"/>
      <c r="F1688" s="1229"/>
      <c r="H1688" s="1822" t="s">
        <v>6933</v>
      </c>
      <c r="J1688" s="449"/>
      <c r="M1688" s="1896"/>
      <c r="N1688" s="1940" t="s">
        <v>1937</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4435</v>
      </c>
      <c r="B1690" s="1849"/>
      <c r="C1690" s="1849"/>
      <c r="D1690" s="1849"/>
      <c r="E1690" s="1849"/>
      <c r="F1690" s="1816" t="s">
        <v>3808</v>
      </c>
      <c r="G1690" s="449" t="s">
        <v>4436</v>
      </c>
      <c r="H1690" s="449"/>
      <c r="I1690" s="449"/>
      <c r="J1690" s="1816" t="s">
        <v>3808</v>
      </c>
      <c r="K1690" s="1945" t="s">
        <v>4282</v>
      </c>
      <c r="L1690" s="1945"/>
      <c r="M1690" s="1945"/>
      <c r="N1690" s="1945"/>
      <c r="O1690" s="1822" t="s">
        <v>3808</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2800</v>
      </c>
      <c r="K1694" s="1956">
        <v>3</v>
      </c>
      <c r="L1694" s="1956"/>
      <c r="M1694" s="1956"/>
      <c r="N1694" s="1956"/>
      <c r="O1694" s="1936" t="s">
        <v>2800</v>
      </c>
      <c r="P1694" s="1936"/>
      <c r="Q1694" s="1815" t="s">
        <v>6934</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2800</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3444</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3445</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3446</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3447</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3448</v>
      </c>
      <c r="E1705" s="449"/>
      <c r="G1705" s="449"/>
      <c r="H1705" s="449"/>
      <c r="I1705" s="449" t="s">
        <v>3365</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4297</v>
      </c>
      <c r="G1706" s="1945"/>
      <c r="H1706" s="449"/>
      <c r="I1706" s="449"/>
      <c r="K1706" s="1868"/>
      <c r="L1706" s="2154"/>
      <c r="M1706" s="1896"/>
      <c r="N1706" s="1896"/>
      <c r="O1706" s="1923"/>
      <c r="P1706" s="1923"/>
      <c r="Q1706" s="1896"/>
      <c r="R1706" s="1732"/>
    </row>
    <row r="1707" spans="1:18" s="1951" customFormat="1" ht="13.5" customHeight="1">
      <c r="A1707" s="1904" t="s">
        <v>1935</v>
      </c>
      <c r="B1707" s="1911" t="s">
        <v>2556</v>
      </c>
      <c r="E1707" s="449"/>
      <c r="G1707" s="1945"/>
      <c r="H1707" s="1945" t="s">
        <v>4437</v>
      </c>
      <c r="J1707" s="2155"/>
      <c r="K1707" s="2155" t="str">
        <f>'Part I-Project Information'!$K$94</f>
        <v>Income Averaging</v>
      </c>
      <c r="M1707" s="1896"/>
      <c r="N1707" s="1896"/>
      <c r="Q1707" s="1896"/>
      <c r="R1707" s="1732"/>
    </row>
    <row r="1708" spans="1:18" s="1947" customFormat="1" ht="9" customHeight="1">
      <c r="A1708" s="1904"/>
      <c r="B1708" s="1897" t="s">
        <v>4291</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1935</v>
      </c>
      <c r="O1709" s="1958">
        <f>'Part IX Scoring Criteria'!O54</f>
        <v>2</v>
      </c>
      <c r="P1709" s="1958">
        <f>'Part IX Scoring Criteria'!P54</f>
        <v>0</v>
      </c>
    </row>
    <row r="1710" spans="1:18" s="1947" customFormat="1" ht="13.5" customHeight="1">
      <c r="A1710" s="1904"/>
      <c r="B1710" s="2156" t="s">
        <v>1938</v>
      </c>
      <c r="C1710" s="1959" t="s">
        <v>4292</v>
      </c>
      <c r="D1710" s="449"/>
      <c r="H1710" s="449" t="s">
        <v>4293</v>
      </c>
      <c r="I1710" s="1822"/>
      <c r="K1710" s="2157">
        <f>'Part IX Scoring Criteria'!K55</f>
        <v>58</v>
      </c>
      <c r="L1710" s="1849" t="str">
        <f>IF(AND(O1710&gt;0,O1711&gt;0), "CHOOSE EITHER A OR B, NOT BOTH!", "")</f>
        <v/>
      </c>
      <c r="M1710" s="1732">
        <v>2</v>
      </c>
      <c r="N1710" s="1960" t="s">
        <v>1938</v>
      </c>
      <c r="O1710" s="1923">
        <f>'Part IX Scoring Criteria'!O55</f>
        <v>2</v>
      </c>
      <c r="P1710" s="1923"/>
      <c r="Q1710" s="1843" t="str">
        <f>IF(OR($O1710=$M1710,$O1710=0,$O1710=""),"","*CHECK!*")</f>
        <v/>
      </c>
      <c r="R1710" s="1823" t="s">
        <v>4765</v>
      </c>
    </row>
    <row r="1711" spans="1:18" s="1947" customFormat="1" ht="13.5" customHeight="1">
      <c r="A1711" s="1940" t="s">
        <v>3236</v>
      </c>
      <c r="B1711" s="2156" t="s">
        <v>1940</v>
      </c>
      <c r="C1711" s="1959" t="s">
        <v>4294</v>
      </c>
      <c r="D1711" s="449"/>
      <c r="I1711" s="1822"/>
      <c r="K1711" s="449"/>
      <c r="L1711" s="1849"/>
      <c r="M1711" s="1732">
        <v>2</v>
      </c>
      <c r="N1711" s="1960" t="s">
        <v>1940</v>
      </c>
      <c r="O1711" s="1923">
        <f>'Part IX Scoring Criteria'!O56</f>
        <v>0</v>
      </c>
      <c r="P1711" s="1923"/>
      <c r="Q1711" s="1843" t="str">
        <f>IF(OR($O1711=$M1711,$O1711=0,$O1711=""),"","*CHECK!*")</f>
        <v/>
      </c>
      <c r="R1711" s="1823" t="s">
        <v>4765</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1937</v>
      </c>
      <c r="B1713" s="1911" t="s">
        <v>6935</v>
      </c>
      <c r="E1713" s="1945"/>
      <c r="H1713" s="1822" t="s">
        <v>4295</v>
      </c>
      <c r="I1713" s="1822"/>
      <c r="J1713" s="1961" t="s">
        <v>4296</v>
      </c>
      <c r="M1713" s="1732">
        <v>3</v>
      </c>
      <c r="N1713" s="1942" t="s">
        <v>1937</v>
      </c>
      <c r="O1713" s="1958">
        <f>'Part IX Scoring Criteria'!O58</f>
        <v>0</v>
      </c>
      <c r="P1713" s="1958">
        <f>'Part IX Scoring Criteria'!P58</f>
        <v>0</v>
      </c>
    </row>
    <row r="1714" spans="1:18" s="1951" customFormat="1" ht="13.5" customHeight="1">
      <c r="A1714" s="2158"/>
      <c r="B1714" s="2156" t="s">
        <v>1938</v>
      </c>
      <c r="C1714" s="2159">
        <v>0.3</v>
      </c>
      <c r="D1714" s="1956" t="s">
        <v>3482</v>
      </c>
      <c r="E1714" s="1945"/>
      <c r="F1714" s="1944"/>
      <c r="H1714" s="2160">
        <f>'Part IX Scoring Criteria'!H59</f>
        <v>0</v>
      </c>
      <c r="I1714" s="2160"/>
      <c r="J1714" s="2161">
        <f>'Part IX Scoring Criteria'!J59</f>
        <v>50</v>
      </c>
      <c r="K1714" s="1985">
        <f>'Part IX Scoring Criteria'!K59</f>
        <v>0</v>
      </c>
      <c r="L1714" s="1985">
        <f>'Part IX Scoring Criteria'!L59</f>
        <v>0</v>
      </c>
      <c r="M1714" s="1732"/>
      <c r="N1714" s="1949" t="s">
        <v>1938</v>
      </c>
      <c r="O1714" s="1958" t="str">
        <f>'Part IX Scoring Criteria'!O59</f>
        <v>No</v>
      </c>
      <c r="P1714" s="1958" t="str">
        <f>'Part IX Scoring Criteria'!P59</f>
        <v>No</v>
      </c>
    </row>
    <row r="1715" spans="1:18" s="1951" customFormat="1" ht="13.5" customHeight="1">
      <c r="A1715" s="1229"/>
      <c r="B1715" s="2156" t="s">
        <v>1940</v>
      </c>
      <c r="C1715" s="1912" t="s">
        <v>3705</v>
      </c>
      <c r="E1715" s="2162"/>
      <c r="F1715" s="1944"/>
      <c r="I1715" s="1953"/>
      <c r="J1715" s="1953"/>
      <c r="K1715" s="1953"/>
      <c r="L1715" s="1953"/>
      <c r="M1715" s="1953"/>
      <c r="N1715" s="1949" t="s">
        <v>1940</v>
      </c>
      <c r="O1715" s="1229">
        <f>'Part IX Scoring Criteria'!O60</f>
        <v>0</v>
      </c>
      <c r="P1715" s="1229"/>
    </row>
    <row r="1716" spans="1:18" s="1951" customFormat="1" ht="10.5" customHeight="1">
      <c r="A1716" s="1815"/>
      <c r="B1716" s="449" t="s">
        <v>1819</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3779</v>
      </c>
      <c r="D1719" s="2163"/>
      <c r="I1719" s="1822" t="s">
        <v>3579</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3636</v>
      </c>
      <c r="D1721" s="1815"/>
      <c r="N1721" s="1940"/>
      <c r="O1721" s="1229" t="str">
        <f>'Part IX Scoring Criteria'!O66</f>
        <v>Yes</v>
      </c>
      <c r="P1721" s="1229"/>
    </row>
    <row r="1722" spans="1:18" s="1947" customFormat="1" ht="12" customHeight="1">
      <c r="A1722" s="1904" t="s">
        <v>1935</v>
      </c>
      <c r="B1722" s="1897" t="s">
        <v>1826</v>
      </c>
      <c r="C1722" s="1815"/>
      <c r="D1722" s="1815"/>
      <c r="F1722" s="1819"/>
      <c r="H1722" s="1863" t="s">
        <v>2637</v>
      </c>
      <c r="I1722" s="1956" t="s">
        <v>6936</v>
      </c>
      <c r="J1722" s="1956"/>
      <c r="K1722" s="1956"/>
      <c r="L1722" s="1956"/>
      <c r="M1722" s="1896">
        <v>10</v>
      </c>
      <c r="N1722" s="1960" t="s">
        <v>1935</v>
      </c>
      <c r="O1722" s="1923">
        <f>'Part IX Scoring Criteria'!O67</f>
        <v>10</v>
      </c>
      <c r="P1722" s="1923"/>
      <c r="Q1722" s="1843" t="str">
        <f>IF(OR($O1722=$M1722,$O1722=0,$O1722=""),"","*CHECK!*")</f>
        <v/>
      </c>
      <c r="R1722" s="1823" t="s">
        <v>4765</v>
      </c>
    </row>
    <row r="1723" spans="1:18" s="1947" customFormat="1" ht="12.6" customHeight="1">
      <c r="A1723" s="1904" t="s">
        <v>1937</v>
      </c>
      <c r="B1723" s="1897" t="s">
        <v>3628</v>
      </c>
      <c r="D1723" s="1962"/>
      <c r="F1723" s="1963"/>
      <c r="H1723" s="1863" t="s">
        <v>3727</v>
      </c>
      <c r="I1723" s="1956"/>
      <c r="J1723" s="1956"/>
      <c r="K1723" s="1956"/>
      <c r="L1723" s="1956"/>
      <c r="M1723" s="1229" t="s">
        <v>1212</v>
      </c>
      <c r="N1723" s="1940" t="s">
        <v>1937</v>
      </c>
      <c r="O1723" s="1923">
        <f>'Part IX Scoring Criteria'!O68</f>
        <v>0</v>
      </c>
      <c r="P1723" s="1923"/>
      <c r="R1723" s="1823" t="s">
        <v>4765</v>
      </c>
    </row>
    <row r="1724" spans="1:18" s="1951" customFormat="1" ht="11.25" customHeight="1">
      <c r="A1724" s="1815"/>
      <c r="B1724" s="449" t="s">
        <v>3566</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The project is eleigible for 10 desirables points. The property location is within two miles there is a grocery store, retail store, pharmacy, restaurant, hospital, medical care provider, public school, community center, FDIC bank and house of worship. Applicant is eligible for maximum 10 points. There are no undesirables.</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1819</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2560</v>
      </c>
      <c r="D1729" s="2163"/>
      <c r="K1729" s="1229" t="s">
        <v>1831</v>
      </c>
      <c r="M1729" s="1896">
        <v>6</v>
      </c>
      <c r="N1729" s="1940"/>
      <c r="O1729" s="1923">
        <f>'Part IX Scoring Criteria'!O74</f>
        <v>1</v>
      </c>
      <c r="P1729" s="1923">
        <f>'Part IX Scoring Criteria'!P74</f>
        <v>0</v>
      </c>
      <c r="Q1729" s="1896" t="s">
        <v>433</v>
      </c>
      <c r="R1729" s="1952" t="s">
        <v>6973</v>
      </c>
      <c r="S1729" s="1952"/>
      <c r="T1729" s="1952"/>
      <c r="U1729" s="1952"/>
    </row>
    <row r="1730" spans="1:21" s="1951" customFormat="1" ht="17.25" customHeight="1">
      <c r="A1730" s="2150"/>
      <c r="B1730" s="1897" t="s">
        <v>3706</v>
      </c>
      <c r="D1730" s="2163"/>
      <c r="H1730" s="1897" t="s">
        <v>2702</v>
      </c>
      <c r="I1730" s="1918"/>
      <c r="J1730" s="1897" t="str">
        <f>'Part I-Project Information'!$H$105</f>
        <v>Rural</v>
      </c>
      <c r="K1730" s="1897"/>
      <c r="M1730" s="1896"/>
      <c r="N1730" s="1940"/>
      <c r="O1730" s="2164" t="s">
        <v>3449</v>
      </c>
      <c r="P1730" s="2164" t="s">
        <v>3450</v>
      </c>
      <c r="Q1730" s="1896"/>
      <c r="R1730" s="1952"/>
      <c r="S1730" s="1952"/>
      <c r="T1730" s="1952"/>
      <c r="U1730" s="1952"/>
    </row>
    <row r="1731" spans="1:21" s="1951" customFormat="1" ht="11.25" customHeight="1">
      <c r="A1731" s="2150"/>
      <c r="B1731" s="1969" t="s">
        <v>1938</v>
      </c>
      <c r="C1731" s="449" t="s">
        <v>4302</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1940</v>
      </c>
      <c r="C1732" s="449" t="s">
        <v>4303</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2467</v>
      </c>
      <c r="C1733" s="449" t="s">
        <v>6908</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4298</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3712</v>
      </c>
      <c r="D1736" s="2163"/>
      <c r="F1736" s="1897" t="s">
        <v>3535</v>
      </c>
      <c r="G1736" s="1897"/>
      <c r="H1736" s="1897"/>
      <c r="I1736" s="1897"/>
      <c r="J1736" s="1897" t="s">
        <v>3536</v>
      </c>
      <c r="K1736" s="1897"/>
      <c r="L1736" s="1897"/>
      <c r="M1736" s="1897"/>
      <c r="N1736" s="1940"/>
      <c r="O1736" s="1964" t="s">
        <v>6974</v>
      </c>
      <c r="P1736" s="1964"/>
      <c r="Q1736" s="1896"/>
      <c r="R1736" s="1952"/>
      <c r="S1736" s="1952"/>
      <c r="T1736" s="1952"/>
      <c r="U1736" s="1952"/>
    </row>
    <row r="1737" spans="1:21" s="1951" customFormat="1" ht="12.75" customHeight="1">
      <c r="A1737" s="2150"/>
      <c r="C1737" s="1897" t="s">
        <v>3711</v>
      </c>
      <c r="D1737" s="1855"/>
      <c r="E1737" s="1849"/>
      <c r="F1737" s="1965">
        <f>'Part IX Scoring Criteria'!F82</f>
        <v>32.293562999999999</v>
      </c>
      <c r="G1737" s="1965"/>
      <c r="H1737" s="1965"/>
      <c r="I1737" s="1965"/>
      <c r="J1737" s="1965">
        <f>'Part IX Scoring Criteria'!J82</f>
        <v>-84.016007999999999</v>
      </c>
      <c r="K1737" s="1965"/>
      <c r="L1737" s="1965"/>
      <c r="M1737" s="1965"/>
      <c r="N1737" s="1940"/>
      <c r="Q1737" s="1896"/>
      <c r="R1737" s="1952"/>
      <c r="S1737" s="1952"/>
      <c r="T1737" s="1952"/>
      <c r="U1737" s="1952"/>
    </row>
    <row r="1738" spans="1:21" s="1951" customFormat="1" ht="12.75" customHeight="1">
      <c r="A1738" s="2165" t="s">
        <v>3807</v>
      </c>
      <c r="B1738" s="2165"/>
      <c r="D1738" s="449" t="s">
        <v>3713</v>
      </c>
      <c r="E1738" s="1849"/>
      <c r="F1738" s="1965">
        <f>'Part IX Scoring Criteria'!F83</f>
        <v>32.293562999999999</v>
      </c>
      <c r="G1738" s="1965"/>
      <c r="H1738" s="1965"/>
      <c r="I1738" s="1965"/>
      <c r="J1738" s="1965">
        <f>'Part IX Scoring Criteria'!J83</f>
        <v>-84.016007999999999</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3777</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3776</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2693</v>
      </c>
      <c r="B1742" s="1815"/>
      <c r="D1742" s="2163"/>
      <c r="F1742" s="1908" t="s">
        <v>3365</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1935</v>
      </c>
      <c r="B1744" s="1897" t="s">
        <v>3559</v>
      </c>
      <c r="D1744" s="2163"/>
      <c r="F1744" s="449" t="s">
        <v>6909</v>
      </c>
      <c r="M1744" s="1896">
        <v>6</v>
      </c>
      <c r="N1744" s="1949" t="s">
        <v>1935</v>
      </c>
      <c r="O1744" s="1923">
        <f>'Part IX Scoring Criteria'!O89</f>
        <v>0</v>
      </c>
      <c r="P1744" s="1923">
        <f>'Part IX Scoring Criteria'!P89</f>
        <v>0</v>
      </c>
      <c r="Q1744" s="1896"/>
    </row>
    <row r="1745" spans="1:21" s="1950" customFormat="1" ht="23.25" customHeight="1">
      <c r="B1745" s="1968" t="s">
        <v>1938</v>
      </c>
      <c r="C1745" s="1936" t="s">
        <v>6937</v>
      </c>
      <c r="D1745" s="1936"/>
      <c r="E1745" s="1936"/>
      <c r="F1745" s="1936"/>
      <c r="G1745" s="1936"/>
      <c r="H1745" s="1936"/>
      <c r="I1745" s="1963" t="s">
        <v>6938</v>
      </c>
      <c r="J1745" s="1963"/>
      <c r="K1745" s="1963"/>
      <c r="L1745" s="1963"/>
      <c r="M1745" s="1967">
        <v>5</v>
      </c>
      <c r="N1745" s="1968" t="s">
        <v>1938</v>
      </c>
      <c r="O1745" s="2166">
        <f>'Part IX Scoring Criteria'!O90</f>
        <v>0</v>
      </c>
      <c r="P1745" s="2166"/>
      <c r="Q1745" s="1843" t="str">
        <f>IF(OR($O1745=$M1745,$O1745=0,$O1745=""),"","*CHECK!*")</f>
        <v/>
      </c>
      <c r="R1745" s="1823" t="s">
        <v>4765</v>
      </c>
    </row>
    <row r="1746" spans="1:21" s="1950" customFormat="1" ht="12" customHeight="1">
      <c r="A1746" s="1229" t="s">
        <v>1326</v>
      </c>
      <c r="B1746" s="1968" t="s">
        <v>1940</v>
      </c>
      <c r="C1746" s="1936" t="s">
        <v>6939</v>
      </c>
      <c r="D1746" s="1936"/>
      <c r="E1746" s="1936"/>
      <c r="F1746" s="1936"/>
      <c r="G1746" s="1936"/>
      <c r="H1746" s="1229" t="str">
        <f>IF(AND(O1746&gt;0,O1745&gt;0),"Pick A1 or A2!","")</f>
        <v/>
      </c>
      <c r="I1746" s="1963"/>
      <c r="J1746" s="1963"/>
      <c r="K1746" s="1963"/>
      <c r="L1746" s="1963"/>
      <c r="M1746" s="1896">
        <v>4</v>
      </c>
      <c r="N1746" s="1969" t="s">
        <v>1940</v>
      </c>
      <c r="O1746" s="1923">
        <f>'Part IX Scoring Criteria'!O91</f>
        <v>0</v>
      </c>
      <c r="P1746" s="1923"/>
      <c r="Q1746" s="1843" t="str">
        <f>IF(OR($O1746=$M1746,$O1746=0,$O1746=""),"","*CHECK!*")</f>
        <v/>
      </c>
      <c r="R1746" s="1823" t="s">
        <v>4765</v>
      </c>
    </row>
    <row r="1747" spans="1:21" s="1950" customFormat="1" ht="12" customHeight="1">
      <c r="B1747" s="1968" t="s">
        <v>2467</v>
      </c>
      <c r="C1747" s="1936" t="s">
        <v>3560</v>
      </c>
      <c r="D1747" s="1936"/>
      <c r="E1747" s="1936"/>
      <c r="F1747" s="1936"/>
      <c r="I1747" s="1963"/>
      <c r="J1747" s="1963"/>
      <c r="K1747" s="1963"/>
      <c r="L1747" s="1963"/>
      <c r="M1747" s="1896">
        <v>1</v>
      </c>
      <c r="N1747" s="1969" t="s">
        <v>2467</v>
      </c>
      <c r="O1747" s="1923">
        <f>'Part IX Scoring Criteria'!O92</f>
        <v>0</v>
      </c>
      <c r="P1747" s="1923"/>
      <c r="Q1747" s="1843" t="str">
        <f>IF(OR($O1747=$M1747,$O1747=0,$O1747=""),"","*CHECK!*")</f>
        <v/>
      </c>
      <c r="R1747" s="1823" t="s">
        <v>4765</v>
      </c>
    </row>
    <row r="1748" spans="1:21" s="1950" customFormat="1" ht="12" customHeight="1">
      <c r="B1748" s="1968"/>
      <c r="C1748" s="1863" t="s">
        <v>3775</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1937</v>
      </c>
      <c r="B1750" s="1772" t="s">
        <v>3561</v>
      </c>
      <c r="C1750" s="1772"/>
      <c r="D1750" s="1772"/>
      <c r="E1750" s="1772"/>
      <c r="F1750" s="1936" t="s">
        <v>6910</v>
      </c>
      <c r="I1750" s="1956" t="str">
        <f>'Part IX Scoring Criteria'!I95</f>
        <v>Macon County Transit</v>
      </c>
      <c r="J1750" s="1956"/>
      <c r="K1750" s="1956"/>
      <c r="L1750" s="2230">
        <f>'Part IX Scoring Criteria'!L95</f>
        <v>4784729613</v>
      </c>
      <c r="M1750" s="1896">
        <v>3</v>
      </c>
      <c r="N1750" s="1940" t="s">
        <v>1937</v>
      </c>
      <c r="O1750" s="1923">
        <f>'Part IX Scoring Criteria'!O95</f>
        <v>0</v>
      </c>
      <c r="P1750" s="1923">
        <f>'Part IX Scoring Criteria'!P95</f>
        <v>0</v>
      </c>
      <c r="Q1750" s="1768"/>
      <c r="R1750" s="1955"/>
    </row>
    <row r="1751" spans="1:21" s="1951" customFormat="1" ht="11.25" customHeight="1">
      <c r="A1751" s="2150"/>
      <c r="B1751" s="1940" t="s">
        <v>3589</v>
      </c>
      <c r="C1751" s="1822" t="s">
        <v>4301</v>
      </c>
      <c r="D1751" s="1962"/>
      <c r="E1751" s="1947"/>
      <c r="F1751" s="1947"/>
      <c r="G1751" s="1947"/>
      <c r="H1751" s="449"/>
      <c r="I1751" s="1956"/>
      <c r="J1751" s="1956"/>
      <c r="K1751" s="1956"/>
      <c r="L1751" s="2230"/>
      <c r="M1751" s="1947"/>
      <c r="N1751" s="1940" t="s">
        <v>3589</v>
      </c>
      <c r="O1751" s="1229">
        <f>'Part IX Scoring Criteria'!O96</f>
        <v>0</v>
      </c>
      <c r="P1751" s="1229"/>
      <c r="Q1751" s="1896"/>
      <c r="R1751" s="1955"/>
      <c r="S1751" s="1950"/>
      <c r="T1751" s="1950"/>
      <c r="U1751" s="1950"/>
    </row>
    <row r="1752" spans="1:21" s="1951" customFormat="1" ht="11.25" customHeight="1">
      <c r="A1752" s="2150"/>
      <c r="B1752" s="1940" t="s">
        <v>3590</v>
      </c>
      <c r="C1752" s="1822" t="s">
        <v>4300</v>
      </c>
      <c r="D1752" s="1962"/>
      <c r="E1752" s="1947"/>
      <c r="F1752" s="1947"/>
      <c r="G1752" s="1947"/>
      <c r="H1752" s="449"/>
      <c r="I1752" s="1956" t="str">
        <f>'Part IX Scoring Criteria'!I97</f>
        <v>rose1954@windstream.net</v>
      </c>
      <c r="J1752" s="1956"/>
      <c r="K1752" s="1956"/>
      <c r="L1752" s="1956"/>
      <c r="M1752" s="1947"/>
      <c r="N1752" s="1940" t="s">
        <v>3590</v>
      </c>
      <c r="O1752" s="1229">
        <f>'Part IX Scoring Criteria'!O97</f>
        <v>0</v>
      </c>
      <c r="P1752" s="1229"/>
      <c r="Q1752" s="1896"/>
      <c r="R1752" s="1955"/>
      <c r="S1752" s="1950"/>
      <c r="T1752" s="1950"/>
      <c r="U1752" s="1950"/>
    </row>
    <row r="1753" spans="1:21" s="1950" customFormat="1" ht="12" customHeight="1">
      <c r="A1753" s="1904"/>
      <c r="B1753" s="2167" t="s">
        <v>1938</v>
      </c>
      <c r="C1753" s="449" t="s">
        <v>6940</v>
      </c>
      <c r="D1753" s="449"/>
      <c r="E1753" s="449"/>
      <c r="F1753" s="449"/>
      <c r="G1753" s="449"/>
      <c r="H1753" s="449"/>
      <c r="I1753" s="1956"/>
      <c r="J1753" s="1956"/>
      <c r="K1753" s="1956"/>
      <c r="L1753" s="1956"/>
      <c r="M1753" s="1896">
        <v>3</v>
      </c>
      <c r="N1753" s="1969" t="s">
        <v>1938</v>
      </c>
      <c r="O1753" s="1923">
        <f>'Part IX Scoring Criteria'!O98</f>
        <v>0</v>
      </c>
      <c r="P1753" s="1923"/>
      <c r="Q1753" s="1993" t="str">
        <f>IF(OR($O1753=$M1753,$O1753=0,$O1753=""),"","*CHECK!*")</f>
        <v/>
      </c>
      <c r="R1753" s="1823" t="s">
        <v>4765</v>
      </c>
    </row>
    <row r="1754" spans="1:21" s="1951" customFormat="1" ht="12" customHeight="1">
      <c r="A1754" s="1229" t="s">
        <v>1326</v>
      </c>
      <c r="B1754" s="2167" t="s">
        <v>1940</v>
      </c>
      <c r="C1754" s="449" t="s">
        <v>6941</v>
      </c>
      <c r="D1754" s="449"/>
      <c r="E1754" s="449"/>
      <c r="F1754" s="449"/>
      <c r="G1754" s="449"/>
      <c r="H1754" s="449"/>
      <c r="I1754" s="1956" t="str">
        <f>'Part IX Scoring Criteria'!I99</f>
        <v>https://www.maconcountyga.gov/transit-schedules-and-fares.cfm</v>
      </c>
      <c r="J1754" s="1956"/>
      <c r="K1754" s="1956"/>
      <c r="L1754" s="1956"/>
      <c r="M1754" s="1896">
        <v>2</v>
      </c>
      <c r="N1754" s="1969" t="s">
        <v>1940</v>
      </c>
      <c r="O1754" s="1923">
        <f>'Part IX Scoring Criteria'!O99</f>
        <v>0</v>
      </c>
      <c r="P1754" s="1923"/>
      <c r="Q1754" s="1993" t="str">
        <f>IF(OR($O1754=$M1754,$O1754=0,$O1754=""),"","*CHECK!*")</f>
        <v/>
      </c>
      <c r="R1754" s="1823" t="s">
        <v>4765</v>
      </c>
    </row>
    <row r="1755" spans="1:21" s="1951" customFormat="1" ht="14.25" customHeight="1">
      <c r="A1755" s="1229" t="s">
        <v>1326</v>
      </c>
      <c r="B1755" s="2167" t="s">
        <v>2467</v>
      </c>
      <c r="C1755" s="449" t="s">
        <v>6942</v>
      </c>
      <c r="D1755" s="449"/>
      <c r="E1755" s="449"/>
      <c r="F1755" s="449"/>
      <c r="G1755" s="449"/>
      <c r="H1755" s="449"/>
      <c r="I1755" s="1956"/>
      <c r="J1755" s="1956"/>
      <c r="K1755" s="1956"/>
      <c r="L1755" s="1956"/>
      <c r="M1755" s="1896">
        <v>1</v>
      </c>
      <c r="N1755" s="1969" t="s">
        <v>2467</v>
      </c>
      <c r="O1755" s="1923">
        <f>'Part IX Scoring Criteria'!O100</f>
        <v>0</v>
      </c>
      <c r="P1755" s="1923"/>
      <c r="Q1755" s="1993" t="str">
        <f>IF(OR($O1755=$M1755,$O1755=0,$O1755=""),"","*CHECK!*")</f>
        <v/>
      </c>
      <c r="R1755" s="1823" t="s">
        <v>4765</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https://www.maconcountyga.gov/transit-schedules-and-fares.cfm</v>
      </c>
      <c r="J1756" s="1956"/>
      <c r="K1756" s="1956"/>
      <c r="L1756" s="1956"/>
      <c r="M1756" s="1947"/>
      <c r="N1756" s="1947"/>
      <c r="O1756" s="1947"/>
      <c r="P1756" s="1947"/>
      <c r="Q1756" s="1993"/>
      <c r="R1756" s="1955"/>
    </row>
    <row r="1757" spans="1:21" s="1951" customFormat="1" ht="12.6" customHeight="1">
      <c r="A1757" s="1815" t="s">
        <v>2695</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6827</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4765</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6975</v>
      </c>
      <c r="B1760" s="1897"/>
      <c r="E1760" s="2163"/>
      <c r="K1760" s="1897"/>
      <c r="M1760" s="1896"/>
      <c r="N1760" s="1896"/>
      <c r="O1760" s="1896"/>
      <c r="P1760" s="1896"/>
      <c r="Q1760" s="1732"/>
      <c r="R1760" s="1732"/>
    </row>
    <row r="1761" spans="1:20" s="1951" customFormat="1" ht="11.25" customHeight="1">
      <c r="A1761" s="1815"/>
      <c r="B1761" s="449" t="s">
        <v>3566</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The proposed development is in the Rural pool and On-call public transportation service will be provided by Macon County Transit, which provides safe, reliable, accessible and affordable transportation for residents of Macon County. Please see Tab 28 for rural transportation documentation.</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1819</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3725</v>
      </c>
      <c r="D1767" s="449"/>
      <c r="E1767" s="449"/>
      <c r="F1767" s="1896"/>
      <c r="G1767" s="1896"/>
      <c r="H1767" s="1896"/>
      <c r="I1767" s="1908" t="s">
        <v>3365</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1935</v>
      </c>
      <c r="B1769" s="1897" t="s">
        <v>3726</v>
      </c>
      <c r="D1769" s="1962"/>
      <c r="E1769" s="449" t="s">
        <v>3781</v>
      </c>
      <c r="G1769" s="1908"/>
      <c r="I1769" s="1940" t="s">
        <v>3775</v>
      </c>
      <c r="J1769" s="1908" t="str">
        <f>'Part I-Project Information'!$H$82</f>
        <v>Family</v>
      </c>
      <c r="K1769" s="1962"/>
      <c r="L1769" s="1732" t="str">
        <f>IF(OR($O1769=$M1769,$O1769=0,$O1769=""),"","* * Check Score! * *")</f>
        <v/>
      </c>
      <c r="M1769" s="1896">
        <v>3</v>
      </c>
      <c r="N1769" s="1940" t="s">
        <v>1935</v>
      </c>
      <c r="O1769" s="1923">
        <f>'Part IX Scoring Criteria'!O114</f>
        <v>0</v>
      </c>
      <c r="P1769" s="1923"/>
      <c r="Q1769" s="1843" t="str">
        <f>IF(OR($O1769=$M1769,$O1769=0,$O1769=""),"","*CHECK!*")</f>
        <v/>
      </c>
      <c r="R1769" s="1823" t="s">
        <v>4765</v>
      </c>
    </row>
    <row r="1770" spans="1:20" s="1951" customFormat="1" ht="11.25" customHeight="1">
      <c r="A1770" s="1815"/>
      <c r="B1770" s="1945" t="s">
        <v>4590</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4726</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4305</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1937</v>
      </c>
      <c r="B1774" s="1897" t="s">
        <v>3728</v>
      </c>
      <c r="L1774" s="1732" t="str">
        <f>IF(OR($O1774=$M1774,$O1774=0,$O1774=""),"","* * Check Score! * *")</f>
        <v/>
      </c>
      <c r="M1774" s="1732">
        <v>3</v>
      </c>
      <c r="N1774" s="1940" t="s">
        <v>1937</v>
      </c>
      <c r="O1774" s="1923">
        <f>'Part IX Scoring Criteria'!O119</f>
        <v>3</v>
      </c>
      <c r="P1774" s="1923"/>
      <c r="Q1774" s="1843" t="str">
        <f>IF(OR($O1774=$M1774,$O1774=0,$O1774=""),"","*CHECK!*")</f>
        <v/>
      </c>
      <c r="R1774" s="1823" t="s">
        <v>4765</v>
      </c>
      <c r="S1774" s="2125"/>
      <c r="T1774" s="2125"/>
    </row>
    <row r="1775" spans="1:20" s="1947" customFormat="1" ht="10.5" customHeight="1">
      <c r="A1775" s="1904"/>
      <c r="B1775" s="449" t="s">
        <v>4501</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1938</v>
      </c>
      <c r="C1776" s="1936" t="s">
        <v>4610</v>
      </c>
      <c r="D1776" s="1956" t="s">
        <v>4305</v>
      </c>
      <c r="E1776" s="1956"/>
      <c r="F1776" s="1956"/>
      <c r="G1776" s="1956" t="str">
        <f>'Part IX Scoring Criteria'!G121</f>
        <v xml:space="preserve">TMMB Consulting, LLC </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4614</v>
      </c>
      <c r="E1777" s="449"/>
      <c r="F1777" s="449"/>
      <c r="G1777" s="449"/>
      <c r="M1777" s="1896"/>
      <c r="N1777" s="1942" t="s">
        <v>4806</v>
      </c>
      <c r="O1777" s="1229" t="str">
        <f>'Part IX Scoring Criteria'!O122</f>
        <v>Yes</v>
      </c>
      <c r="P1777" s="1229"/>
      <c r="Q1777" s="2125"/>
      <c r="R1777" s="2125"/>
      <c r="S1777" s="2125"/>
      <c r="T1777" s="2125"/>
    </row>
    <row r="1778" spans="1:21" s="449" customFormat="1" ht="10.5" customHeight="1">
      <c r="A1778" s="1940"/>
      <c r="B1778" s="1969"/>
      <c r="C1778" s="449" t="s">
        <v>4615</v>
      </c>
      <c r="M1778" s="1229"/>
      <c r="N1778" s="1940" t="s">
        <v>2372</v>
      </c>
      <c r="O1778" s="1229" t="str">
        <f>'Part IX Scoring Criteria'!O123</f>
        <v>Yes</v>
      </c>
      <c r="P1778" s="1229"/>
      <c r="Q1778" s="2125"/>
      <c r="R1778" s="2125"/>
      <c r="S1778" s="2125"/>
      <c r="T1778" s="2125"/>
    </row>
    <row r="1779" spans="1:21" s="1945" customFormat="1" ht="10.5" customHeight="1">
      <c r="A1779" s="1940"/>
      <c r="C1779" s="1945" t="s">
        <v>3803</v>
      </c>
      <c r="E1779" s="449"/>
      <c r="F1779" s="449"/>
      <c r="G1779" s="449"/>
      <c r="L1779" s="1945" t="s">
        <v>3616</v>
      </c>
      <c r="O1779" s="1945" t="s">
        <v>3615</v>
      </c>
      <c r="Q1779" s="449"/>
    </row>
    <row r="1780" spans="1:21" s="1945" customFormat="1" ht="10.95" customHeight="1">
      <c r="A1780" s="1940"/>
      <c r="B1780" s="1940"/>
      <c r="C1780" s="1956" t="str">
        <f>'Part IX Scoring Criteria'!C125</f>
        <v>Health Screening &amp; Resident Education</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95" customHeight="1">
      <c r="A1781" s="1940"/>
      <c r="B1781" s="1942"/>
      <c r="C1781" s="1956" t="str">
        <f>'Part IX Scoring Criteria'!C126</f>
        <v xml:space="preserve">Biometric Screenings including blood pressure, glucose monitoring and body mass index </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t="str">
        <f>'Part IX Scoring Criteria'!C127</f>
        <v>Education classes healthy eating, appropriate exercise, cancer risks, hypertension and lifestyle changes</v>
      </c>
      <c r="D1782" s="1956"/>
      <c r="E1782" s="1956"/>
      <c r="F1782" s="1956"/>
      <c r="G1782" s="1956"/>
      <c r="H1782" s="1956"/>
      <c r="I1782" s="1956"/>
      <c r="J1782" s="1956"/>
      <c r="K1782" s="1956"/>
      <c r="L1782" s="1936" t="str">
        <f>'Part IX Scoring Criteria'!L127</f>
        <v>monthly</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f>'Part IX Scoring Criteria'!L128</f>
        <v>0</v>
      </c>
      <c r="M1783" s="1936"/>
      <c r="N1783" s="1936"/>
      <c r="O1783" s="2231">
        <f>'Part IX Scoring Criteria'!O128</f>
        <v>0</v>
      </c>
      <c r="P1783" s="2231"/>
      <c r="Q1783" s="449" t="str">
        <f>IF(O1783&gt;15, "Too much!","")</f>
        <v/>
      </c>
    </row>
    <row r="1784" spans="1:21" s="1947" customFormat="1" ht="10.5" customHeight="1">
      <c r="B1784" s="2167" t="s">
        <v>1940</v>
      </c>
      <c r="C1784" s="449" t="s">
        <v>4611</v>
      </c>
      <c r="D1784" s="449" t="s">
        <v>4616</v>
      </c>
      <c r="E1784" s="449"/>
      <c r="F1784" s="449"/>
      <c r="G1784" s="449"/>
      <c r="N1784" s="1942" t="s">
        <v>4807</v>
      </c>
      <c r="O1784" s="1229" t="str">
        <f>'Part IX Scoring Criteria'!O129</f>
        <v>Yes</v>
      </c>
      <c r="P1784" s="1229"/>
      <c r="Q1784" s="1822"/>
      <c r="R1784" s="1945"/>
      <c r="S1784" s="1945"/>
      <c r="T1784" s="1945"/>
      <c r="U1784" s="1945"/>
    </row>
    <row r="1785" spans="1:21" s="1947" customFormat="1" ht="10.5" customHeight="1">
      <c r="A1785" s="1904"/>
      <c r="B1785" s="449"/>
      <c r="D1785" s="449" t="s">
        <v>4617</v>
      </c>
      <c r="E1785" s="449"/>
      <c r="F1785" s="449"/>
      <c r="G1785" s="449"/>
      <c r="M1785" s="1896"/>
      <c r="N1785" s="1940" t="s">
        <v>2372</v>
      </c>
      <c r="O1785" s="1229" t="str">
        <f>'Part IX Scoring Criteria'!O130</f>
        <v>Yes</v>
      </c>
      <c r="P1785" s="1229"/>
      <c r="Q1785" s="1822"/>
      <c r="R1785" s="1945"/>
      <c r="S1785" s="1945"/>
      <c r="T1785" s="1945"/>
      <c r="U1785" s="1945"/>
    </row>
    <row r="1786" spans="1:21" s="1947" customFormat="1" ht="12.75" customHeight="1">
      <c r="A1786" s="1904" t="s">
        <v>731</v>
      </c>
      <c r="B1786" s="1897" t="s">
        <v>3617</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4765</v>
      </c>
      <c r="S1786" s="2125"/>
      <c r="T1786" s="2125"/>
      <c r="U1786" s="2125"/>
    </row>
    <row r="1787" spans="1:21" s="449" customFormat="1" ht="10.5" customHeight="1">
      <c r="A1787" s="1940"/>
      <c r="C1787" s="449" t="s">
        <v>4805</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1938</v>
      </c>
      <c r="C1788" s="1936" t="s">
        <v>6943</v>
      </c>
      <c r="D1788" s="1936"/>
      <c r="E1788" s="1936"/>
      <c r="F1788" s="2141"/>
      <c r="G1788" s="1908" t="s">
        <v>4811</v>
      </c>
      <c r="I1788" s="2141"/>
      <c r="J1788" s="2141"/>
      <c r="K1788" s="2141"/>
      <c r="L1788" s="2141"/>
      <c r="M1788" s="1940"/>
      <c r="N1788" s="1942" t="s">
        <v>4806</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4808</v>
      </c>
      <c r="I1789" s="2141"/>
      <c r="J1789" s="2141"/>
      <c r="K1789" s="2141"/>
      <c r="L1789" s="2141"/>
      <c r="M1789" s="1229"/>
      <c r="N1789" s="1940" t="s">
        <v>2372</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4809</v>
      </c>
      <c r="I1790" s="2141"/>
      <c r="J1790" s="2141"/>
      <c r="K1790" s="2141"/>
      <c r="L1790" s="2141"/>
      <c r="M1790" s="1229"/>
      <c r="N1790" s="1940" t="s">
        <v>2373</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4810</v>
      </c>
      <c r="I1791" s="2141"/>
      <c r="J1791" s="2141"/>
      <c r="K1791" s="2141"/>
      <c r="L1791" s="2141"/>
      <c r="M1791" s="1229"/>
      <c r="N1791" s="1940" t="s">
        <v>2374</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4812</v>
      </c>
      <c r="I1792" s="2141"/>
      <c r="J1792" s="2141"/>
      <c r="K1792" s="2141"/>
      <c r="L1792" s="2141"/>
      <c r="M1792" s="1229"/>
      <c r="N1792" s="1940" t="s">
        <v>2375</v>
      </c>
      <c r="O1792" s="1229" t="str">
        <f>'Part IX Scoring Criteria'!O137</f>
        <v>Yes</v>
      </c>
      <c r="P1792" s="1229"/>
    </row>
    <row r="1793" spans="1:23" s="449" customFormat="1" ht="10.5" customHeight="1">
      <c r="A1793" s="1940"/>
      <c r="C1793" s="449" t="s">
        <v>4813</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1940</v>
      </c>
      <c r="C1794" s="1908" t="s">
        <v>6944</v>
      </c>
      <c r="D1794" s="2141"/>
      <c r="E1794" s="2141"/>
      <c r="F1794" s="2141"/>
      <c r="G1794" s="2141"/>
      <c r="H1794" s="2141"/>
      <c r="I1794" s="2141"/>
      <c r="J1794" s="2141"/>
      <c r="K1794" s="2141"/>
      <c r="L1794" s="2141"/>
      <c r="M1794" s="1940"/>
      <c r="N1794" s="1960" t="s">
        <v>1940</v>
      </c>
      <c r="O1794" s="1229" t="str">
        <f>'Part IX Scoring Criteria'!O139</f>
        <v>Yes</v>
      </c>
      <c r="P1794" s="1229"/>
    </row>
    <row r="1795" spans="1:23" s="1945" customFormat="1" ht="10.5" customHeight="1">
      <c r="A1795" s="1940"/>
      <c r="B1795" s="1968"/>
      <c r="C1795" s="1945" t="s">
        <v>3624</v>
      </c>
      <c r="E1795" s="449"/>
      <c r="F1795" s="449"/>
      <c r="G1795" s="1945" t="s">
        <v>3805</v>
      </c>
      <c r="Q1795" s="449"/>
    </row>
    <row r="1796" spans="1:23" s="1945" customFormat="1" ht="21" customHeight="1">
      <c r="B1796" s="1940"/>
      <c r="C1796" s="1956" t="str">
        <f>'Part IX Scoring Criteria'!C141</f>
        <v>Community Garden with Food prep Education</v>
      </c>
      <c r="D1796" s="1956"/>
      <c r="E1796" s="1956"/>
      <c r="F1796" s="1956"/>
      <c r="G1796" s="1956" t="str">
        <f>'Part IX Scoring Criteria'!G141</f>
        <v xml:space="preserve">FWM will utilize the on-site community room and ktichen facility to illustrate cooking options for seasonal harvests.  </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Healthy Eating Education</v>
      </c>
      <c r="D1797" s="1956"/>
      <c r="E1797" s="1956"/>
      <c r="F1797" s="1956"/>
      <c r="G1797" s="1956" t="str">
        <f>'Part IX Scoring Criteria'!G142</f>
        <v xml:space="preserve">The property will offer educational classes to give residents information about the importance of a healthy diet. </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Fairway Management Lifestyle Website</v>
      </c>
      <c r="D1798" s="1956"/>
      <c r="E1798" s="1956"/>
      <c r="F1798" s="1956"/>
      <c r="G1798" s="1956" t="str">
        <f>'Part IX Scoring Criteria'!G143</f>
        <v xml:space="preserve">In lieu of a monthly printed newsletter, Fairway Management offers weekly innovative and affordable ways to maintain a healthy lifestyle.  </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3566</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The proposed development will provide Preventive Health Care services and education for the residents at Spring Creek Crossing at no charge. The preventive health care provider will also serve as the Health Services Coordinator (HSC) and will effectively assess residents' health needs, make appropriate referrals and track health outcomes. Additionally, the the applicant has agreed to provide a Healthy Eating Initiative that will include a community garden, which is outlined above. The costs associated with the Enriched Property Services have been accounted for in the property's operating expense budget.</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3818</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3714</v>
      </c>
      <c r="C1805" s="1939"/>
      <c r="D1805" s="1939"/>
      <c r="E1805" s="1939"/>
      <c r="F1805" s="1939"/>
      <c r="G1805" s="1939"/>
      <c r="H1805" s="1939"/>
      <c r="I1805" s="1939"/>
      <c r="J1805" s="1939"/>
      <c r="K1805" s="1939"/>
      <c r="L1805" s="1939"/>
      <c r="M1805" s="1896">
        <v>5</v>
      </c>
      <c r="N1805" s="1967"/>
      <c r="O1805" s="1923">
        <f>'Part IX Scoring Criteria'!O150</f>
        <v>0</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1935</v>
      </c>
      <c r="B1807" s="1815" t="s">
        <v>3729</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4765</v>
      </c>
    </row>
    <row r="1808" spans="1:23" s="1951" customFormat="1" ht="12" customHeight="1">
      <c r="B1808" s="1908" t="s">
        <v>3620</v>
      </c>
      <c r="C1808" s="1944"/>
      <c r="D1808" s="1944"/>
      <c r="E1808" s="1944"/>
      <c r="F1808" s="1944"/>
      <c r="G1808" s="1944"/>
      <c r="H1808" s="1944"/>
      <c r="I1808" s="1944"/>
      <c r="J1808" s="1944"/>
      <c r="K1808" s="1944"/>
      <c r="L1808" s="1944"/>
      <c r="M1808" s="1944"/>
      <c r="N1808" s="1944"/>
      <c r="O1808" s="1229">
        <f>'Part IX Scoring Criteria'!O153</f>
        <v>0</v>
      </c>
      <c r="P1808" s="1229"/>
      <c r="Q1808" s="1815" t="s">
        <v>4591</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6945</v>
      </c>
      <c r="C1810" s="1936"/>
      <c r="D1810" s="1936"/>
      <c r="E1810" s="449" t="s">
        <v>3619</v>
      </c>
      <c r="F1810" s="1947"/>
      <c r="G1810" s="449"/>
      <c r="H1810" s="1947"/>
      <c r="I1810" s="449">
        <f>'Part IX Scoring Criteria'!I155</f>
        <v>0</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4307</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4308</v>
      </c>
      <c r="F1812" s="1229" t="str">
        <f>'Part I-Project Information'!$H$82</f>
        <v>Family</v>
      </c>
      <c r="H1812" s="449"/>
      <c r="I1812" s="1939"/>
      <c r="J1812" s="1939"/>
      <c r="M1812" s="1939"/>
      <c r="N1812" s="1967"/>
      <c r="O1812" s="449" t="s">
        <v>6946</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2371</v>
      </c>
      <c r="B1814" s="1897" t="s">
        <v>4503</v>
      </c>
      <c r="C1814" s="1939"/>
      <c r="D1814" s="1939"/>
      <c r="E1814" s="449"/>
      <c r="F1814" s="1908"/>
      <c r="G1814" s="1908"/>
      <c r="I1814" s="1939"/>
      <c r="J1814" s="1939"/>
      <c r="K1814" s="1939"/>
      <c r="L1814" s="1939"/>
      <c r="M1814" s="1955" t="s">
        <v>4306</v>
      </c>
      <c r="N1814" s="1967"/>
      <c r="O1814" s="449"/>
      <c r="P1814" s="449"/>
      <c r="Q1814" s="1815"/>
      <c r="R1814" s="1815"/>
      <c r="S1814" s="1815"/>
      <c r="T1814" s="1815"/>
      <c r="U1814" s="1815"/>
      <c r="V1814" s="1815"/>
      <c r="Y1814" s="1951" t="s">
        <v>4781</v>
      </c>
    </row>
    <row r="1815" spans="1:36" s="1945" customFormat="1" ht="3" customHeight="1">
      <c r="A1815" s="1955"/>
      <c r="B1815" s="1944"/>
      <c r="M1815" s="1955"/>
      <c r="O1815" s="449"/>
      <c r="P1815" s="449"/>
      <c r="V1815" s="1951"/>
      <c r="W1815" s="1951"/>
    </row>
    <row r="1816" spans="1:36" s="1951" customFormat="1" ht="13.5" customHeight="1">
      <c r="A1816" s="1822" t="s">
        <v>6911</v>
      </c>
      <c r="B1816" s="1822"/>
      <c r="C1816" s="1822"/>
      <c r="D1816" s="1822"/>
      <c r="E1816" s="1822"/>
      <c r="F1816" s="1822"/>
      <c r="G1816" s="1822"/>
      <c r="H1816" s="449" t="s">
        <v>3646</v>
      </c>
      <c r="I1816" s="449"/>
      <c r="J1816" s="449"/>
      <c r="K1816" s="1955" t="s">
        <v>3618</v>
      </c>
      <c r="L1816" s="449" t="s">
        <v>4752</v>
      </c>
      <c r="M1816" s="1955"/>
      <c r="N1816" s="1955"/>
      <c r="O1816" s="449"/>
      <c r="P1816" s="449"/>
      <c r="Q1816" s="1945" t="s">
        <v>4748</v>
      </c>
      <c r="R1816" s="1945" t="s">
        <v>4751</v>
      </c>
      <c r="S1816" s="1945" t="s">
        <v>4749</v>
      </c>
      <c r="T1816" s="1945" t="s">
        <v>4750</v>
      </c>
      <c r="U1816" s="1945" t="s">
        <v>4467</v>
      </c>
      <c r="V1816" s="1945" t="s">
        <v>4466</v>
      </c>
      <c r="X1816" s="1947"/>
      <c r="Y1816" s="1970" t="s">
        <v>4780</v>
      </c>
      <c r="Z1816" s="1971" t="s">
        <v>4782</v>
      </c>
      <c r="AA1816" s="1971" t="s">
        <v>4783</v>
      </c>
    </row>
    <row r="1817" spans="1:36" s="1951" customFormat="1" ht="15" customHeight="1">
      <c r="B1817" s="449" t="s">
        <v>6828</v>
      </c>
      <c r="C1817" s="1908"/>
      <c r="E1817" s="2164" t="s">
        <v>4785</v>
      </c>
      <c r="F1817" s="1817" t="s">
        <v>4759</v>
      </c>
      <c r="G1817" s="1817" t="s">
        <v>3282</v>
      </c>
      <c r="H1817" s="1817">
        <v>2017</v>
      </c>
      <c r="I1817" s="1817">
        <v>2018</v>
      </c>
      <c r="J1817" s="1817">
        <v>2019</v>
      </c>
      <c r="K1817" s="1955"/>
      <c r="L1817" s="449"/>
      <c r="M1817" s="1955"/>
      <c r="N1817" s="1955"/>
      <c r="O1817" s="449"/>
      <c r="P1817" s="449"/>
      <c r="Q1817" s="1945"/>
      <c r="R1817" s="1945"/>
      <c r="S1817" s="1945"/>
      <c r="T1817" s="1945"/>
      <c r="U1817" s="1945"/>
      <c r="V1817" s="1945"/>
      <c r="X1817" s="1970" t="s">
        <v>4778</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f>'Part IX Scoring Criteria'!B163</f>
        <v>0</v>
      </c>
      <c r="C1818" s="1822"/>
      <c r="D1818" s="1822"/>
      <c r="E1818" s="1983" t="str">
        <f>'Part IX Scoring Criteria'!E163</f>
        <v>Select</v>
      </c>
      <c r="F1818" s="1229">
        <f>'Part IX Scoring Criteria'!F163</f>
        <v>0</v>
      </c>
      <c r="G1818" s="1983">
        <f>'Part IX Scoring Criteria'!G163</f>
        <v>0</v>
      </c>
      <c r="H1818" s="2170">
        <f>'Part IX Scoring Criteria'!H163</f>
        <v>0</v>
      </c>
      <c r="I1818" s="2170">
        <f>'Part IX Scoring Criteria'!I163</f>
        <v>0</v>
      </c>
      <c r="J1818" s="2170">
        <f>'Part IX Scoring Criteria'!J163</f>
        <v>0</v>
      </c>
      <c r="K1818" s="2170" t="str">
        <f t="shared" ref="K1818:K1827" si="392">IF(H1818+I1818+J1818=0,"",AVERAGE(H1818,I1818,J1818))</f>
        <v/>
      </c>
      <c r="L1818" s="2170">
        <f>'Part IX Scoring Criteria'!L163</f>
        <v>0</v>
      </c>
      <c r="M1818" s="1229" t="str">
        <f>IF(OR(K1818="",L1818=""),"",IF(K1818&gt;L1818,"Yes",IF(K1818&lt;L1818,"No","")))</f>
        <v/>
      </c>
      <c r="O1818" s="1229">
        <f>'Part IX Scoring Criteria'!O163</f>
        <v>0</v>
      </c>
      <c r="P1818" s="1229"/>
      <c r="Q1818" s="2240">
        <f>IF(AND(B1818="",F1818="",G1818="",H1818="",I1818="",J1818="",L1818="",O1818=""),0,1)</f>
        <v>1</v>
      </c>
      <c r="R1818" s="1973">
        <f>SUM(Q1818:Q1827)</f>
        <v>10</v>
      </c>
      <c r="S1818" s="1732">
        <f t="shared" ref="S1818:S1827" si="393">IF(AND(M1818="",NOT(O1818="Yes")),0,1)</f>
        <v>0</v>
      </c>
      <c r="T1818" s="1973">
        <f>SUM(S1818:S1827)</f>
        <v>9</v>
      </c>
      <c r="U1818" s="1732">
        <f t="shared" ref="U1818:U1827" si="394">IF(OR(M1818="Yes",O1818="Yes"),1,0)</f>
        <v>0</v>
      </c>
      <c r="V1818" s="1973">
        <f>SUM(U1818:U1827)</f>
        <v>9</v>
      </c>
      <c r="X1818" s="1970" t="s">
        <v>4779</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395">IF(OR(M1819="Yes", O1819="Yes", AND(B1819="",F1819="",G1819="",H1819="",I1819="",J1819="",L1819="",O1819="")),"", IF(AND(NOT(B1819=""),OR(O1819="",O1819="No",O1819="N/a"),OR(F1819="",G1819=""),AND(H1819="",I1819="",J1819=""),L1819=""),"Finish!","Check"))</f>
        <v/>
      </c>
      <c r="B1819" s="1822">
        <f>'Part IX Scoring Criteria'!B164</f>
        <v>0</v>
      </c>
      <c r="C1819" s="1822"/>
      <c r="D1819" s="1822"/>
      <c r="E1819" s="1983" t="str">
        <f>'Part IX Scoring Criteria'!E164</f>
        <v>Select</v>
      </c>
      <c r="F1819" s="1229">
        <f>'Part IX Scoring Criteria'!F164</f>
        <v>0</v>
      </c>
      <c r="G1819" s="1983">
        <f>'Part IX Scoring Criteria'!G164</f>
        <v>0</v>
      </c>
      <c r="H1819" s="2170">
        <f>'Part IX Scoring Criteria'!H164</f>
        <v>0</v>
      </c>
      <c r="I1819" s="2170">
        <f>'Part IX Scoring Criteria'!I164</f>
        <v>0</v>
      </c>
      <c r="J1819" s="2170">
        <f>'Part IX Scoring Criteria'!J164</f>
        <v>0</v>
      </c>
      <c r="K1819" s="2170" t="str">
        <f t="shared" si="392"/>
        <v/>
      </c>
      <c r="L1819" s="2170">
        <f>'Part IX Scoring Criteria'!L164</f>
        <v>0</v>
      </c>
      <c r="M1819" s="1229" t="str">
        <f>IF(L1819="","",IF(K1819&gt;L1819,"Yes",IF(K1819&lt;L1819,"No","")))</f>
        <v>Yes</v>
      </c>
      <c r="O1819" s="1229">
        <f>'Part IX Scoring Criteria'!O164</f>
        <v>0</v>
      </c>
      <c r="P1819" s="1229"/>
      <c r="Q1819" s="2240">
        <f t="shared" ref="Q1819:Q1827" si="396">IF(AND(B1819="",F1819="",G1819="",H1819="",I1819="",J1819="",L1819="",O1819=""),0,1)</f>
        <v>1</v>
      </c>
      <c r="R1819" s="1973"/>
      <c r="S1819" s="1732">
        <f t="shared" si="393"/>
        <v>1</v>
      </c>
      <c r="T1819" s="1973"/>
      <c r="U1819" s="1732">
        <f t="shared" si="394"/>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395"/>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2"/>
        <v/>
      </c>
      <c r="L1820" s="2170">
        <f>'Part IX Scoring Criteria'!L165</f>
        <v>0</v>
      </c>
      <c r="M1820" s="1229" t="str">
        <f t="shared" ref="M1820:M1827" si="397">IF(L1820="","",IF(K1820&gt;L1820,"Yes",IF(K1820&lt;L1820,"No","")))</f>
        <v>Yes</v>
      </c>
      <c r="O1820" s="1229">
        <f>'Part IX Scoring Criteria'!O165</f>
        <v>0</v>
      </c>
      <c r="P1820" s="1229"/>
      <c r="Q1820" s="2240">
        <f t="shared" si="396"/>
        <v>1</v>
      </c>
      <c r="R1820" s="1973"/>
      <c r="S1820" s="1732">
        <f t="shared" si="393"/>
        <v>1</v>
      </c>
      <c r="T1820" s="1973"/>
      <c r="U1820" s="1732">
        <f t="shared" si="394"/>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395"/>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2"/>
        <v/>
      </c>
      <c r="L1821" s="2170">
        <f>'Part IX Scoring Criteria'!L166</f>
        <v>0</v>
      </c>
      <c r="M1821" s="1229" t="str">
        <f t="shared" si="397"/>
        <v>Yes</v>
      </c>
      <c r="O1821" s="1229">
        <f>'Part IX Scoring Criteria'!O166</f>
        <v>0</v>
      </c>
      <c r="P1821" s="1229"/>
      <c r="Q1821" s="2240">
        <f t="shared" si="396"/>
        <v>1</v>
      </c>
      <c r="R1821" s="1973"/>
      <c r="S1821" s="1732">
        <f t="shared" si="393"/>
        <v>1</v>
      </c>
      <c r="T1821" s="1973"/>
      <c r="U1821" s="1732">
        <f t="shared" si="394"/>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395"/>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2"/>
        <v/>
      </c>
      <c r="L1822" s="2170">
        <f>'Part IX Scoring Criteria'!L167</f>
        <v>0</v>
      </c>
      <c r="M1822" s="1229" t="str">
        <f t="shared" si="397"/>
        <v>Yes</v>
      </c>
      <c r="O1822" s="1229">
        <f>'Part IX Scoring Criteria'!O167</f>
        <v>0</v>
      </c>
      <c r="P1822" s="1229"/>
      <c r="Q1822" s="2240">
        <f t="shared" si="396"/>
        <v>1</v>
      </c>
      <c r="R1822" s="1973"/>
      <c r="S1822" s="1732">
        <f t="shared" si="393"/>
        <v>1</v>
      </c>
      <c r="T1822" s="1973"/>
      <c r="U1822" s="1732">
        <f t="shared" si="394"/>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395"/>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2"/>
        <v/>
      </c>
      <c r="L1823" s="2170">
        <f>'Part IX Scoring Criteria'!L168</f>
        <v>0</v>
      </c>
      <c r="M1823" s="1229" t="str">
        <f t="shared" si="397"/>
        <v>Yes</v>
      </c>
      <c r="O1823" s="1229">
        <f>'Part IX Scoring Criteria'!O168</f>
        <v>0</v>
      </c>
      <c r="P1823" s="1229"/>
      <c r="Q1823" s="2240">
        <f t="shared" si="396"/>
        <v>1</v>
      </c>
      <c r="R1823" s="1973"/>
      <c r="S1823" s="1732">
        <f t="shared" si="393"/>
        <v>1</v>
      </c>
      <c r="T1823" s="1973"/>
      <c r="U1823" s="1732">
        <f t="shared" si="394"/>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395"/>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2"/>
        <v/>
      </c>
      <c r="L1824" s="2170">
        <f>'Part IX Scoring Criteria'!L169</f>
        <v>0</v>
      </c>
      <c r="M1824" s="1229" t="str">
        <f t="shared" si="397"/>
        <v>Yes</v>
      </c>
      <c r="O1824" s="1229">
        <f>'Part IX Scoring Criteria'!O169</f>
        <v>0</v>
      </c>
      <c r="P1824" s="1229"/>
      <c r="Q1824" s="2240">
        <f t="shared" si="396"/>
        <v>1</v>
      </c>
      <c r="R1824" s="1973"/>
      <c r="S1824" s="1732">
        <f t="shared" si="393"/>
        <v>1</v>
      </c>
      <c r="T1824" s="1973"/>
      <c r="U1824" s="1732">
        <f t="shared" si="394"/>
        <v>1</v>
      </c>
      <c r="V1824" s="1973"/>
    </row>
    <row r="1825" spans="1:24" s="1951" customFormat="1" ht="12" customHeight="1">
      <c r="A1825" s="1816" t="str">
        <f t="shared" si="395"/>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2"/>
        <v/>
      </c>
      <c r="L1825" s="2170">
        <f>'Part IX Scoring Criteria'!L170</f>
        <v>0</v>
      </c>
      <c r="M1825" s="1229" t="str">
        <f t="shared" si="397"/>
        <v>Yes</v>
      </c>
      <c r="O1825" s="1229">
        <f>'Part IX Scoring Criteria'!O170</f>
        <v>0</v>
      </c>
      <c r="P1825" s="1229"/>
      <c r="Q1825" s="2240">
        <f t="shared" si="396"/>
        <v>1</v>
      </c>
      <c r="R1825" s="1973"/>
      <c r="S1825" s="1732">
        <f t="shared" si="393"/>
        <v>1</v>
      </c>
      <c r="T1825" s="1973"/>
      <c r="U1825" s="1732">
        <f t="shared" si="394"/>
        <v>1</v>
      </c>
      <c r="V1825" s="1973"/>
    </row>
    <row r="1826" spans="1:24" s="1951" customFormat="1" ht="12" customHeight="1">
      <c r="A1826" s="1816" t="str">
        <f t="shared" si="395"/>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2"/>
        <v/>
      </c>
      <c r="L1826" s="2170">
        <f>'Part IX Scoring Criteria'!L171</f>
        <v>0</v>
      </c>
      <c r="M1826" s="1229" t="str">
        <f t="shared" si="397"/>
        <v>Yes</v>
      </c>
      <c r="O1826" s="1229">
        <f>'Part IX Scoring Criteria'!O171</f>
        <v>0</v>
      </c>
      <c r="P1826" s="1229"/>
      <c r="Q1826" s="2240">
        <f t="shared" si="396"/>
        <v>1</v>
      </c>
      <c r="R1826" s="1973"/>
      <c r="S1826" s="1732">
        <f t="shared" si="393"/>
        <v>1</v>
      </c>
      <c r="T1826" s="1973"/>
      <c r="U1826" s="1732">
        <f t="shared" si="394"/>
        <v>1</v>
      </c>
      <c r="V1826" s="1973"/>
    </row>
    <row r="1827" spans="1:24" s="1951" customFormat="1" ht="12" customHeight="1">
      <c r="A1827" s="1816" t="str">
        <f t="shared" si="395"/>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2"/>
        <v/>
      </c>
      <c r="L1827" s="2170">
        <f>'Part IX Scoring Criteria'!L172</f>
        <v>0</v>
      </c>
      <c r="M1827" s="1229" t="str">
        <f t="shared" si="397"/>
        <v>Yes</v>
      </c>
      <c r="O1827" s="1229">
        <f>'Part IX Scoring Criteria'!O172</f>
        <v>0</v>
      </c>
      <c r="P1827" s="1229"/>
      <c r="Q1827" s="2240">
        <f t="shared" si="396"/>
        <v>1</v>
      </c>
      <c r="R1827" s="1973"/>
      <c r="S1827" s="1732">
        <f t="shared" si="393"/>
        <v>1</v>
      </c>
      <c r="T1827" s="1973"/>
      <c r="U1827" s="1732">
        <f t="shared" si="394"/>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1937</v>
      </c>
      <c r="B1830" s="1815" t="s">
        <v>3730</v>
      </c>
      <c r="D1830" s="1962"/>
      <c r="E1830" s="1962"/>
      <c r="F1830" s="1908"/>
      <c r="H1830" s="1908" t="s">
        <v>4564</v>
      </c>
      <c r="M1830" s="1896">
        <v>2</v>
      </c>
      <c r="N1830" s="1960"/>
      <c r="O1830" s="1923">
        <f>'Part IX Scoring Criteria'!O175</f>
        <v>0</v>
      </c>
      <c r="P1830" s="1923">
        <f>'Part IX Scoring Criteria'!P175</f>
        <v>0</v>
      </c>
      <c r="Q1830" s="1896"/>
      <c r="R1830" s="1843"/>
    </row>
    <row r="1831" spans="1:24" s="1945" customFormat="1" ht="12.75" customHeight="1">
      <c r="E1831" s="1945" t="s">
        <v>3820</v>
      </c>
      <c r="F1831" s="1945" t="s">
        <v>3486</v>
      </c>
      <c r="G1831" s="1918" t="s">
        <v>3283</v>
      </c>
      <c r="H1831" s="1918"/>
      <c r="I1831" s="1918"/>
      <c r="J1831" s="1918"/>
      <c r="K1831" s="1918"/>
      <c r="L1831" s="1918"/>
      <c r="M1831" s="1918"/>
      <c r="N1831" s="1918"/>
      <c r="P1831" s="1936"/>
      <c r="R1831" s="449" t="s">
        <v>2733</v>
      </c>
      <c r="S1831" s="449"/>
      <c r="T1831" s="449" t="str">
        <f>'Part I-Project Information'!$F$38</f>
        <v>Montezuma</v>
      </c>
      <c r="U1831" s="449"/>
      <c r="V1831" s="449"/>
      <c r="W1831" s="449"/>
      <c r="X1831" s="449"/>
    </row>
    <row r="1832" spans="1:24" s="1945" customFormat="1" ht="13.5" customHeight="1">
      <c r="A1832" s="1940"/>
      <c r="B1832" s="1945" t="s">
        <v>3733</v>
      </c>
      <c r="G1832" s="1936" t="s">
        <v>3732</v>
      </c>
      <c r="H1832" s="1936"/>
      <c r="I1832" s="1936"/>
      <c r="J1832" s="1936"/>
      <c r="K1832" s="1936"/>
      <c r="L1832" s="1936"/>
      <c r="M1832" s="1936"/>
      <c r="N1832" s="1936"/>
      <c r="O1832" s="1945" t="s">
        <v>3487</v>
      </c>
      <c r="R1832" s="449" t="s">
        <v>2734</v>
      </c>
      <c r="S1832" s="449"/>
      <c r="T1832" s="449" t="str">
        <f>'Part I-Project Information'!$J$39</f>
        <v>Macon</v>
      </c>
      <c r="U1832" s="449"/>
      <c r="V1832" s="449"/>
      <c r="W1832" s="449"/>
      <c r="X1832" s="449"/>
    </row>
    <row r="1833" spans="1:24" s="1945" customFormat="1" ht="13.5" customHeight="1">
      <c r="A1833" s="1940"/>
      <c r="B1833" s="449" t="s">
        <v>3621</v>
      </c>
      <c r="C1833" s="449"/>
      <c r="D1833" s="449"/>
      <c r="E1833" s="1926">
        <v>3000</v>
      </c>
      <c r="F1833" s="1926">
        <v>6000</v>
      </c>
      <c r="G1833" s="2127">
        <v>15000</v>
      </c>
      <c r="H1833" s="2127"/>
      <c r="I1833" s="2127"/>
      <c r="J1833" s="2127"/>
      <c r="K1833" s="2127"/>
      <c r="L1833" s="2127"/>
      <c r="M1833" s="2127"/>
      <c r="N1833" s="2127"/>
      <c r="O1833" s="2127">
        <v>20000</v>
      </c>
      <c r="P1833" s="2127"/>
      <c r="R1833" s="1908" t="s">
        <v>2735</v>
      </c>
      <c r="S1833" s="449"/>
      <c r="T1833" s="449" t="str">
        <f>'Part I-Project Information'!$O$40</f>
        <v>Macon Co.</v>
      </c>
      <c r="U1833" s="449"/>
      <c r="V1833" s="449"/>
      <c r="W1833" s="449"/>
      <c r="X1833" s="449"/>
    </row>
    <row r="1834" spans="1:24" s="449" customFormat="1" ht="13.5" customHeight="1">
      <c r="A1834" s="1940"/>
      <c r="B1834" s="449" t="s">
        <v>3731</v>
      </c>
      <c r="E1834" s="1926">
        <v>4500</v>
      </c>
      <c r="F1834" s="1926">
        <v>9000</v>
      </c>
      <c r="G1834" s="2127">
        <v>22500</v>
      </c>
      <c r="H1834" s="2127"/>
      <c r="I1834" s="2127"/>
      <c r="J1834" s="2127"/>
      <c r="K1834" s="2127"/>
      <c r="L1834" s="2127"/>
      <c r="M1834" s="2127"/>
      <c r="N1834" s="2127"/>
      <c r="O1834" s="2127">
        <v>30000</v>
      </c>
      <c r="P1834" s="2127"/>
      <c r="R1834" s="1908" t="s">
        <v>3642</v>
      </c>
      <c r="T1834" s="449" t="str">
        <f>VLOOKUP('Part I-Project Information'!$J$39,'DCA Underwriting Assumptions'!$G$173:$J$332,4)</f>
        <v>Non-MSA</v>
      </c>
    </row>
    <row r="1835" spans="1:24" s="1945" customFormat="1" ht="4.5" customHeight="1">
      <c r="A1835" s="1940"/>
      <c r="B1835" s="1940"/>
      <c r="K1835" s="1817"/>
      <c r="L1835" s="1817"/>
    </row>
    <row r="1836" spans="1:24" s="1945" customFormat="1" ht="12" customHeight="1">
      <c r="B1836" s="1974" t="s">
        <v>4797</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3460</v>
      </c>
      <c r="S1836" s="449"/>
      <c r="T1836" s="449" t="str">
        <f>'Part I-Project Information'!$K$40</f>
        <v>Rural</v>
      </c>
      <c r="U1836" s="449"/>
      <c r="V1836" s="449"/>
      <c r="W1836" s="449"/>
      <c r="X1836" s="449"/>
    </row>
    <row r="1837" spans="1:24" s="1945" customFormat="1" ht="12" customHeight="1">
      <c r="A1837" s="1955"/>
      <c r="B1837" s="1944" t="s">
        <v>3459</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1938</v>
      </c>
      <c r="C1839" s="449" t="s">
        <v>3819</v>
      </c>
      <c r="H1839" s="1975" t="s">
        <v>1938</v>
      </c>
      <c r="I1839" s="1985" t="str">
        <f>IF(OR(I1836="",I1837=""),"",IF(I1837&gt;=I1836,"Yes","No"))</f>
        <v>Yes</v>
      </c>
      <c r="J1839" s="1985" t="str">
        <f>IF(OR(J1836="",J1837=""),"",IF(J1837&gt;=J1836,"Yes","No"))</f>
        <v/>
      </c>
    </row>
    <row r="1840" spans="1:24" s="1945" customFormat="1" ht="11.25" customHeight="1">
      <c r="A1840" s="1945" t="s">
        <v>1326</v>
      </c>
      <c r="B1840" s="1960" t="s">
        <v>1940</v>
      </c>
      <c r="C1840" s="449" t="s">
        <v>3734</v>
      </c>
      <c r="D1840" s="1944"/>
      <c r="E1840" s="1944"/>
      <c r="F1840" s="1944"/>
      <c r="H1840" s="1975" t="s">
        <v>1940</v>
      </c>
      <c r="I1840" s="1817" t="e">
        <f>IF(OR(I1836="",I1837=""),"",IF(I1837&gt;=HLOOKUP(I1836,$E$178:$P$179,2),"Yes","No"))</f>
        <v>#N/A</v>
      </c>
      <c r="J1840" s="1817" t="str">
        <f>IF(OR(J1836="",J1837=""),"",IF(J1837&gt;=HLOOKUP(J1836,$E$178:$P$179,2),"Yes","No"))</f>
        <v/>
      </c>
    </row>
    <row r="1841" spans="1:21" s="1945" customFormat="1" ht="11.25" customHeight="1">
      <c r="B1841" s="1904"/>
      <c r="C1841" s="1944" t="s">
        <v>3658</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3566</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N/A</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1819</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3735</v>
      </c>
      <c r="D1848" s="449"/>
      <c r="E1848" s="449"/>
      <c r="I1848" s="1940"/>
      <c r="J1848" s="1940"/>
      <c r="K1848" s="1229"/>
      <c r="L1848" s="1229"/>
      <c r="M1848" s="1896">
        <v>7</v>
      </c>
      <c r="N1848" s="1896"/>
      <c r="O1848" s="1923">
        <f>'Part IX Scoring Criteria'!O193</f>
        <v>7</v>
      </c>
      <c r="P1848" s="1923">
        <f>'Part IX Scoring Criteria'!P193</f>
        <v>0</v>
      </c>
      <c r="Q1848" s="1896" t="s">
        <v>433</v>
      </c>
      <c r="R1848" s="1973" t="s">
        <v>4566</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6947</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1935</v>
      </c>
      <c r="B1851" s="1897" t="s">
        <v>4598</v>
      </c>
      <c r="C1851" s="1897"/>
      <c r="D1851" s="1897"/>
      <c r="E1851" s="1897"/>
      <c r="F1851" s="1897"/>
      <c r="G1851" s="1897" t="s">
        <v>6880</v>
      </c>
      <c r="H1851" s="1897"/>
      <c r="I1851" s="1897"/>
      <c r="J1851" s="1897"/>
      <c r="K1851" s="1817" t="s">
        <v>4753</v>
      </c>
      <c r="L1851" s="1817" t="s">
        <v>4753</v>
      </c>
      <c r="M1851" s="1896">
        <v>5</v>
      </c>
      <c r="N1851" s="1940" t="s">
        <v>1935</v>
      </c>
      <c r="O1851" s="1958">
        <f>'Part IX Scoring Criteria'!O196</f>
        <v>5</v>
      </c>
      <c r="P1851" s="1958">
        <f>'Part IX Scoring Criteria'!P196</f>
        <v>0</v>
      </c>
      <c r="R1851" s="1973"/>
      <c r="S1851" s="1973"/>
      <c r="T1851" s="1973"/>
      <c r="U1851" s="1973"/>
    </row>
    <row r="1852" spans="1:21" s="1815" customFormat="1" ht="11.25" customHeight="1">
      <c r="B1852" s="1936" t="s">
        <v>6948</v>
      </c>
      <c r="D1852" s="1936"/>
      <c r="E1852" s="1936"/>
      <c r="F1852" s="1936"/>
      <c r="G1852" s="1936"/>
      <c r="H1852" s="1936"/>
      <c r="I1852" s="1936"/>
      <c r="J1852" s="1940"/>
      <c r="K1852" s="1229" t="str">
        <f>'Part IX Scoring Criteria'!K197</f>
        <v>Agree</v>
      </c>
      <c r="L1852" s="1229"/>
      <c r="R1852" s="1973"/>
      <c r="S1852" s="1973"/>
      <c r="T1852" s="1973"/>
      <c r="U1852" s="1973"/>
    </row>
    <row r="1853" spans="1:21" s="1951" customFormat="1" ht="12" customHeight="1">
      <c r="A1853" s="1896"/>
      <c r="B1853" s="449" t="s">
        <v>4594</v>
      </c>
      <c r="C1853" s="1897"/>
      <c r="D1853" s="1897"/>
      <c r="E1853" s="1897"/>
      <c r="F1853" s="1897"/>
      <c r="G1853" s="1897"/>
      <c r="H1853" s="1897"/>
      <c r="I1853" s="1897"/>
      <c r="J1853" s="1897"/>
      <c r="K1853" s="1817" t="s">
        <v>2443</v>
      </c>
      <c r="L1853" s="1817" t="s">
        <v>2443</v>
      </c>
      <c r="N1853" s="1945"/>
      <c r="P1853" s="1945"/>
      <c r="R1853" s="1973"/>
      <c r="S1853" s="1973"/>
      <c r="T1853" s="1973"/>
      <c r="U1853" s="1973"/>
    </row>
    <row r="1854" spans="1:21" s="1910" customFormat="1" ht="11.25" customHeight="1">
      <c r="B1854" s="1942" t="s">
        <v>2371</v>
      </c>
      <c r="C1854" s="1936" t="s">
        <v>4380</v>
      </c>
      <c r="D1854" s="1936"/>
      <c r="E1854" s="1936"/>
      <c r="F1854" s="1936"/>
      <c r="G1854" s="1936"/>
      <c r="H1854" s="1936"/>
      <c r="I1854" s="1936"/>
      <c r="J1854" s="1942" t="s">
        <v>2371</v>
      </c>
      <c r="K1854" s="1229" t="str">
        <f>'Part IX Scoring Criteria'!K199</f>
        <v>Yes</v>
      </c>
      <c r="L1854" s="1229"/>
      <c r="M1854" s="2232" t="str">
        <f>'Part IX Scoring Criteria'!M199</f>
        <v>Pg 11-13</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2372</v>
      </c>
      <c r="C1856" s="449" t="s">
        <v>4599</v>
      </c>
      <c r="D1856" s="449"/>
      <c r="E1856" s="449"/>
      <c r="F1856" s="449"/>
      <c r="G1856" s="449"/>
      <c r="H1856" s="449"/>
      <c r="J1856" s="1940" t="s">
        <v>2372</v>
      </c>
      <c r="K1856" s="1229" t="str">
        <f>'Part IX Scoring Criteria'!K201</f>
        <v>Yes</v>
      </c>
      <c r="L1856" s="1229"/>
      <c r="M1856" s="2232" t="str">
        <f>'Part IX Scoring Criteria'!M201</f>
        <v>17-25, 70, 77-78, 80-81</v>
      </c>
      <c r="N1856" s="2232"/>
      <c r="O1856" s="2232"/>
      <c r="P1856" s="2232"/>
      <c r="R1856" s="1973"/>
      <c r="S1856" s="1973"/>
      <c r="T1856" s="1973"/>
      <c r="U1856" s="1973"/>
    </row>
    <row r="1857" spans="1:25" s="1815" customFormat="1" ht="11.25" customHeight="1">
      <c r="B1857" s="1940" t="s">
        <v>2373</v>
      </c>
      <c r="C1857" s="449" t="s">
        <v>4596</v>
      </c>
      <c r="D1857" s="449"/>
      <c r="E1857" s="449"/>
      <c r="F1857" s="449"/>
      <c r="G1857" s="449"/>
      <c r="H1857" s="449"/>
      <c r="I1857" s="449"/>
      <c r="J1857" s="1940" t="s">
        <v>2373</v>
      </c>
      <c r="K1857" s="1229" t="str">
        <f>'Part IX Scoring Criteria'!K202</f>
        <v>Yes</v>
      </c>
      <c r="L1857" s="1229"/>
      <c r="R1857" s="1973"/>
      <c r="S1857" s="1973"/>
      <c r="T1857" s="1973"/>
      <c r="U1857" s="1973"/>
    </row>
    <row r="1858" spans="1:25" s="1951" customFormat="1" ht="11.25" customHeight="1">
      <c r="A1858" s="1874"/>
      <c r="C1858" s="1940" t="s">
        <v>2374</v>
      </c>
      <c r="D1858" s="1908" t="s">
        <v>4379</v>
      </c>
      <c r="E1858" s="449"/>
      <c r="F1858" s="449"/>
      <c r="G1858" s="449"/>
      <c r="H1858" s="449"/>
      <c r="I1858" s="449"/>
      <c r="J1858" s="1940" t="s">
        <v>2374</v>
      </c>
      <c r="K1858" s="2171">
        <f>'Part IX Scoring Criteria'!K203</f>
        <v>44026</v>
      </c>
      <c r="L1858" s="2171"/>
      <c r="M1858" s="449"/>
      <c r="N1858" s="449"/>
      <c r="O1858" s="449"/>
      <c r="P1858" s="449"/>
      <c r="R1858" s="1973"/>
      <c r="S1858" s="1973"/>
      <c r="T1858" s="1973"/>
      <c r="U1858" s="1973"/>
    </row>
    <row r="1859" spans="1:25" s="1951" customFormat="1" ht="12" customHeight="1">
      <c r="A1859" s="1896"/>
      <c r="B1859" s="449" t="s">
        <v>4595</v>
      </c>
      <c r="C1859" s="1897"/>
      <c r="D1859" s="1897"/>
      <c r="E1859" s="1897"/>
      <c r="F1859" s="1897"/>
      <c r="G1859" s="1897"/>
      <c r="H1859" s="1897"/>
      <c r="I1859" s="1897"/>
      <c r="J1859" s="1897"/>
      <c r="K1859" s="1817" t="s">
        <v>2443</v>
      </c>
      <c r="L1859" s="1817" t="s">
        <v>2443</v>
      </c>
      <c r="N1859" s="1945"/>
      <c r="P1859" s="1945"/>
      <c r="R1859" s="1973"/>
      <c r="S1859" s="1973"/>
      <c r="T1859" s="1973"/>
      <c r="U1859" s="1973"/>
    </row>
    <row r="1860" spans="1:25" s="1947" customFormat="1" ht="11.25" customHeight="1">
      <c r="A1860" s="1896"/>
      <c r="B1860" s="1940" t="s">
        <v>2375</v>
      </c>
      <c r="C1860" s="449" t="s">
        <v>6912</v>
      </c>
      <c r="D1860" s="449"/>
      <c r="E1860" s="449"/>
      <c r="F1860" s="449"/>
      <c r="G1860" s="449"/>
      <c r="J1860" s="1940" t="s">
        <v>2375</v>
      </c>
      <c r="K1860" s="1229" t="str">
        <f>'Part IX Scoring Criteria'!K205</f>
        <v>Yes</v>
      </c>
      <c r="L1860" s="1229"/>
      <c r="M1860" s="2232" t="str">
        <f>'Part IX Scoring Criteria'!M205</f>
        <v>71-77</v>
      </c>
      <c r="N1860" s="2232"/>
      <c r="O1860" s="2232"/>
      <c r="P1860" s="2232"/>
      <c r="Q1860" s="1816">
        <f>IF(K1860="Yes",1,0)</f>
        <v>1</v>
      </c>
      <c r="R1860" s="1973"/>
      <c r="S1860" s="1973"/>
      <c r="T1860" s="1973"/>
      <c r="U1860" s="1973"/>
      <c r="V1860" s="1816">
        <f>IF(L1860="Yes",1,0)</f>
        <v>0</v>
      </c>
    </row>
    <row r="1861" spans="1:25" s="1815" customFormat="1" ht="11.25" customHeight="1">
      <c r="B1861" s="1940" t="s">
        <v>2391</v>
      </c>
      <c r="C1861" s="449" t="s">
        <v>4309</v>
      </c>
      <c r="D1861" s="449"/>
      <c r="E1861" s="449"/>
      <c r="F1861" s="449"/>
      <c r="G1861" s="449"/>
      <c r="H1861" s="449"/>
      <c r="J1861" s="1940" t="s">
        <v>2391</v>
      </c>
      <c r="K1861" s="1229" t="str">
        <f>'Part IX Scoring Criteria'!K206</f>
        <v>Yes</v>
      </c>
      <c r="L1861" s="1229"/>
      <c r="M1861" s="2232" t="str">
        <f>'Part IX Scoring Criteria'!M206</f>
        <v>14-15</v>
      </c>
      <c r="N1861" s="2232"/>
      <c r="O1861" s="2232"/>
      <c r="P1861" s="2232"/>
      <c r="Q1861" s="1816">
        <f>IF(K1861="Yes",1,0)</f>
        <v>1</v>
      </c>
      <c r="R1861" s="1973"/>
      <c r="S1861" s="1973"/>
      <c r="T1861" s="1973"/>
      <c r="U1861" s="1973"/>
      <c r="V1861" s="1816">
        <f>IF(L1861="Yes",1,0)</f>
        <v>0</v>
      </c>
    </row>
    <row r="1862" spans="1:25" s="1815" customFormat="1" ht="10.95" customHeight="1">
      <c r="B1862" s="1940" t="s">
        <v>2392</v>
      </c>
      <c r="C1862" s="449" t="s">
        <v>4592</v>
      </c>
      <c r="D1862" s="449"/>
      <c r="E1862" s="449"/>
      <c r="F1862" s="449"/>
      <c r="G1862" s="449"/>
      <c r="J1862" s="1940" t="s">
        <v>2392</v>
      </c>
      <c r="K1862" s="1229" t="str">
        <f>'Part IX Scoring Criteria'!K207</f>
        <v>Yes</v>
      </c>
      <c r="L1862" s="1229"/>
      <c r="M1862" s="2232" t="str">
        <f>'Part IX Scoring Criteria'!M207</f>
        <v>77-82</v>
      </c>
      <c r="N1862" s="2232"/>
      <c r="O1862" s="2232"/>
      <c r="P1862" s="2232"/>
      <c r="Q1862" s="1816">
        <f>IF(K1862="Yes",1,0)</f>
        <v>1</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4310</v>
      </c>
      <c r="Q1864" s="1843"/>
      <c r="X1864" s="1874"/>
      <c r="Y1864" s="1940"/>
    </row>
    <row r="1865" spans="1:25" ht="22.5" customHeight="1">
      <c r="A1865" s="1940"/>
      <c r="B1865" s="2172" t="s">
        <v>1938</v>
      </c>
      <c r="C1865" s="1936" t="s">
        <v>6881</v>
      </c>
      <c r="D1865" s="1936"/>
      <c r="E1865" s="1936"/>
      <c r="F1865" s="1936"/>
      <c r="G1865" s="1936"/>
      <c r="H1865" s="1936"/>
      <c r="I1865" s="1936"/>
      <c r="J1865" s="1936"/>
      <c r="K1865" s="1936"/>
      <c r="L1865" s="1936"/>
      <c r="M1865" s="1938">
        <v>3</v>
      </c>
      <c r="N1865" s="1968" t="s">
        <v>1938</v>
      </c>
      <c r="O1865" s="2173">
        <f>'Part IX Scoring Criteria'!O210</f>
        <v>3</v>
      </c>
      <c r="P1865" s="2173">
        <f>'Part IX Scoring Criteria'!P210</f>
        <v>0</v>
      </c>
      <c r="Q1865" s="1843"/>
      <c r="R1865" s="1823"/>
    </row>
    <row r="1866" spans="1:25" ht="12" customHeight="1">
      <c r="A1866" s="1940"/>
      <c r="B1866" s="2172" t="s">
        <v>1940</v>
      </c>
      <c r="C1866" s="1936" t="s">
        <v>6949</v>
      </c>
      <c r="D1866" s="1936"/>
      <c r="E1866" s="1936"/>
      <c r="F1866" s="1936"/>
      <c r="G1866" s="1936"/>
      <c r="H1866" s="1936"/>
      <c r="I1866" s="1936"/>
      <c r="J1866" s="1908" t="s">
        <v>3588</v>
      </c>
      <c r="K1866" s="1815"/>
      <c r="L1866" s="1908" t="str">
        <f>'Part I-Project Information'!$N$39</f>
        <v>Yes</v>
      </c>
      <c r="M1866" s="1229">
        <v>2</v>
      </c>
      <c r="N1866" s="1969" t="s">
        <v>1940</v>
      </c>
      <c r="O1866" s="1958">
        <f>'Part IX Scoring Criteria'!O211</f>
        <v>2</v>
      </c>
      <c r="P1866" s="1958"/>
      <c r="Q1866" s="1843" t="str">
        <f>IF(OR($O1866=$M1866,$O1866=0,$O1866=""),"","*CHECK!*")</f>
        <v/>
      </c>
      <c r="R1866" s="1823" t="s">
        <v>4765</v>
      </c>
    </row>
    <row r="1867" spans="1:25" ht="12" customHeight="1">
      <c r="A1867" s="1940"/>
      <c r="B1867" s="2172"/>
      <c r="C1867" s="449" t="s">
        <v>4567</v>
      </c>
      <c r="D1867" s="449"/>
      <c r="E1867" s="449"/>
      <c r="F1867" s="449"/>
      <c r="G1867" s="449"/>
      <c r="H1867" s="449"/>
      <c r="I1867" s="1939"/>
      <c r="J1867" s="1908" t="s">
        <v>3438</v>
      </c>
      <c r="K1867" s="449"/>
      <c r="L1867" s="1977" t="str">
        <f>'Part I-Project Information'!$O$38</f>
        <v>13193000400</v>
      </c>
      <c r="M1867" s="1977"/>
      <c r="N1867" s="1938"/>
      <c r="O1867" s="1938"/>
      <c r="P1867" s="1938"/>
      <c r="Q1867" s="1993"/>
      <c r="R1867" s="1823"/>
    </row>
    <row r="1868" spans="1:25" ht="12" customHeight="1">
      <c r="A1868" s="1940"/>
      <c r="B1868" s="1944"/>
      <c r="C1868" s="449"/>
      <c r="D1868" s="449"/>
      <c r="E1868" s="449"/>
      <c r="F1868" s="449"/>
      <c r="G1868" s="449"/>
      <c r="H1868" s="449"/>
      <c r="J1868" s="1908" t="s">
        <v>3263</v>
      </c>
      <c r="K1868" s="1815"/>
      <c r="L1868" s="449" t="str">
        <f>'Part IV-A-Uses of Funds'!$H$152</f>
        <v>DDA/QCT</v>
      </c>
      <c r="M1868" s="449"/>
    </row>
    <row r="1869" spans="1:25" ht="12" customHeight="1">
      <c r="A1869" s="1904" t="s">
        <v>1937</v>
      </c>
      <c r="B1869" s="1897" t="s">
        <v>4311</v>
      </c>
      <c r="D1869" s="1815"/>
      <c r="K1869" s="1948"/>
      <c r="L1869" s="1732" t="str">
        <f>IF(OR($O1869=$M1869,$O1869=0,$O1869=""),"","* * Check Score! * *")</f>
        <v/>
      </c>
      <c r="M1869" s="1896">
        <v>2</v>
      </c>
      <c r="N1869" s="1940" t="s">
        <v>1937</v>
      </c>
      <c r="O1869" s="1923">
        <f>'Part IX Scoring Criteria'!O214</f>
        <v>2</v>
      </c>
      <c r="P1869" s="1923"/>
      <c r="Q1869" s="1993" t="str">
        <f>IF(OR($O1869=$M1869,$O1869=0,$O1869=""),"","*CHECK!*")</f>
        <v/>
      </c>
      <c r="R1869" s="1823" t="s">
        <v>4765</v>
      </c>
    </row>
    <row r="1870" spans="1:25" s="1951" customFormat="1" ht="9.75" customHeight="1">
      <c r="A1870" s="1904"/>
      <c r="B1870" s="1947"/>
      <c r="C1870" s="449" t="s">
        <v>2702</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3589</v>
      </c>
      <c r="C1871" s="449" t="s">
        <v>3639</v>
      </c>
      <c r="D1871" s="1947"/>
      <c r="E1871" s="1947"/>
      <c r="F1871" s="1947"/>
      <c r="G1871" s="1947"/>
      <c r="H1871" s="1947"/>
      <c r="I1871" s="1947"/>
      <c r="J1871" s="449" t="str">
        <f>'Part IX Scoring Criteria'!J216</f>
        <v xml:space="preserve">State of Georgia Community Development Block Grant Funds </v>
      </c>
      <c r="K1871" s="449"/>
      <c r="L1871" s="449"/>
      <c r="M1871" s="449"/>
      <c r="N1871" s="449"/>
      <c r="O1871" s="449"/>
      <c r="P1871" s="449"/>
      <c r="V1871" s="2125"/>
      <c r="W1871" s="2125"/>
    </row>
    <row r="1872" spans="1:25" s="1951" customFormat="1" ht="11.25" customHeight="1">
      <c r="A1872" s="1948"/>
      <c r="B1872" s="1940" t="s">
        <v>3590</v>
      </c>
      <c r="C1872" s="1908" t="s">
        <v>3640</v>
      </c>
      <c r="D1872" s="1947"/>
      <c r="E1872" s="1947"/>
      <c r="F1872" s="1947"/>
      <c r="G1872" s="1947"/>
      <c r="H1872" s="1947"/>
      <c r="I1872" s="1940" t="str">
        <f>IF($J$217="Government", "Additional documentation required - see QAP.","")</f>
        <v/>
      </c>
      <c r="J1872" s="449" t="str">
        <f>'Part IX Scoring Criteria'!J217</f>
        <v>Government</v>
      </c>
      <c r="K1872" s="449"/>
      <c r="L1872" s="449"/>
      <c r="M1872" s="1947"/>
      <c r="N1872" s="1947"/>
      <c r="O1872" s="1947"/>
      <c r="P1872" s="1947"/>
      <c r="V1872" s="2125"/>
      <c r="W1872" s="2125"/>
    </row>
    <row r="1873" spans="1:23" ht="11.25" customHeight="1">
      <c r="A1873" s="1930"/>
      <c r="B1873" s="1940" t="s">
        <v>3591</v>
      </c>
      <c r="C1873" s="1908" t="s">
        <v>4568</v>
      </c>
      <c r="D1873" s="1815"/>
      <c r="E1873" s="1815"/>
      <c r="F1873" s="1815"/>
      <c r="G1873" s="1815"/>
      <c r="H1873" s="1815"/>
      <c r="I1873" s="1815"/>
      <c r="J1873" s="1229" t="str">
        <f>'Part IX Scoring Criteria'!J218</f>
        <v>Yes</v>
      </c>
      <c r="K1873" s="449" t="s">
        <v>4313</v>
      </c>
      <c r="L1873" s="449"/>
      <c r="M1873" s="449"/>
      <c r="N1873" s="449"/>
      <c r="O1873" s="1947"/>
      <c r="P1873" s="1947"/>
      <c r="V1873" s="2125"/>
      <c r="W1873" s="2125"/>
    </row>
    <row r="1874" spans="1:23" ht="11.25" customHeight="1">
      <c r="A1874" s="1930"/>
      <c r="B1874" s="1940" t="s">
        <v>3593</v>
      </c>
      <c r="C1874" s="1908" t="s">
        <v>4312</v>
      </c>
      <c r="D1874" s="1815"/>
      <c r="E1874" s="1815"/>
      <c r="F1874" s="1815"/>
      <c r="G1874" s="1815"/>
      <c r="H1874" s="1815"/>
      <c r="I1874" s="1815"/>
      <c r="J1874" s="1229" t="str">
        <f>'Part IX Scoring Criteria'!J219</f>
        <v>Yes</v>
      </c>
      <c r="K1874" s="449"/>
      <c r="L1874" s="449"/>
      <c r="M1874" s="449"/>
      <c r="N1874" s="449"/>
      <c r="O1874" s="2233">
        <f>'Part IX Scoring Criteria'!O219</f>
        <v>0.31879999999999997</v>
      </c>
      <c r="P1874" s="1978" t="s">
        <v>3596</v>
      </c>
      <c r="V1874" s="2125"/>
      <c r="W1874" s="2125"/>
    </row>
    <row r="1875" spans="1:23" ht="11.25" customHeight="1">
      <c r="A1875" s="1930"/>
      <c r="B1875" s="1940" t="s">
        <v>3594</v>
      </c>
      <c r="C1875" s="1908" t="s">
        <v>4315</v>
      </c>
      <c r="D1875" s="1815"/>
      <c r="E1875" s="1815"/>
      <c r="F1875" s="1815"/>
      <c r="G1875" s="1815"/>
      <c r="H1875" s="1815"/>
      <c r="I1875" s="1815"/>
      <c r="J1875" s="1229" t="str">
        <f>'Part IX Scoring Criteria'!J220</f>
        <v>Yes</v>
      </c>
      <c r="L1875" s="1940" t="s">
        <v>4314</v>
      </c>
      <c r="N1875" s="1940"/>
      <c r="O1875" s="2234">
        <f>'Part IX Scoring Criteria'!O220</f>
        <v>43997</v>
      </c>
      <c r="P1875" s="2234"/>
      <c r="V1875" s="2125"/>
      <c r="W1875" s="2125"/>
    </row>
    <row r="1876" spans="1:23" ht="2.25" customHeight="1">
      <c r="A1876" s="1930"/>
      <c r="G1876" s="1936"/>
      <c r="L1876" s="1910"/>
      <c r="N1876" s="1874"/>
      <c r="O1876" s="1874"/>
      <c r="P1876" s="1874"/>
      <c r="V1876" s="2125"/>
      <c r="W1876" s="2125"/>
    </row>
    <row r="1877" spans="1:23" ht="21.75" customHeight="1">
      <c r="A1877" s="2174" t="s">
        <v>3823</v>
      </c>
      <c r="B1877" s="1822" t="s">
        <v>3821</v>
      </c>
      <c r="C1877" s="1822"/>
      <c r="D1877" s="1956" t="str">
        <f>'Part IX Scoring Criteria'!D222</f>
        <v>The off site investment is through the GA Department of Community Affairs' Community Development Block Grant program.  The city of Montezuma was awarded grant funds in the amount of $750,000 for water improvements, repairs and upgrades.  The total project cost is $928,019 with the portion of costs within a 0.5 mile radies of the proposed being equal to $566,021.</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3822</v>
      </c>
      <c r="C1878" s="1822"/>
      <c r="D1878" s="1956" t="str">
        <f>'Part IX Scoring Criteria'!D223</f>
        <v xml:space="preserve">The off site investment clearly demonstrates furtherance of the CRP as it provides essential water improvements to the water system servicing the residents and citzens within the community.  The CRP specifies the importance of keeping infrastructure in good condition and well maintained.  </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4364</v>
      </c>
      <c r="C1879" s="1822"/>
      <c r="D1879" s="1956" t="str">
        <f>'Part IX Scoring Criteria'!D224</f>
        <v xml:space="preserve">The off site investment will serve the tenant base directly by providing water service and supply to the residents of the proposed apartment development.  Quality water is a very important component and element to have a sustainable community.  </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3337</v>
      </c>
      <c r="G1880" s="449" t="s">
        <v>2559</v>
      </c>
      <c r="H1880" s="449"/>
      <c r="J1880" s="1979">
        <f>'Part IX Scoring Criteria'!J225</f>
        <v>566021</v>
      </c>
      <c r="K1880" s="1979"/>
      <c r="L1880" s="1979"/>
      <c r="M1880" s="1979"/>
      <c r="N1880" s="1874"/>
      <c r="O1880" s="1874"/>
      <c r="P1880" s="1874"/>
      <c r="V1880" s="2125"/>
      <c r="W1880" s="2125"/>
    </row>
    <row r="1881" spans="1:23" s="1951" customFormat="1" ht="11.25" customHeight="1">
      <c r="C1881" s="449" t="s">
        <v>6810</v>
      </c>
      <c r="D1881" s="1939"/>
      <c r="G1881" s="1979">
        <f>'Part IV-A-Uses of Funds'!$G$132</f>
        <v>10856073</v>
      </c>
      <c r="H1881" s="1979"/>
      <c r="J1881" s="1980" t="e">
        <f>IF($J1880=0,0,$J1880/$G$226)</f>
        <v>#DIV/0!</v>
      </c>
      <c r="K1881" s="1980"/>
      <c r="L1881" s="1980">
        <f>IF($L1880=0,0,$L1880/$G$226)</f>
        <v>0</v>
      </c>
      <c r="M1881" s="1980"/>
      <c r="V1881" s="2125"/>
      <c r="W1881" s="2125"/>
    </row>
    <row r="1882" spans="1:23" s="1947" customFormat="1" ht="10.5" customHeight="1">
      <c r="A1882" s="1815"/>
      <c r="B1882" s="449" t="s">
        <v>3566</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The Montezuma, Georgia Community Revitalization Plan was developed through a joint effort of local entities in the Montezuma/Macon County community.  A CRP steering committee was formed to lead the formulation of the CRP by actively engaging local citizens to provide input and actively participate.  The CRP will be adopted by the Mayor and City Council at their July 14, 2020 city council meeting.  The July meeting is the first meeting scheduled since the covid-19 pandemic began in March 2020.  Please see Tab 31 for full Revitalization Plan, Qualified Census Tract (QCT) and Third-Party Capital Investment documentation.</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1819</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3736</v>
      </c>
      <c r="C1887" s="1939"/>
      <c r="D1887" s="1939"/>
      <c r="E1887" s="1939"/>
      <c r="F1887" s="1939"/>
      <c r="G1887" s="1939"/>
      <c r="H1887" s="1939"/>
      <c r="I1887" s="1939"/>
      <c r="J1887" s="1939"/>
      <c r="M1887" s="1896">
        <v>3</v>
      </c>
      <c r="N1887" s="1967"/>
      <c r="O1887" s="1967"/>
      <c r="P1887" s="1923"/>
      <c r="Q1887" s="1896" t="s">
        <v>433</v>
      </c>
      <c r="R1887" s="1823" t="s">
        <v>2625</v>
      </c>
    </row>
    <row r="1888" spans="1:23" s="1951" customFormat="1" ht="13.5" customHeight="1">
      <c r="A1888" s="2150"/>
      <c r="B1888" s="1897" t="s">
        <v>4116</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6950</v>
      </c>
      <c r="S1888" s="1952"/>
      <c r="T1888" s="1952"/>
      <c r="U1888" s="1952"/>
    </row>
    <row r="1889" spans="1:23" s="1951" customFormat="1" ht="13.5" customHeight="1">
      <c r="A1889" s="2150"/>
      <c r="B1889" s="1908" t="s">
        <v>3737</v>
      </c>
      <c r="C1889" s="1939"/>
      <c r="D1889" s="1939"/>
      <c r="E1889" s="1939"/>
      <c r="F1889" s="1939"/>
      <c r="G1889" s="1939"/>
      <c r="H1889" s="1939"/>
      <c r="I1889" s="1939"/>
      <c r="J1889" s="1939"/>
      <c r="K1889" s="1229" t="s">
        <v>3139</v>
      </c>
      <c r="L1889" s="1229" t="s">
        <v>251</v>
      </c>
      <c r="M1889" s="1896"/>
      <c r="N1889" s="1967"/>
      <c r="O1889" s="1967"/>
      <c r="P1889" s="1967"/>
      <c r="Q1889" s="1896"/>
      <c r="R1889" s="1952"/>
      <c r="S1889" s="1952"/>
      <c r="T1889" s="1952"/>
      <c r="U1889" s="1952"/>
    </row>
    <row r="1890" spans="1:23" s="1951" customFormat="1" ht="11.25" customHeight="1">
      <c r="A1890" s="1904"/>
      <c r="C1890" s="1945" t="s">
        <v>4569</v>
      </c>
      <c r="K1890" s="1958">
        <f>$O$193</f>
        <v>0</v>
      </c>
      <c r="L1890" s="1958">
        <f>$P$193</f>
        <v>0</v>
      </c>
      <c r="N1890" s="1940" t="s">
        <v>2371</v>
      </c>
      <c r="O1890" s="1229">
        <f>'Part IX Scoring Criteria'!O235</f>
        <v>0</v>
      </c>
      <c r="P1890" s="1229"/>
      <c r="R1890" s="1952"/>
      <c r="S1890" s="1952"/>
      <c r="T1890" s="1952"/>
      <c r="U1890" s="1952"/>
    </row>
    <row r="1891" spans="1:23" s="1951" customFormat="1" ht="11.25" customHeight="1">
      <c r="A1891" s="1904"/>
      <c r="C1891" s="1945" t="s">
        <v>4754</v>
      </c>
      <c r="K1891" s="1958" t="str">
        <f>$O$112</f>
        <v>Required:</v>
      </c>
      <c r="L1891" s="1958">
        <f>$P$112</f>
        <v>0.05</v>
      </c>
      <c r="N1891" s="1940" t="s">
        <v>2372</v>
      </c>
      <c r="O1891" s="1229">
        <f>'Part IX Scoring Criteria'!O236</f>
        <v>0</v>
      </c>
      <c r="P1891" s="1229"/>
      <c r="R1891" s="1952"/>
      <c r="S1891" s="1952"/>
      <c r="T1891" s="1952"/>
      <c r="U1891" s="1952"/>
    </row>
    <row r="1892" spans="1:23" s="1951" customFormat="1" ht="11.25" customHeight="1">
      <c r="C1892" s="1945" t="s">
        <v>4570</v>
      </c>
      <c r="N1892" s="1940" t="s">
        <v>2373</v>
      </c>
      <c r="O1892" s="1229">
        <f>'Part IX Scoring Criteria'!O237</f>
        <v>0</v>
      </c>
      <c r="P1892" s="1229"/>
      <c r="R1892" s="1952"/>
      <c r="S1892" s="1952"/>
      <c r="T1892" s="1952"/>
      <c r="U1892" s="1952"/>
    </row>
    <row r="1893" spans="1:23" s="1951" customFormat="1" ht="11.25" customHeight="1">
      <c r="A1893" s="1904"/>
      <c r="C1893" s="1945" t="s">
        <v>4755</v>
      </c>
      <c r="K1893" s="1961">
        <f>'Part I-Project Information'!F1691</f>
        <v>0</v>
      </c>
      <c r="L1893" s="1972"/>
      <c r="N1893" s="1940" t="s">
        <v>2374</v>
      </c>
      <c r="O1893" s="1940"/>
      <c r="P1893" s="1229"/>
      <c r="R1893" s="1952"/>
      <c r="S1893" s="1952"/>
      <c r="T1893" s="1952"/>
      <c r="U1893" s="1952"/>
    </row>
    <row r="1894" spans="1:23" s="1951" customFormat="1" ht="11.25" customHeight="1">
      <c r="A1894" s="1904"/>
      <c r="C1894" s="1945" t="s">
        <v>4756</v>
      </c>
      <c r="K1894" s="1958">
        <f>$O$150</f>
        <v>0</v>
      </c>
      <c r="L1894" s="1958">
        <f>$P$150</f>
        <v>0</v>
      </c>
      <c r="N1894" s="1940" t="s">
        <v>2375</v>
      </c>
      <c r="O1894" s="1229">
        <f>'Part IX Scoring Criteria'!O239</f>
        <v>0</v>
      </c>
      <c r="P1894" s="1229"/>
      <c r="R1894" s="1952"/>
      <c r="S1894" s="1952"/>
      <c r="T1894" s="1952"/>
      <c r="U1894" s="1952"/>
    </row>
    <row r="1895" spans="1:23" s="1951" customFormat="1" ht="11.25" customHeight="1">
      <c r="A1895" s="1904"/>
      <c r="C1895" s="1945" t="s">
        <v>4757</v>
      </c>
      <c r="K1895" s="1958">
        <f>$O$265</f>
        <v>0</v>
      </c>
      <c r="L1895" s="1958">
        <f>$P$265</f>
        <v>0</v>
      </c>
      <c r="N1895" s="1940" t="s">
        <v>2374</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1935</v>
      </c>
      <c r="B1897" s="1897" t="s">
        <v>6882</v>
      </c>
      <c r="D1897" s="1815"/>
      <c r="G1897" s="1944" t="s">
        <v>3592</v>
      </c>
      <c r="Q1897" s="1843"/>
      <c r="R1897" s="1952"/>
      <c r="S1897" s="1952"/>
      <c r="T1897" s="1952"/>
      <c r="U1897" s="1952"/>
    </row>
    <row r="1898" spans="1:23" s="1815" customFormat="1" ht="11.25" customHeight="1">
      <c r="A1898" s="1940"/>
      <c r="C1898" s="449" t="s">
        <v>3643</v>
      </c>
      <c r="E1898" s="449">
        <f>'Part IX Scoring Criteria'!E243</f>
        <v>0</v>
      </c>
      <c r="F1898" s="449"/>
      <c r="G1898" s="449"/>
      <c r="H1898" s="449"/>
      <c r="I1898" s="449"/>
      <c r="J1898" s="1908" t="s">
        <v>2624</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2143</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1938</v>
      </c>
      <c r="C1901" s="1936" t="s">
        <v>3738</v>
      </c>
      <c r="D1901" s="1936"/>
      <c r="E1901" s="1936"/>
      <c r="F1901" s="1936"/>
      <c r="G1901" s="1936"/>
      <c r="H1901" s="1936"/>
      <c r="I1901" s="1936"/>
      <c r="J1901" s="1936"/>
      <c r="K1901" s="1936"/>
      <c r="L1901" s="1936"/>
      <c r="M1901" s="1936"/>
      <c r="N1901" s="1936"/>
      <c r="O1901" s="1229" t="s">
        <v>2443</v>
      </c>
      <c r="P1901" s="1229" t="s">
        <v>2443</v>
      </c>
      <c r="Q1901" s="1936"/>
      <c r="R1901" s="1952"/>
      <c r="S1901" s="1952"/>
      <c r="T1901" s="1952"/>
      <c r="U1901" s="1952"/>
    </row>
    <row r="1902" spans="1:23" s="1815" customFormat="1" ht="21.75" customHeight="1">
      <c r="A1902" s="1229"/>
      <c r="B1902" s="1939"/>
      <c r="C1902" s="449" t="s">
        <v>6913</v>
      </c>
      <c r="D1902" s="449"/>
      <c r="E1902" s="449"/>
      <c r="F1902" s="449"/>
      <c r="G1902" s="449"/>
      <c r="H1902" s="449"/>
      <c r="I1902" s="449"/>
      <c r="J1902" s="449"/>
      <c r="K1902" s="449"/>
      <c r="L1902" s="449"/>
      <c r="M1902" s="449"/>
      <c r="N1902" s="1949" t="s">
        <v>1938</v>
      </c>
      <c r="O1902" s="1938">
        <f>'Part IX Scoring Criteria'!O247</f>
        <v>0</v>
      </c>
      <c r="P1902" s="1938"/>
      <c r="Q1902" s="1936"/>
      <c r="V1902" s="2125"/>
      <c r="W1902" s="2125"/>
    </row>
    <row r="1903" spans="1:23" ht="11.25" customHeight="1">
      <c r="A1903" s="1940"/>
      <c r="B1903" s="2172" t="s">
        <v>1940</v>
      </c>
      <c r="C1903" s="1936" t="s">
        <v>3740</v>
      </c>
      <c r="D1903" s="1936"/>
      <c r="E1903" s="1936"/>
      <c r="F1903" s="1936"/>
      <c r="G1903" s="1944" t="s">
        <v>3592</v>
      </c>
      <c r="H1903" s="1936"/>
      <c r="I1903" s="1936"/>
      <c r="J1903" s="1936"/>
      <c r="K1903" s="1936"/>
      <c r="L1903" s="1936"/>
      <c r="M1903" s="1936"/>
      <c r="N1903" s="1936"/>
      <c r="O1903" s="1229" t="s">
        <v>2443</v>
      </c>
      <c r="P1903" s="1229" t="s">
        <v>2443</v>
      </c>
      <c r="Q1903" s="1936"/>
    </row>
    <row r="1904" spans="1:23" ht="21" customHeight="1">
      <c r="A1904" s="1940"/>
      <c r="B1904" s="1942"/>
      <c r="C1904" s="1936" t="s">
        <v>6829</v>
      </c>
      <c r="D1904" s="1936"/>
      <c r="E1904" s="1936"/>
      <c r="F1904" s="1936"/>
      <c r="G1904" s="1936"/>
      <c r="H1904" s="1936"/>
      <c r="I1904" s="1936"/>
      <c r="J1904" s="1936"/>
      <c r="K1904" s="1936"/>
      <c r="L1904" s="1936"/>
      <c r="M1904" s="1936"/>
      <c r="N1904" s="1949" t="s">
        <v>1940</v>
      </c>
      <c r="O1904" s="1938">
        <f>'Part IX Scoring Criteria'!O249</f>
        <v>0</v>
      </c>
      <c r="P1904" s="1938"/>
      <c r="Q1904" s="1922"/>
      <c r="V1904" s="2125"/>
      <c r="W1904" s="2125"/>
    </row>
    <row r="1905" spans="1:24" ht="11.25" customHeight="1">
      <c r="A1905" s="1904"/>
      <c r="B1905" s="1992" t="s">
        <v>2467</v>
      </c>
      <c r="C1905" s="449" t="s">
        <v>3595</v>
      </c>
      <c r="D1905" s="1815"/>
      <c r="Q1905" s="1896"/>
    </row>
    <row r="1906" spans="1:24" s="1815" customFormat="1" ht="21.75" customHeight="1">
      <c r="A1906" s="1940"/>
      <c r="B1906" s="1940"/>
      <c r="C1906" s="1936" t="s">
        <v>3742</v>
      </c>
      <c r="D1906" s="1936"/>
      <c r="E1906" s="1936"/>
      <c r="F1906" s="1936"/>
      <c r="G1906" s="1936"/>
      <c r="H1906" s="1936"/>
      <c r="I1906" s="1936"/>
      <c r="J1906" s="1936"/>
      <c r="K1906" s="1936"/>
      <c r="L1906" s="1936"/>
      <c r="M1906" s="1936"/>
      <c r="N1906" s="1949" t="s">
        <v>2467</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4381</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2371</v>
      </c>
      <c r="C1908" s="1936" t="s">
        <v>3743</v>
      </c>
      <c r="D1908" s="1936"/>
      <c r="E1908" s="1936"/>
      <c r="F1908" s="1936"/>
      <c r="G1908" s="1936"/>
      <c r="H1908" s="1936"/>
      <c r="I1908" s="1936"/>
      <c r="J1908" s="1936"/>
      <c r="K1908" s="1936"/>
      <c r="L1908" s="1936"/>
      <c r="M1908" s="1936"/>
      <c r="N1908" s="1942" t="s">
        <v>2371</v>
      </c>
      <c r="O1908" s="1938">
        <f>'Part IX Scoring Criteria'!O253</f>
        <v>0</v>
      </c>
      <c r="P1908" s="1938"/>
      <c r="Q1908" s="1981"/>
      <c r="V1908" s="2169"/>
      <c r="W1908" s="2169"/>
    </row>
    <row r="1909" spans="1:24" s="1815" customFormat="1" ht="11.25" customHeight="1">
      <c r="A1909" s="1940"/>
      <c r="B1909" s="1940" t="s">
        <v>2372</v>
      </c>
      <c r="C1909" s="449" t="s">
        <v>4316</v>
      </c>
      <c r="D1909" s="449"/>
      <c r="E1909" s="449"/>
      <c r="F1909" s="449"/>
      <c r="G1909" s="449"/>
      <c r="H1909" s="449"/>
      <c r="I1909" s="449"/>
      <c r="J1909" s="449"/>
      <c r="K1909" s="449"/>
      <c r="L1909" s="449"/>
      <c r="M1909" s="449"/>
      <c r="N1909" s="1940" t="s">
        <v>2372</v>
      </c>
      <c r="O1909" s="1229">
        <f>'Part IX Scoring Criteria'!O254</f>
        <v>0</v>
      </c>
      <c r="P1909" s="1229"/>
      <c r="Q1909" s="1922"/>
      <c r="V1909" s="2125"/>
      <c r="W1909" s="2125"/>
    </row>
    <row r="1910" spans="1:24" ht="11.25" customHeight="1">
      <c r="A1910" s="1904"/>
      <c r="B1910" s="1992" t="s">
        <v>1198</v>
      </c>
      <c r="C1910" s="449" t="s">
        <v>4317</v>
      </c>
      <c r="D1910" s="1815"/>
      <c r="Q1910" s="1896"/>
    </row>
    <row r="1911" spans="1:24" s="1815" customFormat="1" ht="11.25" customHeight="1">
      <c r="A1911" s="1940"/>
      <c r="B1911" s="1940"/>
      <c r="C1911" s="449" t="s">
        <v>4600</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1937</v>
      </c>
      <c r="B1912" s="1897" t="s">
        <v>6883</v>
      </c>
      <c r="D1912" s="1815"/>
      <c r="G1912" s="1944" t="s">
        <v>3592</v>
      </c>
      <c r="O1912" s="1229" t="s">
        <v>2443</v>
      </c>
      <c r="P1912" s="1229" t="s">
        <v>2443</v>
      </c>
      <c r="Q1912" s="1843"/>
    </row>
    <row r="1913" spans="1:24" ht="22.5" customHeight="1">
      <c r="B1913" s="2172" t="s">
        <v>1938</v>
      </c>
      <c r="C1913" s="449" t="s">
        <v>4572</v>
      </c>
      <c r="D1913" s="449"/>
      <c r="E1913" s="449"/>
      <c r="F1913" s="449"/>
      <c r="G1913" s="449"/>
      <c r="H1913" s="449"/>
      <c r="I1913" s="449"/>
      <c r="J1913" s="449"/>
      <c r="K1913" s="449"/>
      <c r="L1913" s="449"/>
      <c r="M1913" s="1982" t="s">
        <v>1937</v>
      </c>
      <c r="N1913" s="1949" t="s">
        <v>1938</v>
      </c>
      <c r="O1913" s="1938">
        <f>'Part IX Scoring Criteria'!O258</f>
        <v>0</v>
      </c>
      <c r="P1913" s="1938"/>
      <c r="Q1913" s="1843"/>
      <c r="V1913" s="2125"/>
      <c r="W1913" s="2125"/>
    </row>
    <row r="1914" spans="1:24" s="1815" customFormat="1" ht="11.25" customHeight="1">
      <c r="A1914" s="1940"/>
      <c r="B1914" s="2172" t="s">
        <v>1940</v>
      </c>
      <c r="C1914" s="1908" t="s">
        <v>4573</v>
      </c>
      <c r="D1914" s="449"/>
      <c r="E1914" s="449"/>
      <c r="F1914" s="449"/>
      <c r="G1914" s="449"/>
      <c r="H1914" s="449"/>
      <c r="I1914" s="449"/>
      <c r="J1914" s="449"/>
      <c r="K1914" s="449"/>
      <c r="L1914" s="449"/>
      <c r="M1914" s="449"/>
      <c r="N1914" s="1949" t="s">
        <v>1940</v>
      </c>
      <c r="O1914" s="1229">
        <f>'Part IX Scoring Criteria'!O259</f>
        <v>0</v>
      </c>
      <c r="P1914" s="1229"/>
      <c r="Q1914" s="1922"/>
      <c r="V1914" s="2175"/>
      <c r="W1914" s="2175"/>
    </row>
    <row r="1915" spans="1:24" s="1951" customFormat="1" ht="12" customHeight="1">
      <c r="A1915" s="1815"/>
      <c r="B1915" s="449" t="s">
        <v>3566</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N/A</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1819</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2694</v>
      </c>
      <c r="D1920" s="449"/>
      <c r="E1920" s="449"/>
      <c r="G1920" s="1822" t="s">
        <v>4747</v>
      </c>
      <c r="M1920" s="1896">
        <v>5</v>
      </c>
      <c r="N1920" s="1896"/>
      <c r="O1920" s="1916">
        <f>'Part IX Scoring Criteria'!O265</f>
        <v>0</v>
      </c>
      <c r="P1920" s="1916">
        <f>'Part IX Scoring Criteria'!P265</f>
        <v>0</v>
      </c>
      <c r="Q1920" s="1896" t="s">
        <v>433</v>
      </c>
      <c r="S1920" s="1963" t="s">
        <v>4591</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1935</v>
      </c>
      <c r="B1922" s="1897" t="s">
        <v>4318</v>
      </c>
      <c r="D1922" s="449"/>
      <c r="E1922" s="449"/>
      <c r="G1922" s="1944" t="s">
        <v>4728</v>
      </c>
      <c r="I1922" s="1983" t="str">
        <f>'Part I-Project Information'!$O$38</f>
        <v>13193000400</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2702</v>
      </c>
      <c r="C1923" s="1918"/>
      <c r="D1923" s="1918"/>
      <c r="G1923" s="1897" t="str">
        <f>'Part I-Project Information'!$H$105</f>
        <v>Rural</v>
      </c>
      <c r="N1923" s="1943" t="s">
        <v>1935</v>
      </c>
      <c r="O1923" s="1817" t="s">
        <v>2443</v>
      </c>
      <c r="P1923" s="1817" t="s">
        <v>2443</v>
      </c>
      <c r="S1923" s="1963"/>
      <c r="T1923" s="1963"/>
      <c r="U1923" s="1963"/>
      <c r="V1923" s="1951"/>
      <c r="W1923" s="1951"/>
      <c r="X1923" s="1951"/>
    </row>
    <row r="1924" spans="1:24" ht="11.4" customHeight="1">
      <c r="A1924" s="2176"/>
      <c r="B1924" s="1992" t="s">
        <v>1938</v>
      </c>
      <c r="C1924" s="1945" t="s">
        <v>2608</v>
      </c>
      <c r="M1924" s="1874"/>
      <c r="N1924" s="1960" t="s">
        <v>1938</v>
      </c>
      <c r="O1924" s="1229">
        <f>'Part IX Scoring Criteria'!O269</f>
        <v>0</v>
      </c>
      <c r="P1924" s="1229"/>
      <c r="Q1924" s="1973" t="str">
        <f>IF(AND(O1924="Yes",O1927="Yes"),"Only 1 or 4 can be 'Yes'!","")</f>
        <v/>
      </c>
      <c r="R1924" s="1973"/>
      <c r="S1924" s="1963"/>
      <c r="T1924" s="1963"/>
      <c r="U1924" s="1963"/>
    </row>
    <row r="1925" spans="1:24" ht="11.4" customHeight="1">
      <c r="B1925" s="1992" t="s">
        <v>1940</v>
      </c>
      <c r="C1925" s="1945" t="s">
        <v>2653</v>
      </c>
      <c r="G1925" s="1945" t="s">
        <v>2326</v>
      </c>
      <c r="I1925" s="2147">
        <f>'Part IX Scoring Criteria'!I270</f>
        <v>0</v>
      </c>
      <c r="J1925" s="1945" t="s">
        <v>2654</v>
      </c>
      <c r="L1925" s="449" t="s">
        <v>2652</v>
      </c>
      <c r="M1925" s="449" t="str">
        <f>IF(O1925&gt;I1925,"CHECK ACTUAL PERCENT!!!","")</f>
        <v/>
      </c>
      <c r="N1925" s="1960" t="s">
        <v>1940</v>
      </c>
      <c r="O1925" s="2236">
        <f>'Part IX Scoring Criteria'!O270</f>
        <v>0</v>
      </c>
      <c r="P1925" s="1985"/>
      <c r="Q1925" s="1973"/>
      <c r="R1925" s="1973"/>
      <c r="S1925" s="1963"/>
      <c r="T1925" s="1963"/>
      <c r="U1925" s="1963"/>
    </row>
    <row r="1926" spans="1:24" ht="11.4" customHeight="1">
      <c r="B1926" s="1992" t="s">
        <v>2467</v>
      </c>
      <c r="C1926" s="1945" t="s">
        <v>2327</v>
      </c>
      <c r="G1926" s="1945" t="s">
        <v>2328</v>
      </c>
      <c r="J1926" s="2177" t="s">
        <v>4468</v>
      </c>
      <c r="L1926" s="1908" t="s">
        <v>2647</v>
      </c>
      <c r="M1926" s="1815"/>
      <c r="N1926" s="1960" t="s">
        <v>2467</v>
      </c>
      <c r="O1926" s="1229" t="str">
        <f>'Part IX Scoring Criteria'!O271</f>
        <v>&lt;Select&gt;</v>
      </c>
      <c r="P1926" s="1229" t="s">
        <v>197</v>
      </c>
      <c r="Q1926" s="1973"/>
      <c r="R1926" s="1973"/>
      <c r="S1926" s="1963"/>
      <c r="T1926" s="1963"/>
      <c r="U1926" s="1963"/>
    </row>
    <row r="1927" spans="1:24" s="1910" customFormat="1" ht="11.4" customHeight="1">
      <c r="B1927" s="2172" t="s">
        <v>1198</v>
      </c>
      <c r="C1927" s="1936" t="s">
        <v>6976</v>
      </c>
      <c r="D1927" s="1936"/>
      <c r="E1927" s="1936"/>
      <c r="F1927" s="1936"/>
      <c r="G1927" s="1936"/>
      <c r="H1927" s="1936"/>
      <c r="I1927" s="1936"/>
      <c r="J1927" s="2177"/>
      <c r="K1927" s="2177" t="s">
        <v>3744</v>
      </c>
      <c r="M1927" s="1732">
        <v>2</v>
      </c>
      <c r="N1927" s="1960" t="s">
        <v>1198</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3780</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1937</v>
      </c>
      <c r="B1931" s="1992" t="s">
        <v>4319</v>
      </c>
      <c r="C1931" s="1945"/>
      <c r="G1931" s="1944" t="s">
        <v>6798</v>
      </c>
      <c r="I1931" s="2160">
        <f>'Part IX Scoring Criteria'!I276</f>
        <v>0</v>
      </c>
      <c r="K1931" s="1943" t="s">
        <v>4609</v>
      </c>
      <c r="L1931" s="2142">
        <f>'Part IX Scoring Criteria'!L276</f>
        <v>0</v>
      </c>
      <c r="M1931" s="1896">
        <v>2</v>
      </c>
      <c r="N1931" s="1904" t="s">
        <v>1937</v>
      </c>
      <c r="O1931" s="1923">
        <f>'Part IX Scoring Criteria'!O276</f>
        <v>0</v>
      </c>
      <c r="P1931" s="1923"/>
      <c r="Q1931" s="1993" t="str">
        <f>IF(O1931&lt;=M1931,"","*CHECK!*")</f>
        <v/>
      </c>
      <c r="R1931" s="1823" t="s">
        <v>4765</v>
      </c>
      <c r="S1931" s="1963"/>
      <c r="T1931" s="1963"/>
      <c r="U1931" s="1963"/>
    </row>
    <row r="1932" spans="1:24" ht="11.4" customHeight="1">
      <c r="A1932" s="1918"/>
      <c r="B1932" s="1992" t="s">
        <v>1938</v>
      </c>
      <c r="C1932" s="449" t="s">
        <v>4464</v>
      </c>
      <c r="D1932" s="449"/>
      <c r="E1932" s="1987"/>
      <c r="F1932" s="1988"/>
      <c r="G1932" s="449" t="s">
        <v>4320</v>
      </c>
      <c r="H1932" s="449"/>
      <c r="I1932" s="449"/>
      <c r="J1932" s="1815"/>
      <c r="K1932" s="1815"/>
      <c r="L1932" s="1822" t="s">
        <v>6799</v>
      </c>
      <c r="M1932" s="1896"/>
      <c r="N1932" s="1960" t="s">
        <v>1938</v>
      </c>
      <c r="O1932" s="1938">
        <f>'Part IX Scoring Criteria'!O277</f>
        <v>0</v>
      </c>
      <c r="P1932" s="1938"/>
      <c r="Q1932" s="1993"/>
      <c r="R1932" s="1823"/>
      <c r="S1932" s="1963"/>
      <c r="T1932" s="1963"/>
      <c r="U1932" s="1963"/>
    </row>
    <row r="1933" spans="1:24" ht="11.4" customHeight="1">
      <c r="A1933" s="1918"/>
      <c r="B1933" s="1992" t="s">
        <v>1940</v>
      </c>
      <c r="C1933" s="449" t="s">
        <v>4465</v>
      </c>
      <c r="D1933" s="449"/>
      <c r="E1933" s="1987"/>
      <c r="F1933" s="1229"/>
      <c r="G1933" s="449" t="s">
        <v>4321</v>
      </c>
      <c r="H1933" s="449"/>
      <c r="I1933" s="449"/>
      <c r="J1933" s="1815"/>
      <c r="K1933" s="1815"/>
      <c r="L1933" s="1822" t="s">
        <v>6799</v>
      </c>
      <c r="M1933" s="1874"/>
      <c r="N1933" s="1960" t="s">
        <v>1940</v>
      </c>
      <c r="O1933" s="1229">
        <f>'Part IX Scoring Criteria'!O278</f>
        <v>0</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3566</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N/A</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40"/>
      <c r="O1937" s="1896"/>
      <c r="P1937" s="1896"/>
    </row>
    <row r="1938" spans="1:22" s="1951" customFormat="1" ht="10.5" customHeight="1">
      <c r="A1938" s="1815"/>
      <c r="B1938" s="1936" t="s">
        <v>1819</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4715</v>
      </c>
      <c r="C1941" s="1945"/>
      <c r="G1941" s="1943" t="s">
        <v>3605</v>
      </c>
      <c r="H1941" s="1229" t="s">
        <v>3452</v>
      </c>
      <c r="I1941" s="1985">
        <f>IF('Part VI-Revenues &amp; Expenses'!$P$67=0,0,'Part VI-Revenues &amp; Expenses'!$P$64/'Part VI-Revenues &amp; Expenses'!$P$67)</f>
        <v>0</v>
      </c>
      <c r="J1941" s="1943" t="s">
        <v>4603</v>
      </c>
      <c r="K1941" s="2136" t="str">
        <f>'Part I-Project Information'!$K$94</f>
        <v>Income Averaging</v>
      </c>
      <c r="L1941" s="2136"/>
      <c r="M1941" s="1896">
        <v>1</v>
      </c>
      <c r="N1941" s="2240"/>
      <c r="O1941" s="1923">
        <f>'Part IX Scoring Criteria'!O286</f>
        <v>1</v>
      </c>
      <c r="P1941" s="1923">
        <f>'Part IX Scoring Criteria'!P286</f>
        <v>0</v>
      </c>
      <c r="Q1941" s="1896" t="s">
        <v>433</v>
      </c>
    </row>
    <row r="1942" spans="1:22" ht="13.8">
      <c r="A1942" s="1732" t="s">
        <v>1935</v>
      </c>
      <c r="B1942" s="1945" t="s">
        <v>4601</v>
      </c>
      <c r="C1942" s="1945"/>
      <c r="D1942" s="1945" t="s">
        <v>4602</v>
      </c>
      <c r="M1942" s="1896">
        <v>1</v>
      </c>
      <c r="N1942" s="1940" t="s">
        <v>1935</v>
      </c>
      <c r="O1942" s="1923">
        <f>'Part IX Scoring Criteria'!O287</f>
        <v>0</v>
      </c>
      <c r="P1942" s="1923"/>
      <c r="Q1942" s="1993" t="str">
        <f>IF(OR($O1942=$M1942,$O1942=0,$O1942=""),"","*CHECK!*")</f>
        <v/>
      </c>
      <c r="R1942" s="1823" t="s">
        <v>4765</v>
      </c>
    </row>
    <row r="1943" spans="1:22" ht="13.8">
      <c r="A1943" s="1732" t="s">
        <v>1937</v>
      </c>
      <c r="B1943" s="1945" t="s">
        <v>4292</v>
      </c>
      <c r="C1943" s="1945"/>
      <c r="D1943" s="1945" t="s">
        <v>4721</v>
      </c>
      <c r="M1943" s="1874">
        <v>1</v>
      </c>
      <c r="N1943" s="1940" t="s">
        <v>1937</v>
      </c>
      <c r="O1943" s="1923">
        <f>'Part IX Scoring Criteria'!O288</f>
        <v>1</v>
      </c>
      <c r="P1943" s="1923"/>
      <c r="Q1943" s="1993" t="str">
        <f>IF(OR($O1943=$M1943,$O1943=0,$O1943=""),"","*CHECK!*")</f>
        <v/>
      </c>
      <c r="R1943" s="1823" t="s">
        <v>4765</v>
      </c>
    </row>
    <row r="1944" spans="1:22" ht="2.25" customHeight="1">
      <c r="A1944" s="1918"/>
      <c r="B1944" s="1992"/>
      <c r="C1944" s="1945"/>
      <c r="M1944" s="1896"/>
      <c r="N1944" s="2240"/>
      <c r="O1944" s="1896"/>
      <c r="P1944" s="1896"/>
    </row>
    <row r="1945" spans="1:22" s="1951" customFormat="1" ht="14.4">
      <c r="A1945" s="1815"/>
      <c r="B1945" s="1936" t="s">
        <v>1819</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3745</v>
      </c>
      <c r="D1948" s="449"/>
      <c r="E1948" s="449"/>
      <c r="H1948" s="1822"/>
      <c r="I1948" s="1943" t="s">
        <v>3605</v>
      </c>
      <c r="M1948" s="1896">
        <v>10</v>
      </c>
      <c r="N1948" s="1896"/>
      <c r="O1948" s="1923">
        <f>'Part IX Scoring Criteria'!O293</f>
        <v>0</v>
      </c>
      <c r="P1948" s="1923">
        <f>'Part IX Scoring Criteria'!P293</f>
        <v>0</v>
      </c>
      <c r="Q1948" s="1896" t="s">
        <v>433</v>
      </c>
      <c r="R1948" s="1963" t="s">
        <v>4763</v>
      </c>
      <c r="S1948" s="1963"/>
      <c r="T1948" s="1963"/>
      <c r="U1948" s="1963"/>
      <c r="V1948" s="1963"/>
    </row>
    <row r="1949" spans="1:22" ht="11.25" customHeight="1">
      <c r="A1949" s="1732" t="s">
        <v>1935</v>
      </c>
      <c r="B1949" s="1939" t="s">
        <v>3598</v>
      </c>
      <c r="D1949" s="1939"/>
      <c r="E1949" s="1939"/>
      <c r="F1949" s="1939"/>
      <c r="G1949" s="1939"/>
      <c r="H1949" s="1939"/>
      <c r="I1949" s="1939"/>
      <c r="J1949" s="1939"/>
      <c r="K1949" s="1939"/>
      <c r="L1949" s="1939"/>
      <c r="M1949" s="2105" t="str">
        <f>IF(OR(SUM(T1949:T1950)&gt;1,SUM(Q1949:Q1950)&gt;1),"Only one category can be met by other means!","")</f>
        <v/>
      </c>
      <c r="N1949" s="1940" t="s">
        <v>1935</v>
      </c>
      <c r="O1949" s="1229">
        <f>'Part IX Scoring Criteria'!O294</f>
        <v>0</v>
      </c>
      <c r="P1949" s="1229"/>
      <c r="Q1949" s="1817">
        <f>IF(L1949="Yes",1,0)</f>
        <v>0</v>
      </c>
      <c r="R1949" s="1963"/>
      <c r="S1949" s="1963"/>
      <c r="T1949" s="1963"/>
      <c r="U1949" s="1963"/>
      <c r="V1949" s="1963"/>
    </row>
    <row r="1950" spans="1:22" ht="11.25" customHeight="1">
      <c r="A1950" s="1732" t="s">
        <v>1937</v>
      </c>
      <c r="B1950" s="1939" t="s">
        <v>3599</v>
      </c>
      <c r="D1950" s="1939"/>
      <c r="L1950" s="1939"/>
      <c r="M1950" s="2105"/>
      <c r="N1950" s="1940" t="s">
        <v>1937</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3566</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N/A</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1819</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4717</v>
      </c>
      <c r="D1956" s="2163"/>
      <c r="E1956" s="2163"/>
      <c r="F1956" s="2163"/>
      <c r="H1956" s="1908"/>
      <c r="J1956" s="449" t="s">
        <v>2702</v>
      </c>
      <c r="K1956" s="1897"/>
      <c r="L1956" s="449" t="str">
        <f>'Part I-Project Information'!$H$105</f>
        <v>Rural</v>
      </c>
      <c r="M1956" s="1896">
        <v>3</v>
      </c>
      <c r="N1956" s="1896"/>
      <c r="O1956" s="1896">
        <f>'Part IX Scoring Criteria'!O301</f>
        <v>0</v>
      </c>
      <c r="P1956" s="1896">
        <f>'Part IX Scoring Criteria'!P301</f>
        <v>0</v>
      </c>
      <c r="Q1956" s="1896" t="s">
        <v>433</v>
      </c>
      <c r="R1956" s="1819" t="s">
        <v>4575</v>
      </c>
      <c r="S1956" s="1819"/>
      <c r="T1956" s="1819"/>
      <c r="U1956" s="1819"/>
      <c r="V1956" s="1819"/>
      <c r="W1956" s="1955"/>
      <c r="X1956" s="1955"/>
    </row>
    <row r="1957" spans="1:27" ht="11.25" customHeight="1">
      <c r="A1957" s="1732"/>
      <c r="B1957" s="1897" t="s">
        <v>4619</v>
      </c>
      <c r="D1957" s="1815"/>
      <c r="E1957" s="1815"/>
      <c r="F1957" s="1815"/>
      <c r="H1957" s="449" t="s">
        <v>3507</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1935</v>
      </c>
      <c r="B1958" s="1936" t="s">
        <v>6884</v>
      </c>
      <c r="C1958" s="1936"/>
      <c r="D1958" s="1936"/>
      <c r="E1958" s="1936"/>
      <c r="F1958" s="1936"/>
      <c r="G1958" s="1936"/>
      <c r="H1958" s="1936"/>
      <c r="I1958" s="1936"/>
      <c r="J1958" s="1936"/>
      <c r="K1958" s="1936"/>
      <c r="L1958" s="1936"/>
      <c r="M1958" s="1936"/>
      <c r="N1958" s="1942" t="s">
        <v>1935</v>
      </c>
      <c r="O1958" s="1938">
        <f>'Part IX Scoring Criteria'!O303</f>
        <v>0</v>
      </c>
      <c r="P1958" s="1938"/>
      <c r="Q1958" s="1936" t="s">
        <v>6951</v>
      </c>
      <c r="R1958" s="1936"/>
      <c r="S1958" s="1936"/>
      <c r="T1958" s="1936"/>
      <c r="U1958" s="1936"/>
      <c r="V1958" s="1936"/>
      <c r="W1958" s="1936"/>
      <c r="X1958" s="1936"/>
      <c r="Y1958" s="1936"/>
      <c r="Z1958" s="1936"/>
      <c r="AA1958" s="1936"/>
    </row>
    <row r="1959" spans="1:27" s="449" customFormat="1" ht="11.25" customHeight="1">
      <c r="A1959" s="1969"/>
      <c r="B1959" s="449" t="s">
        <v>3611</v>
      </c>
      <c r="I1959" s="1940" t="s">
        <v>4325</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3641</v>
      </c>
      <c r="I1960" s="1940" t="s">
        <v>4325</v>
      </c>
      <c r="J1960" s="1908">
        <f>'Part IX Scoring Criteria'!J305</f>
        <v>0</v>
      </c>
      <c r="K1960" s="1940" t="s">
        <v>599</v>
      </c>
      <c r="L1960" s="449">
        <f>'Part IX Scoring Criteria'!L305</f>
        <v>0</v>
      </c>
      <c r="Q1960" s="1936"/>
      <c r="R1960" s="1936"/>
      <c r="S1960" s="1936"/>
      <c r="T1960" s="1936"/>
    </row>
    <row r="1961" spans="1:27" s="449" customFormat="1" ht="11.25" customHeight="1">
      <c r="A1961" s="1969" t="s">
        <v>1937</v>
      </c>
      <c r="B1961" s="449" t="s">
        <v>941</v>
      </c>
      <c r="M1961" s="1896"/>
      <c r="N1961" s="1940" t="s">
        <v>1937</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2064</v>
      </c>
      <c r="B1963" s="1936" t="s">
        <v>4621</v>
      </c>
      <c r="C1963" s="1936"/>
      <c r="D1963" s="1936"/>
      <c r="E1963" s="1936"/>
      <c r="F1963" s="1936"/>
      <c r="G1963" s="1936"/>
      <c r="H1963" s="1936"/>
      <c r="I1963" s="1936"/>
      <c r="J1963" s="1936"/>
      <c r="K1963" s="1936"/>
      <c r="L1963" s="1936"/>
      <c r="M1963" s="1936"/>
      <c r="N1963" s="1942" t="s">
        <v>2064</v>
      </c>
      <c r="O1963" s="1938">
        <f>'Part IX Scoring Criteria'!O308</f>
        <v>0</v>
      </c>
      <c r="P1963" s="1938"/>
      <c r="Q1963" s="1936"/>
      <c r="R1963" s="1936"/>
      <c r="S1963" s="1936"/>
      <c r="T1963" s="1936"/>
    </row>
    <row r="1964" spans="1:27" s="449" customFormat="1" ht="11.25" customHeight="1">
      <c r="A1964" s="1969" t="s">
        <v>1692</v>
      </c>
      <c r="B1964" s="449" t="s">
        <v>4326</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3566</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N/A</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1819</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4604</v>
      </c>
      <c r="D1971" s="2163"/>
      <c r="E1971" s="2163"/>
      <c r="F1971" s="1908" t="s">
        <v>3279</v>
      </c>
      <c r="H1971" s="1908" t="s">
        <v>4622</v>
      </c>
      <c r="I1971" s="1815"/>
      <c r="J1971" s="449">
        <f>'Part I-Project Information'!F1692</f>
        <v>0</v>
      </c>
      <c r="M1971" s="1896">
        <v>5</v>
      </c>
      <c r="N1971" s="1896"/>
      <c r="O1971" s="1923">
        <f>'Part IX Scoring Criteria'!O316</f>
        <v>5</v>
      </c>
      <c r="P1971" s="1923">
        <f>'Part IX Scoring Criteria'!P316</f>
        <v>0</v>
      </c>
      <c r="Q1971" s="1896" t="s">
        <v>433</v>
      </c>
      <c r="R1971" s="2179" t="s">
        <v>4575</v>
      </c>
      <c r="S1971" s="2179"/>
      <c r="T1971" s="2179"/>
      <c r="U1971" s="2179"/>
      <c r="V1971" s="2179"/>
      <c r="W1971" s="1955"/>
      <c r="X1971" s="1955"/>
    </row>
    <row r="1972" spans="1:24" s="1815" customFormat="1" ht="11.25" customHeight="1">
      <c r="A1972" s="1732" t="s">
        <v>1935</v>
      </c>
      <c r="B1972" s="1897" t="s">
        <v>6885</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6952</v>
      </c>
      <c r="C1973" s="1772"/>
      <c r="D1973" s="1772"/>
      <c r="E1973" s="1772"/>
      <c r="F1973" s="1772"/>
      <c r="G1973" s="1772"/>
      <c r="H1973" s="1772"/>
      <c r="I1973" s="1772"/>
      <c r="J1973" s="1772"/>
      <c r="K1973" s="1772"/>
      <c r="L1973" s="1772"/>
      <c r="M1973" s="1967">
        <v>5</v>
      </c>
      <c r="N1973" s="1942" t="s">
        <v>1935</v>
      </c>
      <c r="O1973" s="2166">
        <f>'Part IX Scoring Criteria'!O318</f>
        <v>5</v>
      </c>
      <c r="P1973" s="2166">
        <f>'Part IX Scoring Criteria'!P318</f>
        <v>0</v>
      </c>
      <c r="R1973" s="2179"/>
      <c r="S1973" s="2179"/>
      <c r="T1973" s="2179"/>
      <c r="U1973" s="2179"/>
      <c r="V1973" s="2179"/>
    </row>
    <row r="1974" spans="1:24" s="1815" customFormat="1" ht="11.25" customHeight="1">
      <c r="B1974" s="1992" t="s">
        <v>1938</v>
      </c>
      <c r="C1974" s="449" t="s">
        <v>6886</v>
      </c>
      <c r="L1974" s="1732" t="str">
        <f>IF(OR($O1974=$M1974,$O1974=0,$O1974=""),"","* * Check Score! * *")</f>
        <v/>
      </c>
      <c r="M1974" s="1896">
        <v>5</v>
      </c>
      <c r="N1974" s="1969" t="s">
        <v>1938</v>
      </c>
      <c r="O1974" s="1923">
        <f>'Part IX Scoring Criteria'!O319</f>
        <v>5</v>
      </c>
      <c r="P1974" s="1923"/>
      <c r="Q1974" s="1993" t="str">
        <f>IF(OR($O1974=$M1974,$O1974=0,$O1974=""),"","*CHECK!*")</f>
        <v/>
      </c>
      <c r="R1974" s="1823" t="s">
        <v>4765</v>
      </c>
    </row>
    <row r="1975" spans="1:24" ht="11.25" customHeight="1">
      <c r="A1975" s="1229"/>
      <c r="B1975" s="2172" t="s">
        <v>1940</v>
      </c>
      <c r="C1975" s="1945" t="s">
        <v>6887</v>
      </c>
      <c r="D1975" s="1815"/>
      <c r="E1975" s="1815"/>
      <c r="F1975" s="1815"/>
      <c r="G1975" s="1908"/>
      <c r="H1975" s="1908"/>
      <c r="I1975" s="1908"/>
      <c r="L1975" s="1732" t="str">
        <f>IF(OR($O1975=$M1975,$O1975=0,$O1975=""),"","* * Check Score! * *")</f>
        <v/>
      </c>
      <c r="M1975" s="1874">
        <v>4</v>
      </c>
      <c r="N1975" s="1969" t="s">
        <v>1940</v>
      </c>
      <c r="O1975" s="1923">
        <f>'Part IX Scoring Criteria'!O320</f>
        <v>0</v>
      </c>
      <c r="P1975" s="1923"/>
      <c r="Q1975" s="1993" t="str">
        <f>IF(OR($O1975=$M1975,$O1975=0,$O1975=""),"","*CHECK!*")</f>
        <v/>
      </c>
      <c r="R1975" s="1823" t="s">
        <v>4765</v>
      </c>
    </row>
    <row r="1976" spans="1:24" s="1815" customFormat="1" ht="11.25" customHeight="1">
      <c r="A1976" s="1732" t="s">
        <v>1937</v>
      </c>
      <c r="B1976" s="1897" t="s">
        <v>6888</v>
      </c>
      <c r="F1976" s="1843" t="s">
        <v>4623</v>
      </c>
      <c r="H1976" s="449" t="s">
        <v>2702</v>
      </c>
      <c r="I1976" s="1951"/>
      <c r="J1976" s="449" t="str">
        <f>'Part I-Project Information'!$H$105</f>
        <v>Rural</v>
      </c>
    </row>
    <row r="1977" spans="1:24" s="1815" customFormat="1" ht="11.25" customHeight="1">
      <c r="A1977" s="1732"/>
      <c r="B1977" s="1897" t="s">
        <v>6953</v>
      </c>
      <c r="H1977" s="1908"/>
      <c r="M1977" s="1896">
        <v>3</v>
      </c>
      <c r="N1977" s="1940" t="s">
        <v>1937</v>
      </c>
      <c r="O1977" s="1923">
        <f>'Part IX Scoring Criteria'!O322</f>
        <v>0</v>
      </c>
      <c r="P1977" s="1923">
        <f>'Part IX Scoring Criteria'!P322</f>
        <v>0</v>
      </c>
    </row>
    <row r="1978" spans="1:24" s="1815" customFormat="1" ht="11.25" customHeight="1">
      <c r="B1978" s="1992" t="s">
        <v>1938</v>
      </c>
      <c r="C1978" s="449" t="s">
        <v>6889</v>
      </c>
      <c r="J1978" s="1955" t="s">
        <v>4628</v>
      </c>
      <c r="L1978" s="1815" t="str">
        <f>IF(OR(AND(O1978&gt;0,O1979&gt;0), AND(O1981&gt;0,O1982&gt;0), AND(O1978+O1979&gt;0,O1981+O1982&gt;0)),"Choose option 1 or 2 or 3 or 4!!!",IF(AND(J1976="Rural", SUM(O1981:O1982)&gt;0),"Cannot choose options 3 or 4 if in Rural Pool!!!",""))</f>
        <v/>
      </c>
      <c r="M1978" s="1896">
        <v>3</v>
      </c>
      <c r="N1978" s="1969" t="s">
        <v>1938</v>
      </c>
      <c r="O1978" s="1923">
        <f>'Part IX Scoring Criteria'!O323</f>
        <v>0</v>
      </c>
      <c r="P1978" s="1923"/>
      <c r="Q1978" s="1993" t="str">
        <f>IF(OR($O1978=$M1978,$O1978=0,$O1978=""),"","*CHECK!*")</f>
        <v/>
      </c>
      <c r="R1978" s="1823" t="s">
        <v>4765</v>
      </c>
    </row>
    <row r="1979" spans="1:24" ht="11.25" customHeight="1">
      <c r="A1979" s="1229"/>
      <c r="B1979" s="2172" t="s">
        <v>1940</v>
      </c>
      <c r="C1979" s="1945" t="s">
        <v>6890</v>
      </c>
      <c r="D1979" s="1815"/>
      <c r="E1979" s="1815"/>
      <c r="F1979" s="1815"/>
      <c r="G1979" s="1908"/>
      <c r="H1979" s="1908"/>
      <c r="I1979" s="1908"/>
      <c r="J1979" s="1955" t="s">
        <v>4628</v>
      </c>
      <c r="K1979" s="1815"/>
      <c r="L1979" s="1815"/>
      <c r="M1979" s="1874">
        <v>2</v>
      </c>
      <c r="N1979" s="1969" t="s">
        <v>1940</v>
      </c>
      <c r="O1979" s="1923">
        <f>'Part IX Scoring Criteria'!O324</f>
        <v>0</v>
      </c>
      <c r="P1979" s="1923"/>
      <c r="Q1979" s="1993" t="str">
        <f>IF(OR($O1979=$M1979,$O1979=0,$O1979=""),"","*CHECK!*")</f>
        <v/>
      </c>
      <c r="R1979" s="1823" t="s">
        <v>4765</v>
      </c>
    </row>
    <row r="1980" spans="1:24" ht="22.5" customHeight="1">
      <c r="A1980" s="1229"/>
      <c r="B1980" s="2176" t="s">
        <v>6954</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2467</v>
      </c>
      <c r="C1981" s="449" t="s">
        <v>6891</v>
      </c>
      <c r="D1981" s="1815"/>
      <c r="E1981" s="1815"/>
      <c r="F1981" s="1815"/>
      <c r="G1981" s="1908"/>
      <c r="H1981" s="1908"/>
      <c r="I1981" s="1908"/>
      <c r="K1981" s="1815"/>
      <c r="L1981" s="1815"/>
      <c r="M1981" s="1874">
        <v>3</v>
      </c>
      <c r="N1981" s="1969" t="s">
        <v>2467</v>
      </c>
      <c r="O1981" s="1923">
        <f>'Part IX Scoring Criteria'!O326</f>
        <v>0</v>
      </c>
      <c r="P1981" s="1923"/>
      <c r="Q1981" s="1993" t="str">
        <f>IF(OR($O1981=$M1981,$O1981=0,$O1981=""),"","*CHECK!*")</f>
        <v/>
      </c>
      <c r="R1981" s="1823" t="s">
        <v>4765</v>
      </c>
    </row>
    <row r="1982" spans="1:24" ht="11.25" customHeight="1">
      <c r="A1982" s="1229"/>
      <c r="B1982" s="2172" t="s">
        <v>1198</v>
      </c>
      <c r="C1982" s="1945" t="s">
        <v>6892</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4765</v>
      </c>
    </row>
    <row r="1983" spans="1:24" s="1951" customFormat="1" ht="10.5" customHeight="1">
      <c r="A1983" s="1815"/>
      <c r="B1983" s="449" t="s">
        <v>3566</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The City of Montezuma has not received a competitive 9% award within the City boundries in the last 15 years and is therefore eligible for 5 points in this category.</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1819</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2690</v>
      </c>
      <c r="B1988" s="1815" t="s">
        <v>2728</v>
      </c>
      <c r="D1988" s="2163"/>
      <c r="E1988" s="2163"/>
      <c r="F1988" s="2163"/>
      <c r="H1988" s="1908"/>
      <c r="J1988" s="1229"/>
      <c r="K1988" s="1897"/>
      <c r="L1988" s="1940" t="s">
        <v>4766</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1935</v>
      </c>
      <c r="B1989" s="1897" t="s">
        <v>2176</v>
      </c>
      <c r="D1989" s="1908"/>
      <c r="E1989" s="1908"/>
      <c r="F1989" s="1952"/>
      <c r="G1989" s="1995"/>
      <c r="L1989" s="1732"/>
      <c r="M1989" s="1896">
        <v>3</v>
      </c>
      <c r="N1989" s="1940" t="s">
        <v>1935</v>
      </c>
      <c r="O1989" s="1923">
        <f>'Part IX Scoring Criteria'!O334</f>
        <v>3</v>
      </c>
      <c r="P1989" s="1923">
        <f>'Part IX Scoring Criteria'!P334</f>
        <v>0</v>
      </c>
      <c r="Q1989" s="1993"/>
      <c r="R1989" s="1843"/>
      <c r="T1989" s="2125"/>
      <c r="U1989" s="2125"/>
    </row>
    <row r="1990" spans="1:21" s="1947" customFormat="1" ht="11.25" customHeight="1">
      <c r="A1990" s="1904"/>
      <c r="B1990" s="1992" t="s">
        <v>1938</v>
      </c>
      <c r="C1990" s="1908" t="s">
        <v>4327</v>
      </c>
      <c r="D1990" s="1908"/>
      <c r="E1990" s="1908"/>
      <c r="F1990" s="1952"/>
      <c r="G1990" s="1995"/>
      <c r="L1990" s="1732"/>
      <c r="M1990" s="1896">
        <v>3</v>
      </c>
      <c r="N1990" s="1969" t="s">
        <v>1938</v>
      </c>
      <c r="O1990" s="1229" t="str">
        <f>'Part IX Scoring Criteria'!O335</f>
        <v>Yes</v>
      </c>
      <c r="P1990" s="1229"/>
      <c r="Q1990" s="1993"/>
      <c r="R1990" s="1843"/>
      <c r="T1990" s="2125"/>
      <c r="U1990" s="2125"/>
    </row>
    <row r="1991" spans="1:21" s="1947" customFormat="1" ht="11.25" customHeight="1">
      <c r="A1991" s="1904"/>
      <c r="B1991" s="2172" t="s">
        <v>1940</v>
      </c>
      <c r="C1991" s="1908" t="s">
        <v>4328</v>
      </c>
      <c r="D1991" s="1908"/>
      <c r="E1991" s="1908"/>
      <c r="F1991" s="1952"/>
      <c r="G1991" s="1995"/>
      <c r="L1991" s="1732"/>
      <c r="M1991" s="1896">
        <v>2</v>
      </c>
      <c r="N1991" s="1969" t="s">
        <v>1940</v>
      </c>
      <c r="O1991" s="1229">
        <f>'Part IX Scoring Criteria'!O336</f>
        <v>0</v>
      </c>
      <c r="P1991" s="1229"/>
      <c r="Q1991" s="1993"/>
      <c r="R1991" s="1843"/>
      <c r="T1991" s="2125"/>
      <c r="U1991" s="2125"/>
    </row>
    <row r="1992" spans="1:21" s="1947" customFormat="1" ht="10.5" customHeight="1">
      <c r="A1992" s="1904"/>
      <c r="B1992" s="2172" t="s">
        <v>2467</v>
      </c>
      <c r="C1992" s="1908" t="s">
        <v>4329</v>
      </c>
      <c r="D1992" s="1908"/>
      <c r="E1992" s="1908"/>
      <c r="F1992" s="1952"/>
      <c r="G1992" s="1995"/>
      <c r="K1992" s="1940"/>
      <c r="M1992" s="1896">
        <v>1</v>
      </c>
      <c r="N1992" s="1969" t="s">
        <v>2467</v>
      </c>
      <c r="O1992" s="1229">
        <f>'Part IX Scoring Criteria'!O337</f>
        <v>0</v>
      </c>
      <c r="P1992" s="1229"/>
      <c r="R1992" s="1955"/>
      <c r="T1992" s="2125"/>
      <c r="U1992" s="2125"/>
    </row>
    <row r="1993" spans="1:21" s="1951" customFormat="1" ht="11.25" customHeight="1">
      <c r="A1993" s="1904" t="s">
        <v>1937</v>
      </c>
      <c r="B1993" s="1897" t="s">
        <v>4576</v>
      </c>
      <c r="D1993" s="449"/>
      <c r="K1993" s="449"/>
      <c r="L1993" s="1732" t="str">
        <f>IF(OR($O1993=$M1993,$O1993=0,$O1993=""),"","* * Check Score! * *")</f>
        <v/>
      </c>
      <c r="M1993" s="1896">
        <v>1</v>
      </c>
      <c r="N1993" s="1940" t="s">
        <v>1937</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4577</v>
      </c>
      <c r="C1994" s="449"/>
      <c r="D1994" s="449"/>
      <c r="E1994" s="449"/>
      <c r="F1994" s="449"/>
      <c r="G1994" s="449"/>
      <c r="H1994" s="449"/>
      <c r="I1994" s="449"/>
      <c r="J1994" s="449"/>
      <c r="K1994" s="449"/>
      <c r="L1994" s="449"/>
      <c r="M1994" s="1896"/>
      <c r="N1994" s="1940"/>
      <c r="O1994" s="1938">
        <f>'Part IX Scoring Criteria'!O339</f>
        <v>0</v>
      </c>
      <c r="P1994" s="1938"/>
      <c r="Q1994" s="1955"/>
      <c r="R1994" s="1732"/>
      <c r="T1994" s="2125"/>
      <c r="U1994" s="2125"/>
    </row>
    <row r="1995" spans="1:21" s="1951" customFormat="1" ht="11.25" customHeight="1">
      <c r="A1995" s="1904" t="s">
        <v>731</v>
      </c>
      <c r="B1995" s="1897" t="s">
        <v>4330</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6955</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4447</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1819</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2193</v>
      </c>
      <c r="B2001" s="1815" t="s">
        <v>3746</v>
      </c>
      <c r="C2001" s="1945"/>
      <c r="D2001" s="1945"/>
      <c r="E2001" s="449"/>
      <c r="G2001" s="1945"/>
      <c r="M2001" s="1896">
        <v>2</v>
      </c>
      <c r="N2001" s="1896"/>
      <c r="O2001" s="1896"/>
      <c r="P2001" s="1896">
        <f>P2002+P2010</f>
        <v>0</v>
      </c>
      <c r="Q2001" s="1896" t="s">
        <v>433</v>
      </c>
    </row>
    <row r="2002" spans="1:18" s="1951" customFormat="1" ht="12" customHeight="1">
      <c r="A2002" s="1904" t="s">
        <v>1935</v>
      </c>
      <c r="B2002" s="1897" t="s">
        <v>3747</v>
      </c>
      <c r="C2002" s="1945"/>
      <c r="D2002" s="1945"/>
      <c r="E2002" s="449"/>
      <c r="G2002" s="1912">
        <f>'Part VIII-Threshold Criteria'!I2005</f>
        <v>0</v>
      </c>
      <c r="L2002" s="1940" t="s">
        <v>4814</v>
      </c>
      <c r="M2002" s="1229">
        <f>'Part I-Project Information'!H1753</f>
        <v>0</v>
      </c>
      <c r="N2002" s="1940" t="s">
        <v>1935</v>
      </c>
      <c r="O2002" s="1732" t="str">
        <f>'Part I-Project Information'!$H$100</f>
        <v>No</v>
      </c>
      <c r="P2002" s="1896"/>
      <c r="Q2002" s="1896"/>
      <c r="R2002" s="1843" t="s">
        <v>2625</v>
      </c>
    </row>
    <row r="2003" spans="1:18" s="1947" customFormat="1" ht="10.5" customHeight="1">
      <c r="A2003" s="1904"/>
      <c r="B2003" s="1969" t="s">
        <v>1938</v>
      </c>
      <c r="C2003" s="449" t="s">
        <v>4382</v>
      </c>
      <c r="D2003" s="1815"/>
      <c r="N2003" s="1969" t="s">
        <v>4383</v>
      </c>
      <c r="O2003" s="1229">
        <f>'Part IX Scoring Criteria'!O348</f>
        <v>0</v>
      </c>
      <c r="P2003" s="1229"/>
      <c r="R2003" s="1732"/>
    </row>
    <row r="2004" spans="1:18" s="1947" customFormat="1" ht="10.5" customHeight="1">
      <c r="A2004" s="1904"/>
      <c r="B2004" s="1969"/>
      <c r="C2004" s="449" t="s">
        <v>4739</v>
      </c>
      <c r="D2004" s="1815"/>
      <c r="N2004" s="1969" t="s">
        <v>4384</v>
      </c>
      <c r="O2004" s="1229">
        <f>'Part IX Scoring Criteria'!O349</f>
        <v>0</v>
      </c>
      <c r="P2004" s="1229"/>
      <c r="R2004" s="1732"/>
    </row>
    <row r="2005" spans="1:18" s="1947" customFormat="1" ht="10.5" customHeight="1">
      <c r="A2005" s="1904"/>
      <c r="B2005" s="1969" t="s">
        <v>1940</v>
      </c>
      <c r="C2005" s="449" t="s">
        <v>3755</v>
      </c>
      <c r="D2005" s="1815"/>
      <c r="N2005" s="1969" t="s">
        <v>1940</v>
      </c>
      <c r="O2005" s="1229">
        <f>'Part IX Scoring Criteria'!O350</f>
        <v>0</v>
      </c>
      <c r="P2005" s="1229"/>
      <c r="R2005" s="1732"/>
    </row>
    <row r="2006" spans="1:18" s="1947" customFormat="1" ht="10.5" customHeight="1">
      <c r="A2006" s="1904"/>
      <c r="B2006" s="1969" t="s">
        <v>2467</v>
      </c>
      <c r="C2006" s="449" t="s">
        <v>4385</v>
      </c>
      <c r="D2006" s="1815"/>
      <c r="N2006" s="1969" t="s">
        <v>2467</v>
      </c>
      <c r="O2006" s="1229">
        <f>'Part IX Scoring Criteria'!O351</f>
        <v>0</v>
      </c>
      <c r="P2006" s="1229"/>
      <c r="R2006" s="1732"/>
    </row>
    <row r="2007" spans="1:18" s="1947" customFormat="1" ht="10.5" customHeight="1">
      <c r="B2007" s="1969" t="s">
        <v>1198</v>
      </c>
      <c r="C2007" s="449" t="s">
        <v>4331</v>
      </c>
      <c r="D2007" s="1815"/>
      <c r="N2007" s="1969" t="s">
        <v>1198</v>
      </c>
      <c r="O2007" s="1229">
        <f>'Part IX Scoring Criteria'!O352</f>
        <v>0</v>
      </c>
      <c r="P2007" s="1229"/>
      <c r="R2007" s="1732"/>
    </row>
    <row r="2008" spans="1:18" s="1947" customFormat="1" ht="10.5" customHeight="1">
      <c r="A2008" s="1904"/>
      <c r="B2008" s="1969" t="s">
        <v>1199</v>
      </c>
      <c r="C2008" s="449" t="s">
        <v>4332</v>
      </c>
      <c r="D2008" s="1815"/>
      <c r="N2008" s="1969" t="s">
        <v>1199</v>
      </c>
      <c r="O2008" s="1229">
        <f>'Part IX Scoring Criteria'!O353</f>
        <v>0</v>
      </c>
      <c r="P2008" s="1229"/>
      <c r="R2008" s="1732"/>
    </row>
    <row r="2009" spans="1:18" s="1947" customFormat="1" ht="10.5" customHeight="1">
      <c r="A2009" s="1904"/>
      <c r="B2009" s="1969" t="s">
        <v>1833</v>
      </c>
      <c r="C2009" s="449" t="s">
        <v>3756</v>
      </c>
      <c r="D2009" s="1815"/>
      <c r="N2009" s="1969" t="s">
        <v>1833</v>
      </c>
      <c r="O2009" s="1229">
        <f>'Part IX Scoring Criteria'!O354</f>
        <v>0</v>
      </c>
      <c r="P2009" s="1229"/>
      <c r="R2009" s="1732"/>
    </row>
    <row r="2010" spans="1:18" s="1951" customFormat="1" ht="12" customHeight="1">
      <c r="A2010" s="1904" t="s">
        <v>1937</v>
      </c>
      <c r="B2010" s="1897" t="s">
        <v>3748</v>
      </c>
      <c r="C2010" s="1945"/>
      <c r="D2010" s="1945"/>
      <c r="E2010" s="449"/>
      <c r="G2010" s="1912">
        <f>'Part I-Project Information'!D1817</f>
        <v>0</v>
      </c>
      <c r="I2010" s="1912"/>
      <c r="L2010" s="1817"/>
      <c r="M2010" s="1817"/>
      <c r="N2010" s="1940" t="s">
        <v>1937</v>
      </c>
      <c r="P2010" s="1896"/>
      <c r="Q2010" s="1896"/>
      <c r="R2010" s="1843" t="s">
        <v>2625</v>
      </c>
    </row>
    <row r="2011" spans="1:18" s="1947" customFormat="1" ht="10.5" customHeight="1">
      <c r="A2011" s="1931"/>
      <c r="B2011" s="1969" t="s">
        <v>1938</v>
      </c>
      <c r="C2011" s="449" t="s">
        <v>4382</v>
      </c>
      <c r="D2011" s="449"/>
      <c r="E2011" s="449"/>
      <c r="M2011" s="1896"/>
      <c r="N2011" s="1969" t="s">
        <v>4383</v>
      </c>
      <c r="O2011" s="1229">
        <f>'Part IX Scoring Criteria'!O356</f>
        <v>0</v>
      </c>
      <c r="P2011" s="1229"/>
      <c r="Q2011" s="1896"/>
    </row>
    <row r="2012" spans="1:18" s="1947" customFormat="1" ht="10.5" customHeight="1">
      <c r="A2012" s="1904"/>
      <c r="B2012" s="1969"/>
      <c r="C2012" s="449" t="s">
        <v>4767</v>
      </c>
      <c r="D2012" s="1815"/>
      <c r="N2012" s="1969" t="s">
        <v>4384</v>
      </c>
      <c r="O2012" s="1229">
        <f>'Part IX Scoring Criteria'!O357</f>
        <v>0</v>
      </c>
      <c r="P2012" s="1229"/>
      <c r="R2012" s="1732"/>
    </row>
    <row r="2013" spans="1:18" s="1947" customFormat="1" ht="10.5" customHeight="1">
      <c r="A2013" s="1904"/>
      <c r="B2013" s="1969" t="s">
        <v>1940</v>
      </c>
      <c r="C2013" s="449" t="s">
        <v>3767</v>
      </c>
      <c r="D2013" s="1815"/>
      <c r="N2013" s="1969" t="s">
        <v>1940</v>
      </c>
      <c r="O2013" s="1229">
        <f>'Part IX Scoring Criteria'!O358</f>
        <v>0</v>
      </c>
      <c r="P2013" s="1229"/>
      <c r="R2013" s="1732"/>
    </row>
    <row r="2014" spans="1:18" s="1947" customFormat="1" ht="10.5" customHeight="1">
      <c r="B2014" s="1969" t="s">
        <v>2467</v>
      </c>
      <c r="C2014" s="449" t="s">
        <v>3756</v>
      </c>
      <c r="D2014" s="1815"/>
      <c r="N2014" s="1969" t="s">
        <v>2467</v>
      </c>
      <c r="O2014" s="1229">
        <f>'Part IX Scoring Criteria'!O359</f>
        <v>0</v>
      </c>
      <c r="P2014" s="1229"/>
      <c r="R2014" s="1732"/>
    </row>
    <row r="2015" spans="1:18" s="1951" customFormat="1" ht="10.5" customHeight="1">
      <c r="B2015" s="1936" t="s">
        <v>1819</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3783</v>
      </c>
      <c r="B2019" s="1815" t="s">
        <v>1631</v>
      </c>
      <c r="D2019" s="1945"/>
      <c r="E2019" s="1945"/>
      <c r="G2019" s="449"/>
      <c r="I2019" s="449"/>
      <c r="J2019" s="449"/>
      <c r="L2019" s="1229"/>
      <c r="M2019" s="1896">
        <v>1</v>
      </c>
      <c r="N2019" s="1896"/>
      <c r="O2019" s="1923">
        <f>'Part IX Scoring Criteria'!O364</f>
        <v>0</v>
      </c>
      <c r="P2019" s="1923">
        <f>'Part IX Scoring Criteria'!P364</f>
        <v>0</v>
      </c>
      <c r="Q2019" s="1896" t="s">
        <v>433</v>
      </c>
      <c r="R2019" s="1844" t="s">
        <v>4765</v>
      </c>
      <c r="S2019" s="1844"/>
    </row>
    <row r="2020" spans="1:19" s="1951" customFormat="1" ht="11.25" customHeight="1">
      <c r="A2020" s="1904"/>
      <c r="B2020" s="1908" t="s">
        <v>3453</v>
      </c>
      <c r="D2020" s="1945"/>
      <c r="E2020" s="1945"/>
      <c r="G2020" s="449"/>
      <c r="I2020" s="449">
        <f>'Part IX Scoring Criteria'!I365</f>
        <v>0</v>
      </c>
      <c r="J2020" s="449"/>
      <c r="K2020" s="449"/>
      <c r="L2020" s="449"/>
      <c r="M2020" s="1896"/>
      <c r="N2020" s="1896"/>
      <c r="O2020" s="1817" t="s">
        <v>2443</v>
      </c>
      <c r="P2020" s="1817" t="s">
        <v>2443</v>
      </c>
      <c r="Q2020" s="1993"/>
      <c r="R2020" s="1844"/>
      <c r="S2020" s="1844"/>
    </row>
    <row r="2021" spans="1:19" s="1951" customFormat="1" ht="11.25" customHeight="1">
      <c r="A2021" s="1904"/>
      <c r="B2021" s="1969" t="s">
        <v>1938</v>
      </c>
      <c r="C2021" s="1945" t="s">
        <v>6800</v>
      </c>
      <c r="D2021" s="1945"/>
      <c r="E2021" s="1945" t="s">
        <v>4345</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6956</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1940</v>
      </c>
      <c r="C2023" s="1908" t="s">
        <v>6957</v>
      </c>
      <c r="D2023" s="1947"/>
      <c r="E2023" s="1945"/>
      <c r="F2023" s="449"/>
      <c r="G2023" s="449"/>
      <c r="N2023" s="1940"/>
      <c r="O2023" s="1817" t="s">
        <v>2443</v>
      </c>
      <c r="P2023" s="1817" t="s">
        <v>2443</v>
      </c>
    </row>
    <row r="2024" spans="1:19" s="449" customFormat="1" ht="10.5" customHeight="1">
      <c r="B2024" s="1940" t="s">
        <v>2371</v>
      </c>
      <c r="C2024" s="1908" t="s">
        <v>3749</v>
      </c>
      <c r="N2024" s="1940" t="s">
        <v>2371</v>
      </c>
      <c r="O2024" s="1229">
        <f>'Part IX Scoring Criteria'!O369</f>
        <v>0</v>
      </c>
      <c r="P2024" s="1229"/>
    </row>
    <row r="2025" spans="1:19" s="449" customFormat="1" ht="10.5" customHeight="1">
      <c r="B2025" s="1942" t="s">
        <v>2372</v>
      </c>
      <c r="C2025" s="1908" t="s">
        <v>3750</v>
      </c>
      <c r="N2025" s="1942" t="s">
        <v>2372</v>
      </c>
      <c r="O2025" s="1229">
        <f>'Part IX Scoring Criteria'!O370</f>
        <v>0</v>
      </c>
      <c r="P2025" s="1229"/>
    </row>
    <row r="2026" spans="1:19" s="449" customFormat="1" ht="10.5" customHeight="1">
      <c r="B2026" s="1940" t="s">
        <v>2373</v>
      </c>
      <c r="C2026" s="1908" t="s">
        <v>4578</v>
      </c>
      <c r="N2026" s="1940" t="s">
        <v>2373</v>
      </c>
      <c r="O2026" s="1229">
        <f>'Part IX Scoring Criteria'!O371</f>
        <v>0</v>
      </c>
      <c r="P2026" s="1229"/>
    </row>
    <row r="2027" spans="1:19" s="1945" customFormat="1" ht="11.25" customHeight="1">
      <c r="B2027" s="1911" t="s">
        <v>3454</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3566</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N/A The City of Montezuma is not a GICH community.</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1819</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3784</v>
      </c>
      <c r="B2034" s="1815" t="s">
        <v>3752</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6958</v>
      </c>
      <c r="E2035" s="1945"/>
      <c r="F2035" s="449"/>
      <c r="G2035" s="449"/>
      <c r="H2035" s="449"/>
      <c r="I2035" s="449"/>
      <c r="K2035" s="1229"/>
      <c r="L2035" s="1989"/>
      <c r="O2035" s="1229" t="s">
        <v>2443</v>
      </c>
      <c r="P2035" s="1229" t="s">
        <v>2443</v>
      </c>
    </row>
    <row r="2036" spans="1:20" s="1945" customFormat="1" ht="12.75" customHeight="1">
      <c r="B2036" s="1940" t="s">
        <v>2371</v>
      </c>
      <c r="C2036" s="449" t="s">
        <v>2729</v>
      </c>
      <c r="F2036" s="449"/>
      <c r="G2036" s="449"/>
      <c r="H2036" s="449"/>
      <c r="I2036" s="449"/>
      <c r="J2036" s="1951"/>
      <c r="K2036" s="1229"/>
      <c r="L2036" s="1936" t="str">
        <f>IF(OR(O2036="No",O2036="",O2037="No",O2037="",O2038="No",O2038="",O2039="No",O2039=""),"Unmet criterion results in no points!","")</f>
        <v/>
      </c>
      <c r="M2036" s="1936"/>
      <c r="N2036" s="1940" t="s">
        <v>2371</v>
      </c>
      <c r="O2036" s="1229">
        <f>'Part IX Scoring Criteria'!O381</f>
        <v>0</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2372</v>
      </c>
      <c r="C2037" s="449" t="s">
        <v>3614</v>
      </c>
      <c r="L2037" s="1936"/>
      <c r="M2037" s="1936"/>
      <c r="N2037" s="1940" t="s">
        <v>2372</v>
      </c>
      <c r="O2037" s="1229">
        <f>'Part IX Scoring Criteria'!O382</f>
        <v>0</v>
      </c>
      <c r="P2037" s="1229"/>
      <c r="R2037" s="1936"/>
      <c r="S2037" s="1936"/>
    </row>
    <row r="2038" spans="1:20" s="1945" customFormat="1" ht="12.75" customHeight="1">
      <c r="B2038" s="1940" t="s">
        <v>2373</v>
      </c>
      <c r="C2038" s="449" t="s">
        <v>3613</v>
      </c>
      <c r="L2038" s="1936"/>
      <c r="M2038" s="1936"/>
      <c r="N2038" s="1940" t="s">
        <v>2373</v>
      </c>
      <c r="O2038" s="1229">
        <f>'Part IX Scoring Criteria'!O383</f>
        <v>0</v>
      </c>
      <c r="P2038" s="1229"/>
      <c r="R2038" s="1936"/>
      <c r="S2038" s="1936"/>
    </row>
    <row r="2039" spans="1:20" s="1945" customFormat="1" ht="33.75" customHeight="1">
      <c r="B2039" s="1942" t="s">
        <v>2374</v>
      </c>
      <c r="C2039" s="1936" t="s">
        <v>4333</v>
      </c>
      <c r="D2039" s="1936"/>
      <c r="E2039" s="1936"/>
      <c r="F2039" s="1936"/>
      <c r="G2039" s="1936"/>
      <c r="H2039" s="1936"/>
      <c r="I2039" s="1936"/>
      <c r="J2039" s="1936"/>
      <c r="K2039" s="1936"/>
      <c r="L2039" s="1936"/>
      <c r="M2039" s="1936"/>
      <c r="N2039" s="1942" t="s">
        <v>2374</v>
      </c>
      <c r="O2039" s="1938">
        <f>'Part IX Scoring Criteria'!O384</f>
        <v>0</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1935</v>
      </c>
      <c r="B2041" s="1897" t="s">
        <v>3753</v>
      </c>
      <c r="L2041" s="1732" t="str">
        <f>IF(O2041&lt;=M2041,"","* * Check Score! * *")</f>
        <v/>
      </c>
      <c r="M2041" s="1732">
        <v>3</v>
      </c>
      <c r="N2041" s="1940" t="s">
        <v>1935</v>
      </c>
      <c r="O2041" s="1923">
        <f>'Part IX Scoring Criteria'!O386</f>
        <v>0</v>
      </c>
      <c r="P2041" s="1923"/>
      <c r="Q2041" s="1993" t="str">
        <f>IF(O2041&lt;=M2041,"","*CHECK!*")</f>
        <v/>
      </c>
      <c r="R2041" s="1819" t="s">
        <v>4765</v>
      </c>
      <c r="S2041" s="1819"/>
      <c r="T2041" s="1844"/>
    </row>
    <row r="2042" spans="1:20" ht="12.75" customHeight="1">
      <c r="A2042" s="2180"/>
      <c r="B2042" s="2172" t="s">
        <v>1938</v>
      </c>
      <c r="C2042" s="1936" t="s">
        <v>4336</v>
      </c>
      <c r="D2042" s="1936"/>
      <c r="E2042" s="1936"/>
      <c r="F2042" s="1936"/>
      <c r="G2042" s="1936"/>
      <c r="H2042" s="1936"/>
      <c r="I2042" s="1936"/>
      <c r="R2042" s="1819"/>
      <c r="S2042" s="1819"/>
      <c r="T2042" s="1844"/>
    </row>
    <row r="2043" spans="1:20" ht="12.75" customHeight="1">
      <c r="A2043" s="2180"/>
      <c r="B2043" s="1968"/>
      <c r="C2043" s="1936" t="s">
        <v>4335</v>
      </c>
      <c r="D2043" s="1936"/>
      <c r="E2043" s="1936"/>
      <c r="F2043" s="1936"/>
      <c r="G2043" s="1936"/>
      <c r="H2043" s="1936"/>
      <c r="I2043" s="1936"/>
      <c r="J2043" s="1945" t="s">
        <v>1942</v>
      </c>
      <c r="K2043" s="1945"/>
      <c r="M2043" s="1945" t="s">
        <v>1942</v>
      </c>
      <c r="N2043" s="1945"/>
      <c r="O2043" s="1945"/>
      <c r="P2043" s="1945"/>
      <c r="R2043" s="1819"/>
      <c r="S2043" s="1819"/>
      <c r="T2043" s="1844"/>
    </row>
    <row r="2044" spans="1:20" s="1951" customFormat="1" ht="12.75" customHeight="1">
      <c r="A2044" s="1948"/>
      <c r="B2044" s="1940" t="s">
        <v>2371</v>
      </c>
      <c r="C2044" s="449" t="s">
        <v>1451</v>
      </c>
      <c r="I2044" s="1940" t="s">
        <v>2371</v>
      </c>
      <c r="J2044" s="1917">
        <f>'Part IX Scoring Criteria'!J389</f>
        <v>0</v>
      </c>
      <c r="K2044" s="1917">
        <f>'Part IX Scoring Criteria'!K389</f>
        <v>0</v>
      </c>
      <c r="L2044" s="1940" t="s">
        <v>2371</v>
      </c>
      <c r="M2044" s="1917"/>
      <c r="N2044" s="1917"/>
      <c r="O2044" s="1917"/>
      <c r="P2044" s="1917"/>
      <c r="R2044" s="1732"/>
    </row>
    <row r="2045" spans="1:20" ht="12.75" customHeight="1">
      <c r="A2045" s="1930"/>
      <c r="B2045" s="1942" t="s">
        <v>2372</v>
      </c>
      <c r="C2045" s="449" t="s">
        <v>3456</v>
      </c>
      <c r="I2045" s="1942" t="s">
        <v>2372</v>
      </c>
      <c r="J2045" s="1917">
        <f>'Part IX Scoring Criteria'!J390</f>
        <v>0</v>
      </c>
      <c r="K2045" s="1917">
        <f>'Part IX Scoring Criteria'!K390</f>
        <v>0</v>
      </c>
      <c r="L2045" s="1942" t="s">
        <v>2372</v>
      </c>
      <c r="M2045" s="1917"/>
      <c r="N2045" s="1917"/>
      <c r="O2045" s="1917"/>
      <c r="P2045" s="1917"/>
      <c r="R2045" s="1732"/>
    </row>
    <row r="2046" spans="1:20" ht="12.75" customHeight="1">
      <c r="B2046" s="1940" t="s">
        <v>2373</v>
      </c>
      <c r="C2046" s="449" t="s">
        <v>4579</v>
      </c>
      <c r="I2046" s="1940" t="s">
        <v>2373</v>
      </c>
      <c r="J2046" s="1917">
        <f>'Part IX Scoring Criteria'!J391</f>
        <v>0</v>
      </c>
      <c r="K2046" s="1917">
        <f>'Part IX Scoring Criteria'!K391</f>
        <v>0</v>
      </c>
      <c r="L2046" s="1940" t="s">
        <v>2373</v>
      </c>
      <c r="M2046" s="1917"/>
      <c r="N2046" s="1917"/>
      <c r="O2046" s="1917"/>
      <c r="P2046" s="1917"/>
      <c r="R2046" s="1732"/>
    </row>
    <row r="2047" spans="1:20" ht="12.75" customHeight="1">
      <c r="A2047" s="1930"/>
      <c r="B2047" s="1940" t="s">
        <v>2374</v>
      </c>
      <c r="C2047" s="449" t="s">
        <v>3343</v>
      </c>
      <c r="I2047" s="1940" t="s">
        <v>2374</v>
      </c>
      <c r="J2047" s="1917">
        <f>'Part IX Scoring Criteria'!J392</f>
        <v>0</v>
      </c>
      <c r="K2047" s="1917">
        <f>'Part IX Scoring Criteria'!K392</f>
        <v>0</v>
      </c>
      <c r="L2047" s="1940" t="s">
        <v>2374</v>
      </c>
      <c r="M2047" s="1917"/>
      <c r="N2047" s="1917"/>
      <c r="O2047" s="1917"/>
      <c r="P2047" s="1917"/>
      <c r="R2047" s="1732"/>
    </row>
    <row r="2048" spans="1:20" s="1951" customFormat="1" ht="12.75" customHeight="1">
      <c r="A2048" s="1948"/>
      <c r="B2048" s="1942" t="s">
        <v>2375</v>
      </c>
      <c r="C2048" s="449" t="s">
        <v>2646</v>
      </c>
      <c r="I2048" s="1942" t="s">
        <v>2375</v>
      </c>
      <c r="J2048" s="1917">
        <f>'Part IX Scoring Criteria'!J393</f>
        <v>0</v>
      </c>
      <c r="K2048" s="1917">
        <f>'Part IX Scoring Criteria'!K393</f>
        <v>0</v>
      </c>
      <c r="L2048" s="1942" t="s">
        <v>2375</v>
      </c>
      <c r="M2048" s="1917"/>
      <c r="N2048" s="1917"/>
      <c r="O2048" s="1917"/>
      <c r="P2048" s="1917"/>
      <c r="R2048" s="1732"/>
    </row>
    <row r="2049" spans="1:23" ht="12.75" customHeight="1">
      <c r="B2049" s="1940" t="s">
        <v>2391</v>
      </c>
      <c r="C2049" s="449" t="s">
        <v>1450</v>
      </c>
      <c r="I2049" s="1940" t="s">
        <v>2391</v>
      </c>
      <c r="J2049" s="1917">
        <f>'Part IX Scoring Criteria'!J394</f>
        <v>0</v>
      </c>
      <c r="K2049" s="1917">
        <f>'Part IX Scoring Criteria'!K394</f>
        <v>0</v>
      </c>
      <c r="L2049" s="1940" t="s">
        <v>2391</v>
      </c>
      <c r="M2049" s="1917"/>
      <c r="N2049" s="1917"/>
      <c r="O2049" s="1917"/>
      <c r="P2049" s="1917"/>
      <c r="R2049" s="1732"/>
    </row>
    <row r="2050" spans="1:23" ht="12.75" customHeight="1">
      <c r="A2050" s="1930"/>
      <c r="B2050" s="1940" t="s">
        <v>2392</v>
      </c>
      <c r="C2050" s="449" t="s">
        <v>3455</v>
      </c>
      <c r="I2050" s="1940" t="s">
        <v>2392</v>
      </c>
      <c r="J2050" s="1917">
        <f>'Part IX Scoring Criteria'!J395</f>
        <v>0</v>
      </c>
      <c r="K2050" s="1917">
        <f>'Part IX Scoring Criteria'!K395</f>
        <v>0</v>
      </c>
      <c r="L2050" s="1940" t="s">
        <v>2392</v>
      </c>
      <c r="M2050" s="1917"/>
      <c r="N2050" s="1917"/>
      <c r="O2050" s="1917"/>
      <c r="P2050" s="1917"/>
      <c r="R2050" s="1732"/>
    </row>
    <row r="2051" spans="1:23" ht="12.75" customHeight="1">
      <c r="B2051" s="1940" t="s">
        <v>2393</v>
      </c>
      <c r="C2051" s="449" t="s">
        <v>6811</v>
      </c>
      <c r="I2051" s="1940" t="s">
        <v>2393</v>
      </c>
      <c r="J2051" s="1917">
        <f>'Part IX Scoring Criteria'!J396</f>
        <v>0</v>
      </c>
      <c r="K2051" s="1917">
        <f>'Part IX Scoring Criteria'!K396</f>
        <v>0</v>
      </c>
      <c r="L2051" s="1940" t="s">
        <v>2393</v>
      </c>
      <c r="M2051" s="1917"/>
      <c r="N2051" s="1917"/>
      <c r="O2051" s="1917"/>
      <c r="P2051" s="1917"/>
      <c r="R2051" s="1732"/>
    </row>
    <row r="2052" spans="1:23" ht="12.75" customHeight="1">
      <c r="B2052" s="1940" t="s">
        <v>2394</v>
      </c>
      <c r="C2052" s="449" t="s">
        <v>4338</v>
      </c>
      <c r="I2052" s="1940" t="s">
        <v>2394</v>
      </c>
      <c r="J2052" s="1917">
        <f>'Part IX Scoring Criteria'!J397</f>
        <v>0</v>
      </c>
      <c r="K2052" s="1917">
        <f>'Part IX Scoring Criteria'!K397</f>
        <v>0</v>
      </c>
      <c r="L2052" s="1940" t="s">
        <v>2394</v>
      </c>
      <c r="M2052" s="1917"/>
      <c r="N2052" s="1917"/>
      <c r="O2052" s="1917"/>
      <c r="P2052" s="1917"/>
      <c r="R2052" s="1732"/>
    </row>
    <row r="2053" spans="1:23" ht="12.75" customHeight="1">
      <c r="B2053" s="1940" t="s">
        <v>3457</v>
      </c>
      <c r="C2053" s="449" t="s">
        <v>4339</v>
      </c>
      <c r="I2053" s="1940" t="s">
        <v>3457</v>
      </c>
      <c r="J2053" s="1917">
        <f>'Part IX Scoring Criteria'!J398</f>
        <v>0</v>
      </c>
      <c r="K2053" s="1917">
        <f>'Part IX Scoring Criteria'!K398</f>
        <v>0</v>
      </c>
      <c r="L2053" s="1940" t="s">
        <v>3457</v>
      </c>
      <c r="M2053" s="1917"/>
      <c r="N2053" s="1917"/>
      <c r="O2053" s="1917"/>
      <c r="P2053" s="1917"/>
      <c r="R2053" s="1732"/>
    </row>
    <row r="2054" spans="1:23" ht="12.75" customHeight="1">
      <c r="B2054" s="1990" t="s">
        <v>6893</v>
      </c>
      <c r="H2054" s="1908" t="s">
        <v>2558</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1940</v>
      </c>
      <c r="C2056" s="1918" t="s">
        <v>2557</v>
      </c>
      <c r="M2056" s="1819"/>
      <c r="N2056" s="1819"/>
      <c r="P2056" s="1819"/>
    </row>
    <row r="2057" spans="1:23" s="1951" customFormat="1" ht="12" customHeight="1">
      <c r="A2057" s="1815"/>
      <c r="C2057" s="1822" t="s">
        <v>6914</v>
      </c>
      <c r="D2057" s="1822"/>
      <c r="E2057" s="1822"/>
      <c r="F2057" s="1908" t="s">
        <v>4371</v>
      </c>
      <c r="H2057" s="1995"/>
      <c r="I2057" s="1926">
        <f>'Part IX Scoring Criteria'!I402</f>
        <v>0</v>
      </c>
      <c r="J2057" s="1917">
        <f>'Part IV-A-Uses of Funds'!$G$132</f>
        <v>10856073</v>
      </c>
      <c r="K2057" s="1917"/>
      <c r="L2057" s="1822"/>
      <c r="M2057" s="1819"/>
      <c r="N2057" s="1819"/>
      <c r="O2057" s="2181"/>
      <c r="P2057" s="1819"/>
    </row>
    <row r="2058" spans="1:23" ht="12.75" customHeight="1">
      <c r="C2058" s="1822"/>
      <c r="D2058" s="1822"/>
      <c r="E2058" s="1822"/>
      <c r="F2058" s="1944" t="s">
        <v>4370</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4369</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1937</v>
      </c>
      <c r="B2061" s="1911" t="s">
        <v>3458</v>
      </c>
      <c r="D2061" s="449"/>
      <c r="E2061" s="449"/>
      <c r="F2061" s="1896"/>
      <c r="H2061" s="449"/>
      <c r="I2061" s="1896"/>
      <c r="J2061" s="1908"/>
      <c r="K2061" s="1908"/>
      <c r="L2061" s="1732" t="str">
        <f>IF(OR($O2061=$M2061,$O2061=0,$O2061=""),"","* * Check Score! * *")</f>
        <v/>
      </c>
      <c r="M2061" s="1732">
        <v>1</v>
      </c>
      <c r="N2061" s="1940" t="s">
        <v>1937</v>
      </c>
      <c r="O2061" s="1923">
        <f>'Part IX Scoring Criteria'!O406</f>
        <v>0</v>
      </c>
      <c r="P2061" s="1923">
        <f>'Part IX Scoring Criteria'!P406</f>
        <v>0</v>
      </c>
      <c r="Q2061" s="1896" t="s">
        <v>433</v>
      </c>
      <c r="R2061" s="1823" t="s">
        <v>4765</v>
      </c>
      <c r="V2061" s="2125"/>
      <c r="W2061" s="2125"/>
    </row>
    <row r="2062" spans="1:23" s="1951" customFormat="1" ht="22.5" customHeight="1">
      <c r="A2062" s="1904"/>
      <c r="B2062" s="1942" t="s">
        <v>2371</v>
      </c>
      <c r="C2062" s="1936" t="s">
        <v>3754</v>
      </c>
      <c r="D2062" s="1936"/>
      <c r="E2062" s="1936"/>
      <c r="F2062" s="1936"/>
      <c r="G2062" s="1936"/>
      <c r="H2062" s="1936"/>
      <c r="I2062" s="1936"/>
      <c r="J2062" s="1936"/>
      <c r="K2062" s="1936"/>
      <c r="L2062" s="1936"/>
      <c r="M2062" s="1936"/>
      <c r="N2062" s="1942" t="s">
        <v>2371</v>
      </c>
      <c r="O2062" s="1938">
        <f>'Part IX Scoring Criteria'!O407</f>
        <v>0</v>
      </c>
      <c r="P2062" s="1938"/>
      <c r="V2062" s="2125"/>
      <c r="W2062" s="2125"/>
    </row>
    <row r="2063" spans="1:23" s="1951" customFormat="1" ht="12.75" customHeight="1">
      <c r="A2063" s="1904"/>
      <c r="B2063" s="1940" t="s">
        <v>2372</v>
      </c>
      <c r="C2063" s="449" t="s">
        <v>3606</v>
      </c>
      <c r="D2063" s="449"/>
      <c r="E2063" s="449"/>
      <c r="F2063" s="449"/>
      <c r="G2063" s="449"/>
      <c r="H2063" s="449"/>
      <c r="I2063" s="449"/>
      <c r="J2063" s="449"/>
      <c r="K2063" s="449"/>
      <c r="M2063" s="449"/>
      <c r="N2063" s="1942" t="s">
        <v>2372</v>
      </c>
      <c r="O2063" s="1229">
        <f>'Part IX Scoring Criteria'!O408</f>
        <v>0</v>
      </c>
      <c r="P2063" s="1229"/>
      <c r="V2063" s="2125"/>
      <c r="W2063" s="2125"/>
    </row>
    <row r="2064" spans="1:23" ht="12.75" customHeight="1">
      <c r="B2064" s="1940" t="s">
        <v>2373</v>
      </c>
      <c r="C2064" s="1945" t="s">
        <v>4341</v>
      </c>
      <c r="N2064" s="1940" t="s">
        <v>2373</v>
      </c>
      <c r="O2064" s="1229">
        <f>'Part IX Scoring Criteria'!O409</f>
        <v>0</v>
      </c>
      <c r="P2064" s="1229"/>
    </row>
    <row r="2065" spans="1:19" ht="12" customHeight="1">
      <c r="B2065" s="449" t="s">
        <v>3566</v>
      </c>
      <c r="N2065" s="1874"/>
      <c r="O2065" s="1874"/>
      <c r="P2065" s="1874"/>
    </row>
    <row r="2066" spans="1:19" s="1951" customFormat="1" ht="21.75" customHeight="1">
      <c r="A2066" s="1936" t="str">
        <f>'Part IX Scoring Criteria'!A411</f>
        <v>N/A</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1819</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3782</v>
      </c>
      <c r="B2070" s="1815" t="s">
        <v>2639</v>
      </c>
      <c r="D2070" s="1908"/>
      <c r="G2070" s="1908" t="s">
        <v>3279</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3344</v>
      </c>
      <c r="D2072" s="449" t="str">
        <f>'Part IX Scoring Criteria'!D417</f>
        <v>&lt;Select applicable status&gt;</v>
      </c>
      <c r="E2072" s="449"/>
      <c r="F2072" s="449"/>
      <c r="G2072" s="449"/>
      <c r="H2072" s="449"/>
      <c r="I2072" s="449"/>
      <c r="J2072" s="1936" t="s">
        <v>2732</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1935</v>
      </c>
      <c r="B2074" s="449" t="s">
        <v>4580</v>
      </c>
      <c r="C2074" s="1936"/>
      <c r="D2074" s="1936"/>
      <c r="E2074" s="1936"/>
      <c r="F2074" s="1936"/>
      <c r="G2074" s="1936"/>
      <c r="H2074" s="1936"/>
      <c r="I2074" s="1936"/>
      <c r="M2074" s="1967">
        <v>2</v>
      </c>
      <c r="N2074" s="1942" t="s">
        <v>1935</v>
      </c>
      <c r="O2074" s="1923">
        <f>'Part IX Scoring Criteria'!O419</f>
        <v>0</v>
      </c>
      <c r="P2074" s="1923">
        <f>'Part IX Scoring Criteria'!P419</f>
        <v>0</v>
      </c>
      <c r="Q2074" s="1993" t="str">
        <f>IF(OR($O2074=$M2074,$O2074=0,$O2074=""),"","*CHECK!*")</f>
        <v/>
      </c>
      <c r="R2074" s="1823" t="s">
        <v>4765</v>
      </c>
    </row>
    <row r="2075" spans="1:19" s="1950" customFormat="1" ht="12" customHeight="1">
      <c r="A2075" s="1967"/>
      <c r="B2075" s="449" t="s">
        <v>6959</v>
      </c>
      <c r="C2075" s="449"/>
      <c r="D2075" s="449"/>
      <c r="E2075" s="449"/>
      <c r="F2075" s="449"/>
      <c r="G2075" s="449"/>
      <c r="H2075" s="449"/>
      <c r="I2075" s="449"/>
      <c r="J2075" s="449"/>
      <c r="K2075" s="449"/>
      <c r="L2075" s="449"/>
      <c r="M2075" s="1956" t="s">
        <v>6960</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2730</v>
      </c>
      <c r="N2077" s="1967"/>
      <c r="O2077" s="2127">
        <f>'Part VI-Revenues &amp; Expenses'!$P$67</f>
        <v>50</v>
      </c>
      <c r="P2077" s="2127"/>
      <c r="Q2077" s="1822"/>
    </row>
    <row r="2078" spans="1:19" s="1950" customFormat="1" ht="12" customHeight="1">
      <c r="B2078" s="449"/>
      <c r="C2078" s="449"/>
      <c r="D2078" s="449"/>
      <c r="E2078" s="449"/>
      <c r="F2078" s="449"/>
      <c r="G2078" s="449"/>
      <c r="H2078" s="449"/>
      <c r="I2078" s="449"/>
      <c r="J2078" s="449"/>
      <c r="K2078" s="449"/>
      <c r="L2078" s="449"/>
      <c r="M2078" s="1843" t="s">
        <v>2731</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6977</v>
      </c>
      <c r="B2081" s="1936" t="s">
        <v>4581</v>
      </c>
      <c r="C2081" s="1936"/>
      <c r="H2081" s="1936"/>
      <c r="M2081" s="1967">
        <v>2</v>
      </c>
      <c r="N2081" s="1942" t="s">
        <v>1937</v>
      </c>
      <c r="O2081" s="1923">
        <f>'Part IX Scoring Criteria'!O426</f>
        <v>0</v>
      </c>
      <c r="P2081" s="1923">
        <f>'Part IX Scoring Criteria'!P426</f>
        <v>0</v>
      </c>
      <c r="Q2081" s="1993" t="str">
        <f>IF(OR($O2081=$M2081,$O2081=0,$O2081=""),"","*CHECK!*")</f>
        <v/>
      </c>
      <c r="R2081" s="1823" t="s">
        <v>4765</v>
      </c>
    </row>
    <row r="2082" spans="1:18" s="1950" customFormat="1" ht="11.25" customHeight="1">
      <c r="A2082" s="2184"/>
      <c r="B2082" s="1936" t="s">
        <v>6894</v>
      </c>
      <c r="C2082" s="1936"/>
      <c r="D2082" s="1936"/>
      <c r="E2082" s="1936"/>
      <c r="F2082" s="1936"/>
      <c r="G2082" s="1936"/>
      <c r="H2082" s="1936"/>
      <c r="I2082" s="1936"/>
      <c r="J2082" s="1936"/>
      <c r="K2082" s="1936"/>
      <c r="L2082" s="1936"/>
      <c r="M2082" s="1955" t="s">
        <v>4343</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2730</v>
      </c>
      <c r="N2083" s="1967"/>
      <c r="O2083" s="2127">
        <f>'Part VI-Revenues &amp; Expenses'!$P$67</f>
        <v>50</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2731</v>
      </c>
      <c r="N2084" s="1967"/>
      <c r="O2084" s="2183">
        <f>IF(O2083=0,0,L2070/O2083)</f>
        <v>0</v>
      </c>
      <c r="P2084" s="2183"/>
      <c r="Q2084" s="1822"/>
    </row>
    <row r="2085" spans="1:18" s="1951" customFormat="1" ht="11.25" customHeight="1">
      <c r="A2085" s="1815"/>
      <c r="B2085" s="449" t="s">
        <v>3566</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N/A</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1819</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3785</v>
      </c>
      <c r="B2090" s="1815" t="s">
        <v>4716</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3483</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3484</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3485</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1819</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54</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3837</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3838</v>
      </c>
      <c r="J2100" s="1995"/>
      <c r="K2100" s="1995"/>
      <c r="L2100" s="1951"/>
      <c r="M2100" s="1995"/>
      <c r="N2100" s="1896"/>
      <c r="O2100" s="1958"/>
      <c r="P2100" s="1958">
        <f>P2001</f>
        <v>0</v>
      </c>
    </row>
    <row r="2101" spans="1:18" s="1951" customFormat="1" ht="11.25" customHeight="1">
      <c r="A2101" s="1815"/>
      <c r="D2101" s="449"/>
      <c r="E2101" s="449"/>
      <c r="F2101" s="1896"/>
      <c r="H2101" s="1897" t="s">
        <v>3840</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II – Deeper Targeting / Rent / Income Restrictions:  The applicant has selected the Income Averaging Set-aside and the overall property AMI for each affordable unit for the proposed development will be 58% and is eligible for two (2) Deeper Targeting points.
X. Mixed Income Development: The applicant has selected the Income Averaging Set-aside and will not offer any Market Rate units.
XIV – Extended Affordability Commitment: The owner is willing to forgo the Qualified Contract “cancellation option” after the close of the Compliance period. In addition, the Owner commits to provide first right refusal to a nonprofit organization or a local housing authority in accordance with DCA requirements.
XVIII -  Compliance / Performance: A pre-application was submitted at pre-application date and there have been no changes. All required documents regarding Certifying Entity related to capacity and performance have been included in the application.</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BcCal/ctIwpdruJLTd3++UIsEpOb4eBKjIJDXYEEGP1zahWOdrEBEQiLJmi1uiq1A+D/m9TGw9PrrEspQVo1Tw==" saltValue="nZuScpIFfNQCkldTamzKB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34" t="str">
        <f>CONCATENATE("PART TWO - DEVELOPMENT TEAM INFORMATION","  -  ",'Part I-Project Information'!$O$6," ",'Part I-Project Information'!$F$34,", ",'Part I-Project Information'!F38,", ",'Part I-Project Information'!J39," County")</f>
        <v>PART TWO - DEVELOPMENT TEAM INFORMATION  -  2020-079 Spring Creek Crossing, Montezuma, Macon County</v>
      </c>
      <c r="B1" s="2435"/>
      <c r="C1" s="2435"/>
      <c r="D1" s="2435"/>
      <c r="E1" s="2435"/>
      <c r="F1" s="2435"/>
      <c r="G1" s="2435"/>
      <c r="H1" s="2435"/>
      <c r="I1" s="2435"/>
      <c r="J1" s="2435"/>
      <c r="K1" s="2435"/>
      <c r="L1" s="2435"/>
      <c r="M1" s="2435"/>
      <c r="N1" s="2435"/>
      <c r="O1" s="2435"/>
      <c r="P1" s="2435"/>
      <c r="Q1" s="2435"/>
      <c r="R1" s="2435"/>
      <c r="S1" s="2436"/>
    </row>
    <row r="2" spans="1:27" ht="12" customHeight="1" thickBot="1">
      <c r="A2" s="912" t="s">
        <v>4093</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3892</v>
      </c>
      <c r="O3" s="2437" t="str">
        <f>'Part I-Project Information'!$B$6</f>
        <v>May 26, 2020 Version</v>
      </c>
      <c r="P3" s="2438"/>
      <c r="Q3" s="2438"/>
      <c r="R3" s="2438"/>
      <c r="S3" s="2439"/>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55" t="s">
        <v>7066</v>
      </c>
      <c r="I5" s="3656"/>
      <c r="J5" s="3656"/>
      <c r="K5" s="3656"/>
      <c r="L5" s="3656"/>
      <c r="M5" s="3656"/>
      <c r="N5" s="3657"/>
      <c r="O5" s="2348" t="s">
        <v>1941</v>
      </c>
      <c r="P5" s="2348"/>
      <c r="Q5" s="3655" t="s">
        <v>6988</v>
      </c>
      <c r="R5" s="3656"/>
      <c r="S5" s="3657"/>
      <c r="Y5" s="1016"/>
      <c r="Z5" s="1017"/>
      <c r="AA5" s="2353"/>
    </row>
    <row r="6" spans="1:27" s="293" customFormat="1" ht="11.25" customHeight="1">
      <c r="D6" s="331"/>
      <c r="E6" s="2345" t="s">
        <v>999</v>
      </c>
      <c r="F6" s="305"/>
      <c r="H6" s="3484" t="s">
        <v>6990</v>
      </c>
      <c r="I6" s="3658"/>
      <c r="J6" s="3658"/>
      <c r="K6" s="3659"/>
      <c r="L6" s="3658"/>
      <c r="M6" s="3658"/>
      <c r="N6" s="3660"/>
      <c r="O6" s="2348" t="s">
        <v>1704</v>
      </c>
      <c r="Q6" s="3505" t="s">
        <v>6989</v>
      </c>
      <c r="R6" s="3569"/>
      <c r="S6" s="3570"/>
      <c r="V6" s="1016"/>
      <c r="W6" s="1016"/>
      <c r="X6" s="1016"/>
      <c r="Y6" s="1016"/>
      <c r="Z6" s="1017"/>
      <c r="AA6" s="2353"/>
    </row>
    <row r="7" spans="1:27" s="293" customFormat="1" ht="11.25" customHeight="1">
      <c r="D7" s="331"/>
      <c r="E7" s="2345" t="s">
        <v>600</v>
      </c>
      <c r="H7" s="3484" t="s">
        <v>2022</v>
      </c>
      <c r="I7" s="3659"/>
      <c r="J7" s="3573"/>
      <c r="K7" s="3661" t="s">
        <v>744</v>
      </c>
      <c r="L7" s="3508"/>
      <c r="M7" s="3658"/>
      <c r="N7" s="3660"/>
      <c r="O7" s="2348" t="s">
        <v>1679</v>
      </c>
      <c r="Q7" s="3622">
        <v>3343210529</v>
      </c>
      <c r="R7" s="3623"/>
      <c r="S7" s="3624"/>
    </row>
    <row r="8" spans="1:27" s="293" customFormat="1" ht="11.25" customHeight="1">
      <c r="D8" s="331"/>
      <c r="E8" s="2345" t="s">
        <v>1754</v>
      </c>
      <c r="H8" s="3571" t="s">
        <v>818</v>
      </c>
      <c r="I8" s="1007" t="s">
        <v>2172</v>
      </c>
      <c r="J8" s="3662">
        <v>368304303</v>
      </c>
      <c r="K8" s="3663"/>
      <c r="L8" s="293" t="s">
        <v>3509</v>
      </c>
      <c r="M8" s="3664" t="s">
        <v>6996</v>
      </c>
      <c r="N8" s="3665"/>
      <c r="O8" s="2348" t="s">
        <v>1931</v>
      </c>
      <c r="Q8" s="3622">
        <v>3344440967</v>
      </c>
      <c r="R8" s="3623"/>
      <c r="S8" s="3624"/>
    </row>
    <row r="9" spans="1:27" s="293" customFormat="1" ht="11.25" customHeight="1">
      <c r="D9" s="331"/>
      <c r="E9" s="2345" t="s">
        <v>3893</v>
      </c>
      <c r="H9" s="3666">
        <v>3343210529</v>
      </c>
      <c r="I9" s="3667"/>
      <c r="J9" s="3668"/>
      <c r="K9" s="2356" t="s">
        <v>1936</v>
      </c>
      <c r="L9" s="3471" t="s">
        <v>6991</v>
      </c>
      <c r="M9" s="3584"/>
      <c r="N9" s="3584"/>
      <c r="O9" s="3472"/>
      <c r="P9" s="3472"/>
      <c r="Q9" s="3584"/>
      <c r="R9" s="3584"/>
      <c r="S9" s="3585"/>
    </row>
    <row r="10" spans="1:27" s="293" customFormat="1" ht="11.25" customHeight="1">
      <c r="D10" s="331"/>
      <c r="E10" s="1194" t="s">
        <v>3892</v>
      </c>
      <c r="H10" s="326"/>
      <c r="K10" s="268"/>
      <c r="N10" s="363" t="s">
        <v>3433</v>
      </c>
      <c r="Q10" s="2356"/>
    </row>
    <row r="11" spans="1:27" s="293" customFormat="1" ht="4.3499999999999996" customHeight="1">
      <c r="D11" s="332"/>
      <c r="E11" s="2345"/>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69" t="s">
        <v>1258</v>
      </c>
      <c r="W12" s="3669"/>
      <c r="X12" s="3669"/>
      <c r="Y12" s="3669"/>
      <c r="Z12" s="3669"/>
    </row>
    <row r="13" spans="1:27" s="293" customFormat="1" ht="11.25" customHeight="1">
      <c r="C13" s="333" t="s">
        <v>1938</v>
      </c>
      <c r="D13" s="330" t="s">
        <v>1939</v>
      </c>
      <c r="H13" s="2353"/>
      <c r="I13" s="2353"/>
      <c r="J13" s="2353"/>
      <c r="N13" s="1020"/>
      <c r="W13" s="3670"/>
      <c r="X13" s="3670"/>
      <c r="Y13" s="3670"/>
      <c r="Z13" s="3670"/>
    </row>
    <row r="14" spans="1:27" s="293" customFormat="1" ht="11.25" customHeight="1">
      <c r="D14" s="295" t="s">
        <v>2065</v>
      </c>
      <c r="E14" s="293" t="s">
        <v>1809</v>
      </c>
      <c r="H14" s="3655" t="s">
        <v>7122</v>
      </c>
      <c r="I14" s="3656"/>
      <c r="J14" s="3656"/>
      <c r="K14" s="3656"/>
      <c r="L14" s="3656"/>
      <c r="M14" s="3656"/>
      <c r="N14" s="3657"/>
      <c r="O14" s="2348" t="s">
        <v>1941</v>
      </c>
      <c r="P14" s="2348"/>
      <c r="Q14" s="3655" t="s">
        <v>6988</v>
      </c>
      <c r="R14" s="3656"/>
      <c r="S14" s="3657"/>
    </row>
    <row r="15" spans="1:27" s="293" customFormat="1" ht="11.25" customHeight="1">
      <c r="D15" s="331"/>
      <c r="E15" s="2345" t="s">
        <v>999</v>
      </c>
      <c r="F15" s="305"/>
      <c r="H15" s="3484" t="s">
        <v>6990</v>
      </c>
      <c r="I15" s="3658"/>
      <c r="J15" s="3658"/>
      <c r="K15" s="3659"/>
      <c r="L15" s="3658"/>
      <c r="M15" s="3658"/>
      <c r="N15" s="3660"/>
      <c r="O15" s="2348" t="s">
        <v>1704</v>
      </c>
      <c r="Q15" s="3505" t="s">
        <v>7028</v>
      </c>
      <c r="R15" s="3569"/>
      <c r="S15" s="3570"/>
    </row>
    <row r="16" spans="1:27" s="293" customFormat="1" ht="11.25" customHeight="1">
      <c r="D16" s="331"/>
      <c r="E16" s="2345" t="s">
        <v>600</v>
      </c>
      <c r="H16" s="3484" t="s">
        <v>2022</v>
      </c>
      <c r="I16" s="3659"/>
      <c r="J16" s="3573"/>
      <c r="K16" s="2362" t="s">
        <v>2624</v>
      </c>
      <c r="L16" s="3484"/>
      <c r="M16" s="3658"/>
      <c r="N16" s="3573"/>
      <c r="O16" s="2348" t="s">
        <v>1679</v>
      </c>
      <c r="Q16" s="3622">
        <v>3343210529</v>
      </c>
      <c r="R16" s="3623"/>
      <c r="S16" s="3624"/>
    </row>
    <row r="17" spans="3:19" s="293" customFormat="1" ht="11.25" customHeight="1">
      <c r="D17" s="295"/>
      <c r="E17" s="2345" t="s">
        <v>1754</v>
      </c>
      <c r="H17" s="3571" t="s">
        <v>818</v>
      </c>
      <c r="K17" s="1007" t="s">
        <v>2172</v>
      </c>
      <c r="L17" s="3491">
        <v>368304303</v>
      </c>
      <c r="M17" s="3671"/>
      <c r="O17" s="2348" t="s">
        <v>1931</v>
      </c>
      <c r="Q17" s="3622">
        <v>3344440967</v>
      </c>
      <c r="R17" s="3623"/>
      <c r="S17" s="3624"/>
    </row>
    <row r="18" spans="3:19" s="293" customFormat="1" ht="11.25" customHeight="1">
      <c r="D18" s="331"/>
      <c r="E18" s="2345" t="s">
        <v>3893</v>
      </c>
      <c r="H18" s="3666">
        <v>3343210529</v>
      </c>
      <c r="I18" s="3672"/>
      <c r="J18" s="3673"/>
      <c r="K18" s="2356" t="s">
        <v>1936</v>
      </c>
      <c r="L18" s="3625" t="s">
        <v>6991</v>
      </c>
      <c r="M18" s="3584"/>
      <c r="N18" s="3472"/>
      <c r="O18" s="3472"/>
      <c r="P18" s="3472"/>
      <c r="Q18" s="3584"/>
      <c r="R18" s="3584"/>
      <c r="S18" s="3585"/>
    </row>
    <row r="19" spans="3:19" ht="4.3499999999999996" customHeight="1">
      <c r="D19" s="319"/>
      <c r="H19" s="3674"/>
      <c r="I19" s="3674"/>
      <c r="J19" s="3674"/>
      <c r="K19" s="2356"/>
      <c r="L19" s="3674"/>
      <c r="M19" s="3674"/>
      <c r="N19" s="2350"/>
      <c r="O19" s="3675"/>
      <c r="P19" s="3675"/>
      <c r="Q19" s="2356"/>
      <c r="R19" s="3675"/>
      <c r="S19" s="3675"/>
    </row>
    <row r="20" spans="3:19" s="293" customFormat="1" ht="11.25" customHeight="1">
      <c r="D20" s="295" t="s">
        <v>2066</v>
      </c>
      <c r="E20" s="293" t="s">
        <v>1810</v>
      </c>
      <c r="F20" s="2353"/>
      <c r="H20" s="3655"/>
      <c r="I20" s="3656"/>
      <c r="J20" s="3656"/>
      <c r="K20" s="3656"/>
      <c r="L20" s="3656"/>
      <c r="M20" s="3656"/>
      <c r="N20" s="3657"/>
      <c r="O20" s="2348" t="s">
        <v>1941</v>
      </c>
      <c r="P20" s="2348"/>
      <c r="Q20" s="3655"/>
      <c r="R20" s="3656"/>
      <c r="S20" s="3657"/>
    </row>
    <row r="21" spans="3:19" s="293" customFormat="1" ht="11.25" customHeight="1">
      <c r="D21" s="331"/>
      <c r="E21" s="2345" t="s">
        <v>999</v>
      </c>
      <c r="F21" s="305"/>
      <c r="H21" s="3484"/>
      <c r="I21" s="3658"/>
      <c r="J21" s="3658"/>
      <c r="K21" s="3659"/>
      <c r="L21" s="3658"/>
      <c r="M21" s="3658"/>
      <c r="N21" s="3660"/>
      <c r="O21" s="2348" t="s">
        <v>1704</v>
      </c>
      <c r="Q21" s="3505"/>
      <c r="R21" s="3569"/>
      <c r="S21" s="3570"/>
    </row>
    <row r="22" spans="3:19" s="293" customFormat="1" ht="11.25" customHeight="1">
      <c r="D22" s="331"/>
      <c r="E22" s="2345" t="s">
        <v>600</v>
      </c>
      <c r="H22" s="3484"/>
      <c r="I22" s="3659"/>
      <c r="J22" s="3573"/>
      <c r="K22" s="2362" t="s">
        <v>2624</v>
      </c>
      <c r="L22" s="3484"/>
      <c r="M22" s="3658"/>
      <c r="N22" s="3573"/>
      <c r="O22" s="2348" t="s">
        <v>1679</v>
      </c>
      <c r="Q22" s="3622"/>
      <c r="R22" s="3623"/>
      <c r="S22" s="3624"/>
    </row>
    <row r="23" spans="3:19" s="293" customFormat="1" ht="11.25" customHeight="1">
      <c r="E23" s="2345" t="s">
        <v>1754</v>
      </c>
      <c r="H23" s="3571"/>
      <c r="K23" s="1007" t="s">
        <v>2172</v>
      </c>
      <c r="L23" s="3491"/>
      <c r="M23" s="3671"/>
      <c r="O23" s="2348" t="s">
        <v>1931</v>
      </c>
      <c r="Q23" s="3622"/>
      <c r="R23" s="3623"/>
      <c r="S23" s="3624"/>
    </row>
    <row r="24" spans="3:19" s="293" customFormat="1" ht="11.25" customHeight="1">
      <c r="D24" s="331"/>
      <c r="E24" s="2345" t="s">
        <v>3893</v>
      </c>
      <c r="H24" s="3666"/>
      <c r="I24" s="3672"/>
      <c r="J24" s="3673"/>
      <c r="K24" s="2356" t="s">
        <v>1936</v>
      </c>
      <c r="L24" s="3625"/>
      <c r="M24" s="3584"/>
      <c r="N24" s="3472"/>
      <c r="O24" s="3472"/>
      <c r="P24" s="3472"/>
      <c r="Q24" s="3584"/>
      <c r="R24" s="3584"/>
      <c r="S24" s="3585"/>
    </row>
    <row r="25" spans="3:19" s="293" customFormat="1" ht="4.3499999999999996" customHeight="1">
      <c r="D25" s="331"/>
      <c r="E25" s="2353"/>
      <c r="F25" s="2353"/>
      <c r="G25" s="2348"/>
      <c r="H25" s="3674"/>
      <c r="I25" s="3674"/>
      <c r="J25" s="3674"/>
      <c r="K25" s="2356"/>
      <c r="L25" s="3674"/>
      <c r="M25" s="3674"/>
      <c r="N25" s="2350"/>
      <c r="O25" s="3675"/>
      <c r="P25" s="3675"/>
      <c r="Q25" s="2356"/>
      <c r="R25" s="3675"/>
      <c r="S25" s="3675"/>
    </row>
    <row r="26" spans="3:19" s="293" customFormat="1" ht="11.25" customHeight="1">
      <c r="D26" s="295" t="s">
        <v>1691</v>
      </c>
      <c r="E26" s="293" t="s">
        <v>1810</v>
      </c>
      <c r="F26" s="2353"/>
      <c r="H26" s="3655"/>
      <c r="I26" s="3656"/>
      <c r="J26" s="3656"/>
      <c r="K26" s="3656"/>
      <c r="L26" s="3656"/>
      <c r="M26" s="3656"/>
      <c r="N26" s="3657"/>
      <c r="O26" s="2348" t="s">
        <v>1941</v>
      </c>
      <c r="P26" s="2348"/>
      <c r="Q26" s="3655"/>
      <c r="R26" s="3656"/>
      <c r="S26" s="3657"/>
    </row>
    <row r="27" spans="3:19" s="293" customFormat="1" ht="11.25" customHeight="1">
      <c r="D27" s="331"/>
      <c r="E27" s="2345" t="s">
        <v>999</v>
      </c>
      <c r="F27" s="305"/>
      <c r="H27" s="3484"/>
      <c r="I27" s="3658"/>
      <c r="J27" s="3658"/>
      <c r="K27" s="3659"/>
      <c r="L27" s="3658"/>
      <c r="M27" s="3658"/>
      <c r="N27" s="3660"/>
      <c r="O27" s="2348" t="s">
        <v>1704</v>
      </c>
      <c r="Q27" s="3505"/>
      <c r="R27" s="3569"/>
      <c r="S27" s="3570"/>
    </row>
    <row r="28" spans="3:19" s="293" customFormat="1" ht="11.25" customHeight="1">
      <c r="D28" s="331"/>
      <c r="E28" s="2345" t="s">
        <v>600</v>
      </c>
      <c r="H28" s="3484"/>
      <c r="I28" s="3659"/>
      <c r="J28" s="3573"/>
      <c r="K28" s="2362" t="s">
        <v>2624</v>
      </c>
      <c r="L28" s="3484"/>
      <c r="M28" s="3658"/>
      <c r="N28" s="3573"/>
      <c r="O28" s="2348" t="s">
        <v>1679</v>
      </c>
      <c r="Q28" s="3622"/>
      <c r="R28" s="3623"/>
      <c r="S28" s="3624"/>
    </row>
    <row r="29" spans="3:19" s="293" customFormat="1" ht="11.25" customHeight="1">
      <c r="E29" s="2345" t="s">
        <v>1754</v>
      </c>
      <c r="H29" s="3571"/>
      <c r="K29" s="1007" t="s">
        <v>2172</v>
      </c>
      <c r="L29" s="3491"/>
      <c r="M29" s="3671"/>
      <c r="O29" s="2348" t="s">
        <v>1931</v>
      </c>
      <c r="Q29" s="3622"/>
      <c r="R29" s="3623"/>
      <c r="S29" s="3624"/>
    </row>
    <row r="30" spans="3:19" s="293" customFormat="1" ht="11.25" customHeight="1">
      <c r="D30" s="331"/>
      <c r="E30" s="2345" t="s">
        <v>3893</v>
      </c>
      <c r="H30" s="3666"/>
      <c r="I30" s="3672"/>
      <c r="J30" s="3673"/>
      <c r="K30" s="2356" t="s">
        <v>1936</v>
      </c>
      <c r="L30" s="3625"/>
      <c r="M30" s="3584"/>
      <c r="N30" s="3472"/>
      <c r="O30" s="3472"/>
      <c r="P30" s="3472"/>
      <c r="Q30" s="3584"/>
      <c r="R30" s="3584"/>
      <c r="S30" s="3585"/>
    </row>
    <row r="31" spans="3:19" ht="4.3499999999999996" customHeight="1"/>
    <row r="32" spans="3:19" s="293" customFormat="1" ht="11.25" customHeight="1">
      <c r="C32" s="333" t="s">
        <v>1940</v>
      </c>
      <c r="D32" s="330" t="s">
        <v>1812</v>
      </c>
      <c r="H32" s="2353"/>
      <c r="I32" s="2353"/>
      <c r="J32" s="2353"/>
      <c r="K32" s="1194" t="s">
        <v>3892</v>
      </c>
      <c r="L32" s="2353"/>
      <c r="M32" s="2353"/>
    </row>
    <row r="33" spans="3:19" s="293" customFormat="1" ht="11.25" customHeight="1">
      <c r="D33" s="295" t="s">
        <v>2065</v>
      </c>
      <c r="E33" s="293" t="s">
        <v>732</v>
      </c>
      <c r="H33" s="3655" t="s">
        <v>6997</v>
      </c>
      <c r="I33" s="3656"/>
      <c r="J33" s="3656"/>
      <c r="K33" s="3656"/>
      <c r="L33" s="3656"/>
      <c r="M33" s="3656"/>
      <c r="N33" s="3657"/>
      <c r="O33" s="2348" t="s">
        <v>1941</v>
      </c>
      <c r="P33" s="2348"/>
      <c r="Q33" s="3655" t="s">
        <v>7001</v>
      </c>
      <c r="R33" s="3656"/>
      <c r="S33" s="3657"/>
    </row>
    <row r="34" spans="3:19" s="293" customFormat="1" ht="11.25" customHeight="1">
      <c r="D34" s="331"/>
      <c r="E34" s="2345" t="s">
        <v>999</v>
      </c>
      <c r="F34" s="305"/>
      <c r="H34" s="3484" t="s">
        <v>6998</v>
      </c>
      <c r="I34" s="3658"/>
      <c r="J34" s="3658"/>
      <c r="K34" s="3659"/>
      <c r="L34" s="3658"/>
      <c r="M34" s="3658"/>
      <c r="N34" s="3660"/>
      <c r="O34" s="2348" t="s">
        <v>1704</v>
      </c>
      <c r="Q34" s="3505" t="s">
        <v>7002</v>
      </c>
      <c r="R34" s="3569"/>
      <c r="S34" s="3570"/>
    </row>
    <row r="35" spans="3:19" s="293" customFormat="1" ht="11.25" customHeight="1">
      <c r="D35" s="331"/>
      <c r="E35" s="2345" t="s">
        <v>600</v>
      </c>
      <c r="H35" s="3484" t="s">
        <v>2461</v>
      </c>
      <c r="I35" s="3659"/>
      <c r="J35" s="3573"/>
      <c r="K35" s="2362" t="s">
        <v>2624</v>
      </c>
      <c r="L35" s="3484" t="s">
        <v>6999</v>
      </c>
      <c r="M35" s="3658"/>
      <c r="N35" s="3573"/>
      <c r="O35" s="2348" t="s">
        <v>1679</v>
      </c>
      <c r="Q35" s="3622">
        <v>5734432021</v>
      </c>
      <c r="R35" s="3623"/>
      <c r="S35" s="3624"/>
    </row>
    <row r="36" spans="3:19" s="293" customFormat="1" ht="11.25" customHeight="1">
      <c r="E36" s="2345" t="s">
        <v>1754</v>
      </c>
      <c r="H36" s="3571" t="s">
        <v>1314</v>
      </c>
      <c r="K36" s="1007" t="s">
        <v>2172</v>
      </c>
      <c r="L36" s="3491">
        <v>652034905</v>
      </c>
      <c r="M36" s="3671"/>
      <c r="O36" s="2348" t="s">
        <v>1931</v>
      </c>
      <c r="Q36" s="3622">
        <v>5734248811</v>
      </c>
      <c r="R36" s="3623"/>
      <c r="S36" s="3624"/>
    </row>
    <row r="37" spans="3:19" s="293" customFormat="1" ht="11.25" customHeight="1">
      <c r="D37" s="331"/>
      <c r="E37" s="2345" t="s">
        <v>3893</v>
      </c>
      <c r="H37" s="3666">
        <v>5734432021</v>
      </c>
      <c r="I37" s="3672"/>
      <c r="J37" s="3673"/>
      <c r="K37" s="2356" t="s">
        <v>1936</v>
      </c>
      <c r="L37" s="3625" t="s">
        <v>7000</v>
      </c>
      <c r="M37" s="3584"/>
      <c r="N37" s="3472"/>
      <c r="O37" s="3472"/>
      <c r="P37" s="3472"/>
      <c r="Q37" s="3584"/>
      <c r="R37" s="3584"/>
      <c r="S37" s="3585"/>
    </row>
    <row r="38" spans="3:19" ht="4.3499999999999996" customHeight="1">
      <c r="H38" s="3674"/>
      <c r="I38" s="3674"/>
      <c r="J38" s="3674"/>
      <c r="K38" s="2356"/>
      <c r="L38" s="3674"/>
      <c r="M38" s="3674"/>
      <c r="N38" s="2350"/>
      <c r="O38" s="3675"/>
      <c r="P38" s="3675"/>
      <c r="Q38" s="2356"/>
      <c r="R38" s="3675"/>
      <c r="S38" s="3675"/>
    </row>
    <row r="39" spans="3:19" s="293" customFormat="1" ht="11.25" customHeight="1">
      <c r="D39" s="295" t="s">
        <v>2066</v>
      </c>
      <c r="E39" s="293" t="s">
        <v>733</v>
      </c>
      <c r="F39" s="295"/>
      <c r="H39" s="3655" t="s">
        <v>6997</v>
      </c>
      <c r="I39" s="3656"/>
      <c r="J39" s="3656"/>
      <c r="K39" s="3656"/>
      <c r="L39" s="3656"/>
      <c r="M39" s="3656"/>
      <c r="N39" s="3657"/>
      <c r="O39" s="2348" t="s">
        <v>1941</v>
      </c>
      <c r="P39" s="2348"/>
      <c r="Q39" s="3655" t="s">
        <v>7001</v>
      </c>
      <c r="R39" s="3656"/>
      <c r="S39" s="3657"/>
    </row>
    <row r="40" spans="3:19" s="293" customFormat="1" ht="11.25" customHeight="1">
      <c r="D40" s="331"/>
      <c r="E40" s="2345" t="s">
        <v>999</v>
      </c>
      <c r="F40" s="305"/>
      <c r="H40" s="3484" t="s">
        <v>6998</v>
      </c>
      <c r="I40" s="3658"/>
      <c r="J40" s="3658"/>
      <c r="K40" s="3659"/>
      <c r="L40" s="3658"/>
      <c r="M40" s="3658"/>
      <c r="N40" s="3660"/>
      <c r="O40" s="2348" t="s">
        <v>1704</v>
      </c>
      <c r="Q40" s="3505" t="s">
        <v>7002</v>
      </c>
      <c r="R40" s="3569"/>
      <c r="S40" s="3570"/>
    </row>
    <row r="41" spans="3:19" s="293" customFormat="1" ht="11.25" customHeight="1">
      <c r="D41" s="331"/>
      <c r="E41" s="2345" t="s">
        <v>600</v>
      </c>
      <c r="H41" s="3484" t="s">
        <v>2461</v>
      </c>
      <c r="I41" s="3659"/>
      <c r="J41" s="3573"/>
      <c r="K41" s="2362" t="s">
        <v>2624</v>
      </c>
      <c r="L41" s="3484" t="s">
        <v>6999</v>
      </c>
      <c r="M41" s="3658"/>
      <c r="N41" s="3573"/>
      <c r="O41" s="2348" t="s">
        <v>1679</v>
      </c>
      <c r="Q41" s="3622">
        <v>5734432021</v>
      </c>
      <c r="R41" s="3623"/>
      <c r="S41" s="3624"/>
    </row>
    <row r="42" spans="3:19" s="293" customFormat="1" ht="11.25" customHeight="1">
      <c r="D42" s="295"/>
      <c r="E42" s="2345" t="s">
        <v>1754</v>
      </c>
      <c r="H42" s="3571" t="s">
        <v>1314</v>
      </c>
      <c r="K42" s="1007" t="s">
        <v>2172</v>
      </c>
      <c r="L42" s="3491">
        <v>652034905</v>
      </c>
      <c r="M42" s="3671"/>
      <c r="O42" s="2348" t="s">
        <v>1931</v>
      </c>
      <c r="Q42" s="3622">
        <v>5734248811</v>
      </c>
      <c r="R42" s="3623"/>
      <c r="S42" s="3624"/>
    </row>
    <row r="43" spans="3:19" s="293" customFormat="1" ht="11.25" customHeight="1">
      <c r="D43" s="331"/>
      <c r="E43" s="2345" t="s">
        <v>3893</v>
      </c>
      <c r="H43" s="3666">
        <v>5734432021</v>
      </c>
      <c r="I43" s="3672"/>
      <c r="J43" s="3673"/>
      <c r="K43" s="2356" t="s">
        <v>1936</v>
      </c>
      <c r="L43" s="3625" t="s">
        <v>7000</v>
      </c>
      <c r="M43" s="3584"/>
      <c r="N43" s="3472"/>
      <c r="O43" s="3472"/>
      <c r="P43" s="3472"/>
      <c r="Q43" s="3584"/>
      <c r="R43" s="3584"/>
      <c r="S43" s="3585"/>
    </row>
    <row r="44" spans="3:19" s="293" customFormat="1" ht="4.3499999999999996" customHeight="1">
      <c r="D44" s="331"/>
      <c r="E44" s="2345"/>
      <c r="F44" s="295"/>
      <c r="H44" s="326"/>
      <c r="I44" s="326"/>
      <c r="J44" s="3676"/>
      <c r="K44" s="2356"/>
      <c r="L44" s="326"/>
      <c r="M44" s="326"/>
      <c r="N44" s="2356"/>
      <c r="O44" s="326"/>
      <c r="P44" s="326"/>
      <c r="Q44" s="2356"/>
      <c r="R44" s="326"/>
      <c r="S44" s="326"/>
    </row>
    <row r="45" spans="3:19" s="293" customFormat="1" ht="11.25" customHeight="1">
      <c r="C45" s="334" t="s">
        <v>2467</v>
      </c>
      <c r="D45" s="330" t="s">
        <v>633</v>
      </c>
      <c r="H45" s="2353"/>
      <c r="I45" s="2353"/>
      <c r="J45" s="2353"/>
      <c r="K45" s="1194" t="s">
        <v>3892</v>
      </c>
      <c r="L45" s="2353"/>
      <c r="M45" s="2353"/>
    </row>
    <row r="46" spans="3:19" s="293" customFormat="1" ht="11.25" customHeight="1">
      <c r="E46" s="293" t="s">
        <v>90</v>
      </c>
      <c r="H46" s="3655"/>
      <c r="I46" s="3656"/>
      <c r="J46" s="3656"/>
      <c r="K46" s="3656"/>
      <c r="L46" s="3656"/>
      <c r="M46" s="3656"/>
      <c r="N46" s="3657"/>
      <c r="O46" s="2348" t="s">
        <v>1941</v>
      </c>
      <c r="P46" s="2348"/>
      <c r="Q46" s="3655"/>
      <c r="R46" s="3656"/>
      <c r="S46" s="3657"/>
    </row>
    <row r="47" spans="3:19" s="293" customFormat="1" ht="11.25" customHeight="1">
      <c r="D47" s="331"/>
      <c r="E47" s="2345" t="s">
        <v>999</v>
      </c>
      <c r="F47" s="305"/>
      <c r="H47" s="3484"/>
      <c r="I47" s="3658"/>
      <c r="J47" s="3658"/>
      <c r="K47" s="3659"/>
      <c r="L47" s="3658"/>
      <c r="M47" s="3658"/>
      <c r="N47" s="3660"/>
      <c r="O47" s="2348" t="s">
        <v>1704</v>
      </c>
      <c r="Q47" s="3505"/>
      <c r="R47" s="3569"/>
      <c r="S47" s="3570"/>
    </row>
    <row r="48" spans="3:19" s="293" customFormat="1" ht="11.25" customHeight="1">
      <c r="D48" s="331"/>
      <c r="E48" s="2345" t="s">
        <v>600</v>
      </c>
      <c r="H48" s="3484"/>
      <c r="I48" s="3659"/>
      <c r="J48" s="3573"/>
      <c r="K48" s="2362" t="s">
        <v>2624</v>
      </c>
      <c r="L48" s="3484"/>
      <c r="M48" s="3658"/>
      <c r="N48" s="3573"/>
      <c r="O48" s="2348" t="s">
        <v>1679</v>
      </c>
      <c r="Q48" s="3622"/>
      <c r="R48" s="3623"/>
      <c r="S48" s="3624"/>
    </row>
    <row r="49" spans="1:19" s="293" customFormat="1" ht="11.25" customHeight="1">
      <c r="E49" s="2345" t="s">
        <v>1754</v>
      </c>
      <c r="H49" s="3571"/>
      <c r="K49" s="1007" t="s">
        <v>2172</v>
      </c>
      <c r="L49" s="3491"/>
      <c r="M49" s="3671"/>
      <c r="O49" s="2348" t="s">
        <v>1931</v>
      </c>
      <c r="Q49" s="3622"/>
      <c r="R49" s="3623"/>
      <c r="S49" s="3624"/>
    </row>
    <row r="50" spans="1:19" s="293" customFormat="1" ht="11.25" customHeight="1">
      <c r="D50" s="331"/>
      <c r="E50" s="2345" t="s">
        <v>3893</v>
      </c>
      <c r="H50" s="3666"/>
      <c r="I50" s="3672"/>
      <c r="J50" s="3673"/>
      <c r="K50" s="2356" t="s">
        <v>1936</v>
      </c>
      <c r="L50" s="3625"/>
      <c r="M50" s="3584"/>
      <c r="N50" s="3472"/>
      <c r="O50" s="3472"/>
      <c r="P50" s="3472"/>
      <c r="Q50" s="3584"/>
      <c r="R50" s="3584"/>
      <c r="S50" s="3585"/>
    </row>
    <row r="51" spans="1:19" ht="6.75" customHeight="1"/>
    <row r="52" spans="1:19" s="293" customFormat="1" ht="13.35" customHeight="1">
      <c r="A52" s="295" t="s">
        <v>722</v>
      </c>
      <c r="B52" s="295" t="s">
        <v>634</v>
      </c>
      <c r="F52" s="295"/>
      <c r="G52" s="2356"/>
      <c r="H52" s="2356"/>
      <c r="I52" s="2356"/>
      <c r="J52" s="2353"/>
      <c r="K52" s="1194" t="s">
        <v>3892</v>
      </c>
      <c r="L52" s="2353"/>
      <c r="M52" s="2353"/>
      <c r="N52" s="2353"/>
      <c r="O52" s="2353"/>
      <c r="P52" s="2353"/>
      <c r="Q52" s="2353"/>
      <c r="R52" s="2353"/>
      <c r="S52" s="2353"/>
    </row>
    <row r="53" spans="1:19" s="293" customFormat="1" ht="3" customHeight="1">
      <c r="A53" s="295"/>
      <c r="B53" s="295"/>
      <c r="F53" s="295"/>
      <c r="G53" s="2356"/>
      <c r="H53" s="3677"/>
      <c r="I53" s="3677"/>
      <c r="J53" s="3677"/>
      <c r="K53" s="2350"/>
      <c r="L53" s="3677"/>
      <c r="M53" s="3677"/>
      <c r="N53" s="2350"/>
      <c r="O53" s="3675"/>
      <c r="P53" s="3675"/>
      <c r="Q53" s="2356"/>
      <c r="R53" s="3675"/>
      <c r="S53" s="3675"/>
    </row>
    <row r="54" spans="1:19" s="293" customFormat="1" ht="11.25" customHeight="1">
      <c r="B54" s="295" t="s">
        <v>1935</v>
      </c>
      <c r="C54" s="295" t="s">
        <v>277</v>
      </c>
      <c r="H54" s="3655" t="s">
        <v>6987</v>
      </c>
      <c r="I54" s="3656"/>
      <c r="J54" s="3656"/>
      <c r="K54" s="3656"/>
      <c r="L54" s="3656"/>
      <c r="M54" s="3656"/>
      <c r="N54" s="3657"/>
      <c r="O54" s="2348" t="s">
        <v>1941</v>
      </c>
      <c r="P54" s="2348"/>
      <c r="Q54" s="3655" t="s">
        <v>6988</v>
      </c>
      <c r="R54" s="3656"/>
      <c r="S54" s="3657"/>
    </row>
    <row r="55" spans="1:19" s="293" customFormat="1" ht="11.25" customHeight="1">
      <c r="D55" s="331"/>
      <c r="E55" s="2345" t="s">
        <v>999</v>
      </c>
      <c r="F55" s="305"/>
      <c r="H55" s="3484" t="s">
        <v>6990</v>
      </c>
      <c r="I55" s="3658"/>
      <c r="J55" s="3658"/>
      <c r="K55" s="3659"/>
      <c r="L55" s="3658"/>
      <c r="M55" s="3658"/>
      <c r="N55" s="3660"/>
      <c r="O55" s="2348" t="s">
        <v>1704</v>
      </c>
      <c r="Q55" s="3505" t="s">
        <v>7004</v>
      </c>
      <c r="R55" s="3569"/>
      <c r="S55" s="3570"/>
    </row>
    <row r="56" spans="1:19" s="293" customFormat="1" ht="11.25" customHeight="1">
      <c r="D56" s="331"/>
      <c r="E56" s="2345" t="s">
        <v>600</v>
      </c>
      <c r="H56" s="3484" t="s">
        <v>2022</v>
      </c>
      <c r="I56" s="3659"/>
      <c r="J56" s="3573"/>
      <c r="K56" s="2362" t="s">
        <v>2624</v>
      </c>
      <c r="L56" s="3484" t="s">
        <v>7003</v>
      </c>
      <c r="M56" s="3658"/>
      <c r="N56" s="3573"/>
      <c r="O56" s="2348" t="s">
        <v>1679</v>
      </c>
      <c r="Q56" s="3622">
        <v>3343210529</v>
      </c>
      <c r="R56" s="3623"/>
      <c r="S56" s="3624"/>
    </row>
    <row r="57" spans="1:19" s="293" customFormat="1" ht="11.25" customHeight="1">
      <c r="E57" s="2345" t="s">
        <v>1754</v>
      </c>
      <c r="H57" s="3571" t="s">
        <v>818</v>
      </c>
      <c r="K57" s="1007" t="s">
        <v>2172</v>
      </c>
      <c r="L57" s="3491">
        <v>368304303</v>
      </c>
      <c r="M57" s="3671"/>
      <c r="O57" s="2348" t="s">
        <v>1931</v>
      </c>
      <c r="Q57" s="3622">
        <v>3344440967</v>
      </c>
      <c r="R57" s="3623"/>
      <c r="S57" s="3624"/>
    </row>
    <row r="58" spans="1:19" s="293" customFormat="1" ht="11.25" customHeight="1">
      <c r="D58" s="331"/>
      <c r="E58" s="2345" t="s">
        <v>3893</v>
      </c>
      <c r="H58" s="3666">
        <v>3343210529</v>
      </c>
      <c r="I58" s="3672"/>
      <c r="J58" s="3673"/>
      <c r="K58" s="2356" t="s">
        <v>1936</v>
      </c>
      <c r="L58" s="3625" t="s">
        <v>6991</v>
      </c>
      <c r="M58" s="3584"/>
      <c r="N58" s="3472"/>
      <c r="O58" s="3472"/>
      <c r="P58" s="3472"/>
      <c r="Q58" s="3584"/>
      <c r="R58" s="3584"/>
      <c r="S58" s="3585"/>
    </row>
    <row r="59" spans="1:19" s="293" customFormat="1" ht="6.6" customHeight="1">
      <c r="D59" s="331"/>
      <c r="E59" s="2353"/>
      <c r="F59" s="2353"/>
      <c r="G59" s="2348"/>
      <c r="H59" s="3674"/>
      <c r="I59" s="3674"/>
      <c r="J59" s="3674"/>
      <c r="K59" s="2356"/>
      <c r="L59" s="3674"/>
      <c r="M59" s="3674"/>
      <c r="N59" s="2350"/>
      <c r="O59" s="3675"/>
      <c r="P59" s="3675"/>
      <c r="Q59" s="2356"/>
      <c r="R59" s="3675"/>
      <c r="S59" s="3675"/>
    </row>
    <row r="60" spans="1:19" s="293" customFormat="1" ht="11.25" customHeight="1">
      <c r="B60" s="295" t="s">
        <v>1937</v>
      </c>
      <c r="C60" s="295" t="s">
        <v>278</v>
      </c>
      <c r="H60" s="3655"/>
      <c r="I60" s="3656"/>
      <c r="J60" s="3656"/>
      <c r="K60" s="3656"/>
      <c r="L60" s="3656"/>
      <c r="M60" s="3656"/>
      <c r="N60" s="3657"/>
      <c r="O60" s="2348" t="s">
        <v>1941</v>
      </c>
      <c r="P60" s="2348"/>
      <c r="Q60" s="3655"/>
      <c r="R60" s="3656"/>
      <c r="S60" s="3657"/>
    </row>
    <row r="61" spans="1:19" s="293" customFormat="1" ht="11.25" customHeight="1">
      <c r="D61" s="331"/>
      <c r="E61" s="2345" t="s">
        <v>999</v>
      </c>
      <c r="F61" s="305"/>
      <c r="H61" s="3484"/>
      <c r="I61" s="3658"/>
      <c r="J61" s="3658"/>
      <c r="K61" s="3659"/>
      <c r="L61" s="3658"/>
      <c r="M61" s="3658"/>
      <c r="N61" s="3660"/>
      <c r="O61" s="2348" t="s">
        <v>1704</v>
      </c>
      <c r="Q61" s="3505"/>
      <c r="R61" s="3569"/>
      <c r="S61" s="3570"/>
    </row>
    <row r="62" spans="1:19" s="293" customFormat="1" ht="11.25" customHeight="1">
      <c r="D62" s="331"/>
      <c r="E62" s="2345" t="s">
        <v>600</v>
      </c>
      <c r="H62" s="3484"/>
      <c r="I62" s="3659"/>
      <c r="J62" s="3573"/>
      <c r="K62" s="2362" t="s">
        <v>2624</v>
      </c>
      <c r="L62" s="3484"/>
      <c r="M62" s="3658"/>
      <c r="N62" s="3573"/>
      <c r="O62" s="2348" t="s">
        <v>1679</v>
      </c>
      <c r="Q62" s="3622"/>
      <c r="R62" s="3623"/>
      <c r="S62" s="3624"/>
    </row>
    <row r="63" spans="1:19" s="293" customFormat="1" ht="11.25" customHeight="1">
      <c r="E63" s="2345" t="s">
        <v>1754</v>
      </c>
      <c r="H63" s="3571"/>
      <c r="K63" s="1007" t="s">
        <v>2172</v>
      </c>
      <c r="L63" s="3491"/>
      <c r="M63" s="3671"/>
      <c r="O63" s="2348" t="s">
        <v>1931</v>
      </c>
      <c r="Q63" s="3622"/>
      <c r="R63" s="3623"/>
      <c r="S63" s="3624"/>
    </row>
    <row r="64" spans="1:19" s="293" customFormat="1" ht="11.25" customHeight="1">
      <c r="D64" s="331"/>
      <c r="E64" s="2345" t="s">
        <v>3893</v>
      </c>
      <c r="H64" s="3666"/>
      <c r="I64" s="3672"/>
      <c r="J64" s="3673"/>
      <c r="K64" s="2356" t="s">
        <v>1936</v>
      </c>
      <c r="L64" s="3625"/>
      <c r="M64" s="3584"/>
      <c r="N64" s="3472"/>
      <c r="O64" s="3472"/>
      <c r="P64" s="3472"/>
      <c r="Q64" s="3584"/>
      <c r="R64" s="3584"/>
      <c r="S64" s="3585"/>
    </row>
    <row r="65" spans="1:19" s="293" customFormat="1" ht="6.6" customHeight="1">
      <c r="D65" s="331"/>
      <c r="E65" s="2353"/>
      <c r="F65" s="2353"/>
      <c r="G65" s="2348"/>
      <c r="H65" s="3674"/>
      <c r="I65" s="3674"/>
      <c r="J65" s="3674"/>
      <c r="K65" s="2356"/>
      <c r="L65" s="3674"/>
      <c r="M65" s="3674"/>
      <c r="N65" s="2350"/>
      <c r="O65" s="3675"/>
      <c r="P65" s="3675"/>
      <c r="Q65" s="2356"/>
      <c r="R65" s="3675"/>
      <c r="S65" s="3675"/>
    </row>
    <row r="66" spans="1:19" s="293" customFormat="1" ht="11.25" customHeight="1">
      <c r="B66" s="295" t="s">
        <v>731</v>
      </c>
      <c r="C66" s="295" t="s">
        <v>1496</v>
      </c>
      <c r="H66" s="3655"/>
      <c r="I66" s="3656"/>
      <c r="J66" s="3656"/>
      <c r="K66" s="3656"/>
      <c r="L66" s="3656"/>
      <c r="M66" s="3656"/>
      <c r="N66" s="3657"/>
      <c r="O66" s="2348" t="s">
        <v>1941</v>
      </c>
      <c r="P66" s="2348"/>
      <c r="Q66" s="3655"/>
      <c r="R66" s="3656"/>
      <c r="S66" s="3657"/>
    </row>
    <row r="67" spans="1:19" s="293" customFormat="1" ht="11.25" customHeight="1">
      <c r="D67" s="331"/>
      <c r="E67" s="2345" t="s">
        <v>999</v>
      </c>
      <c r="F67" s="305"/>
      <c r="H67" s="3484"/>
      <c r="I67" s="3658"/>
      <c r="J67" s="3658"/>
      <c r="K67" s="3659"/>
      <c r="L67" s="3658"/>
      <c r="M67" s="3658"/>
      <c r="N67" s="3660"/>
      <c r="O67" s="2348" t="s">
        <v>1704</v>
      </c>
      <c r="Q67" s="3505"/>
      <c r="R67" s="3569"/>
      <c r="S67" s="3570"/>
    </row>
    <row r="68" spans="1:19" s="293" customFormat="1" ht="11.25" customHeight="1">
      <c r="D68" s="331"/>
      <c r="E68" s="2345" t="s">
        <v>600</v>
      </c>
      <c r="H68" s="3484"/>
      <c r="I68" s="3659"/>
      <c r="J68" s="3573"/>
      <c r="K68" s="2362" t="s">
        <v>2624</v>
      </c>
      <c r="L68" s="3484"/>
      <c r="M68" s="3658"/>
      <c r="N68" s="3573"/>
      <c r="O68" s="2348" t="s">
        <v>1679</v>
      </c>
      <c r="Q68" s="3622"/>
      <c r="R68" s="3623"/>
      <c r="S68" s="3624"/>
    </row>
    <row r="69" spans="1:19" s="293" customFormat="1" ht="11.25" customHeight="1">
      <c r="E69" s="2345" t="s">
        <v>1754</v>
      </c>
      <c r="H69" s="3571"/>
      <c r="K69" s="1007" t="s">
        <v>2172</v>
      </c>
      <c r="L69" s="3491"/>
      <c r="M69" s="3671"/>
      <c r="O69" s="2348" t="s">
        <v>1931</v>
      </c>
      <c r="Q69" s="3622"/>
      <c r="R69" s="3623"/>
      <c r="S69" s="3624"/>
    </row>
    <row r="70" spans="1:19" s="293" customFormat="1" ht="11.25" customHeight="1">
      <c r="D70" s="331"/>
      <c r="E70" s="2345" t="s">
        <v>3893</v>
      </c>
      <c r="H70" s="3666"/>
      <c r="I70" s="3672"/>
      <c r="J70" s="3673"/>
      <c r="K70" s="2356" t="s">
        <v>1936</v>
      </c>
      <c r="L70" s="3625"/>
      <c r="M70" s="3584"/>
      <c r="N70" s="3472"/>
      <c r="O70" s="3472"/>
      <c r="P70" s="3472"/>
      <c r="Q70" s="3584"/>
      <c r="R70" s="3584"/>
      <c r="S70" s="3585"/>
    </row>
    <row r="71" spans="1:19" ht="6.6" customHeight="1">
      <c r="H71" s="3674"/>
      <c r="I71" s="3674"/>
      <c r="J71" s="3674"/>
      <c r="K71" s="2356"/>
      <c r="L71" s="3674"/>
      <c r="M71" s="3674"/>
      <c r="N71" s="2350"/>
      <c r="O71" s="3675"/>
      <c r="P71" s="3675"/>
      <c r="Q71" s="2356"/>
      <c r="R71" s="3675"/>
      <c r="S71" s="3675"/>
    </row>
    <row r="72" spans="1:19" s="293" customFormat="1" ht="11.25" customHeight="1">
      <c r="B72" s="295" t="s">
        <v>2064</v>
      </c>
      <c r="C72" s="295" t="s">
        <v>279</v>
      </c>
      <c r="H72" s="3655"/>
      <c r="I72" s="3656"/>
      <c r="J72" s="3656"/>
      <c r="K72" s="3656"/>
      <c r="L72" s="3656"/>
      <c r="M72" s="3656"/>
      <c r="N72" s="3657"/>
      <c r="O72" s="2348" t="s">
        <v>1941</v>
      </c>
      <c r="P72" s="2348"/>
      <c r="Q72" s="3655"/>
      <c r="R72" s="3656"/>
      <c r="S72" s="3657"/>
    </row>
    <row r="73" spans="1:19" s="293" customFormat="1" ht="11.25" customHeight="1">
      <c r="D73" s="331"/>
      <c r="E73" s="2345" t="s">
        <v>999</v>
      </c>
      <c r="F73" s="305"/>
      <c r="H73" s="3484"/>
      <c r="I73" s="3658"/>
      <c r="J73" s="3658"/>
      <c r="K73" s="3659"/>
      <c r="L73" s="3658"/>
      <c r="M73" s="3658"/>
      <c r="N73" s="3660"/>
      <c r="O73" s="2348" t="s">
        <v>1704</v>
      </c>
      <c r="Q73" s="3505"/>
      <c r="R73" s="3569"/>
      <c r="S73" s="3570"/>
    </row>
    <row r="74" spans="1:19" s="293" customFormat="1" ht="11.25" customHeight="1">
      <c r="D74" s="331"/>
      <c r="E74" s="2345" t="s">
        <v>600</v>
      </c>
      <c r="H74" s="3484"/>
      <c r="I74" s="3659"/>
      <c r="J74" s="3573"/>
      <c r="K74" s="2362" t="s">
        <v>2624</v>
      </c>
      <c r="L74" s="3484"/>
      <c r="M74" s="3658"/>
      <c r="N74" s="3573"/>
      <c r="O74" s="2348" t="s">
        <v>1679</v>
      </c>
      <c r="Q74" s="3622"/>
      <c r="R74" s="3623"/>
      <c r="S74" s="3624"/>
    </row>
    <row r="75" spans="1:19" s="293" customFormat="1" ht="11.25" customHeight="1">
      <c r="E75" s="2345" t="s">
        <v>1754</v>
      </c>
      <c r="H75" s="3571"/>
      <c r="K75" s="1007" t="s">
        <v>2172</v>
      </c>
      <c r="L75" s="3491"/>
      <c r="M75" s="3671"/>
      <c r="O75" s="2348" t="s">
        <v>1931</v>
      </c>
      <c r="Q75" s="3622"/>
      <c r="R75" s="3623"/>
      <c r="S75" s="3624"/>
    </row>
    <row r="76" spans="1:19" s="293" customFormat="1" ht="11.25" customHeight="1">
      <c r="D76" s="331"/>
      <c r="E76" s="2345" t="s">
        <v>3893</v>
      </c>
      <c r="H76" s="3666"/>
      <c r="I76" s="3672"/>
      <c r="J76" s="3673"/>
      <c r="K76" s="2356" t="s">
        <v>1936</v>
      </c>
      <c r="L76" s="3625"/>
      <c r="M76" s="3584"/>
      <c r="N76" s="3472"/>
      <c r="O76" s="3472"/>
      <c r="P76" s="3472"/>
      <c r="Q76" s="3584"/>
      <c r="R76" s="3584"/>
      <c r="S76" s="3585"/>
    </row>
    <row r="77" spans="1:19" ht="6.75" customHeight="1"/>
    <row r="78" spans="1:19" s="2345" customFormat="1" ht="13.35" customHeight="1">
      <c r="A78" s="298" t="s">
        <v>724</v>
      </c>
      <c r="B78" s="298" t="s">
        <v>280</v>
      </c>
      <c r="D78" s="298"/>
      <c r="E78" s="2348"/>
      <c r="F78" s="2347"/>
      <c r="G78" s="2347"/>
      <c r="H78" s="2347"/>
      <c r="I78" s="2347"/>
      <c r="J78" s="2347"/>
      <c r="K78" s="1194" t="s">
        <v>3892</v>
      </c>
      <c r="L78" s="2347"/>
      <c r="M78" s="2347"/>
    </row>
    <row r="79" spans="1:19" s="2345" customFormat="1" ht="3" customHeight="1">
      <c r="A79" s="298"/>
      <c r="B79" s="298"/>
      <c r="D79" s="298"/>
      <c r="E79" s="2348"/>
      <c r="F79" s="2347"/>
      <c r="G79" s="2347"/>
      <c r="H79" s="3677"/>
      <c r="I79" s="3677"/>
      <c r="J79" s="3677"/>
      <c r="K79" s="2350"/>
      <c r="L79" s="3677"/>
      <c r="M79" s="3677"/>
      <c r="N79" s="2350"/>
      <c r="O79" s="3675"/>
      <c r="P79" s="3675"/>
      <c r="Q79" s="2356"/>
      <c r="R79" s="3675"/>
      <c r="S79" s="3675"/>
    </row>
    <row r="80" spans="1:19" s="293" customFormat="1" ht="11.25" customHeight="1">
      <c r="B80" s="295" t="s">
        <v>1935</v>
      </c>
      <c r="C80" s="295" t="s">
        <v>281</v>
      </c>
      <c r="H80" s="3655"/>
      <c r="I80" s="3656"/>
      <c r="J80" s="3656"/>
      <c r="K80" s="3656"/>
      <c r="L80" s="3656"/>
      <c r="M80" s="3656"/>
      <c r="N80" s="3657"/>
      <c r="O80" s="2348" t="s">
        <v>1941</v>
      </c>
      <c r="P80" s="2348"/>
      <c r="Q80" s="3655"/>
      <c r="R80" s="3656"/>
      <c r="S80" s="3657"/>
    </row>
    <row r="81" spans="2:19" s="293" customFormat="1" ht="11.25" customHeight="1">
      <c r="D81" s="331"/>
      <c r="E81" s="2345" t="s">
        <v>999</v>
      </c>
      <c r="F81" s="305"/>
      <c r="H81" s="3484"/>
      <c r="I81" s="3658"/>
      <c r="J81" s="3658"/>
      <c r="K81" s="3659"/>
      <c r="L81" s="3658"/>
      <c r="M81" s="3658"/>
      <c r="N81" s="3660"/>
      <c r="O81" s="2348" t="s">
        <v>1704</v>
      </c>
      <c r="Q81" s="3505"/>
      <c r="R81" s="3569"/>
      <c r="S81" s="3570"/>
    </row>
    <row r="82" spans="2:19" s="293" customFormat="1" ht="11.25" customHeight="1">
      <c r="D82" s="331"/>
      <c r="E82" s="2345" t="s">
        <v>600</v>
      </c>
      <c r="H82" s="3484"/>
      <c r="I82" s="3659"/>
      <c r="J82" s="3573"/>
      <c r="K82" s="2362" t="s">
        <v>2624</v>
      </c>
      <c r="L82" s="3484"/>
      <c r="M82" s="3658"/>
      <c r="N82" s="3573"/>
      <c r="O82" s="2348" t="s">
        <v>1679</v>
      </c>
      <c r="Q82" s="3622"/>
      <c r="R82" s="3623"/>
      <c r="S82" s="3624"/>
    </row>
    <row r="83" spans="2:19" s="293" customFormat="1" ht="11.25" customHeight="1">
      <c r="E83" s="2345" t="s">
        <v>1754</v>
      </c>
      <c r="H83" s="3571"/>
      <c r="K83" s="1007" t="s">
        <v>2172</v>
      </c>
      <c r="L83" s="3491"/>
      <c r="M83" s="3671"/>
      <c r="O83" s="2348" t="s">
        <v>1931</v>
      </c>
      <c r="Q83" s="3622"/>
      <c r="R83" s="3623"/>
      <c r="S83" s="3624"/>
    </row>
    <row r="84" spans="2:19" s="293" customFormat="1" ht="11.25" customHeight="1">
      <c r="D84" s="331"/>
      <c r="E84" s="2345" t="s">
        <v>3893</v>
      </c>
      <c r="H84" s="3666"/>
      <c r="I84" s="3672"/>
      <c r="J84" s="3673"/>
      <c r="K84" s="2356" t="s">
        <v>1936</v>
      </c>
      <c r="L84" s="3625"/>
      <c r="M84" s="3584"/>
      <c r="N84" s="3472"/>
      <c r="O84" s="3472"/>
      <c r="P84" s="3472"/>
      <c r="Q84" s="3584"/>
      <c r="R84" s="3584"/>
      <c r="S84" s="3585"/>
    </row>
    <row r="85" spans="2:19" ht="6.6" customHeight="1">
      <c r="H85" s="3674"/>
      <c r="I85" s="3674"/>
      <c r="J85" s="3674"/>
      <c r="K85" s="2356"/>
      <c r="L85" s="3674"/>
      <c r="M85" s="3674"/>
      <c r="N85" s="2350"/>
      <c r="O85" s="3675"/>
      <c r="P85" s="3675"/>
      <c r="Q85" s="2356"/>
      <c r="R85" s="3675"/>
      <c r="S85" s="3675"/>
    </row>
    <row r="86" spans="2:19" s="293" customFormat="1" ht="11.25" customHeight="1">
      <c r="B86" s="295" t="s">
        <v>1937</v>
      </c>
      <c r="C86" s="295" t="s">
        <v>282</v>
      </c>
      <c r="H86" s="3655" t="s">
        <v>7005</v>
      </c>
      <c r="I86" s="3656"/>
      <c r="J86" s="3656"/>
      <c r="K86" s="3656"/>
      <c r="L86" s="3656"/>
      <c r="M86" s="3656"/>
      <c r="N86" s="3657"/>
      <c r="O86" s="2348" t="s">
        <v>1941</v>
      </c>
      <c r="P86" s="2348"/>
      <c r="Q86" s="3655" t="s">
        <v>7008</v>
      </c>
      <c r="R86" s="3656"/>
      <c r="S86" s="3657"/>
    </row>
    <row r="87" spans="2:19" s="293" customFormat="1" ht="11.25" customHeight="1">
      <c r="D87" s="331"/>
      <c r="E87" s="2345" t="s">
        <v>999</v>
      </c>
      <c r="F87" s="305"/>
      <c r="H87" s="3484" t="s">
        <v>6998</v>
      </c>
      <c r="I87" s="3658"/>
      <c r="J87" s="3658"/>
      <c r="K87" s="3659"/>
      <c r="L87" s="3658"/>
      <c r="M87" s="3658"/>
      <c r="N87" s="3660"/>
      <c r="O87" s="2348" t="s">
        <v>1704</v>
      </c>
      <c r="Q87" s="3505" t="s">
        <v>7009</v>
      </c>
      <c r="R87" s="3569"/>
      <c r="S87" s="3570"/>
    </row>
    <row r="88" spans="2:19" s="293" customFormat="1" ht="11.25" customHeight="1">
      <c r="D88" s="331"/>
      <c r="E88" s="2345" t="s">
        <v>600</v>
      </c>
      <c r="H88" s="3484" t="s">
        <v>2461</v>
      </c>
      <c r="I88" s="3659"/>
      <c r="J88" s="3573"/>
      <c r="K88" s="2362" t="s">
        <v>2624</v>
      </c>
      <c r="L88" s="3484" t="s">
        <v>7006</v>
      </c>
      <c r="M88" s="3658"/>
      <c r="N88" s="3573"/>
      <c r="O88" s="2348" t="s">
        <v>1679</v>
      </c>
      <c r="Q88" s="3622">
        <v>5734432021</v>
      </c>
      <c r="R88" s="3623"/>
      <c r="S88" s="3624"/>
    </row>
    <row r="89" spans="2:19" s="293" customFormat="1" ht="11.25" customHeight="1">
      <c r="E89" s="2345" t="s">
        <v>1754</v>
      </c>
      <c r="H89" s="3571" t="s">
        <v>1314</v>
      </c>
      <c r="K89" s="1007" t="s">
        <v>2172</v>
      </c>
      <c r="L89" s="3491">
        <v>652034905</v>
      </c>
      <c r="M89" s="3671"/>
      <c r="O89" s="2348" t="s">
        <v>1931</v>
      </c>
      <c r="Q89" s="3622"/>
      <c r="R89" s="3623"/>
      <c r="S89" s="3624"/>
    </row>
    <row r="90" spans="2:19" s="293" customFormat="1" ht="11.25" customHeight="1">
      <c r="D90" s="331"/>
      <c r="E90" s="2345" t="s">
        <v>3893</v>
      </c>
      <c r="H90" s="3666">
        <v>5734432021</v>
      </c>
      <c r="I90" s="3672"/>
      <c r="J90" s="3673"/>
      <c r="K90" s="2356" t="s">
        <v>1936</v>
      </c>
      <c r="L90" s="3625" t="s">
        <v>7007</v>
      </c>
      <c r="M90" s="3584"/>
      <c r="N90" s="3472"/>
      <c r="O90" s="3472"/>
      <c r="P90" s="3472"/>
      <c r="Q90" s="3584"/>
      <c r="R90" s="3584"/>
      <c r="S90" s="3585"/>
    </row>
    <row r="91" spans="2:19" ht="6.6" customHeight="1">
      <c r="H91" s="3674"/>
      <c r="I91" s="3674"/>
      <c r="J91" s="3674"/>
      <c r="K91" s="2356"/>
      <c r="L91" s="3674"/>
      <c r="M91" s="3674"/>
      <c r="N91" s="2350"/>
      <c r="O91" s="3675"/>
      <c r="P91" s="3675"/>
      <c r="Q91" s="2356"/>
      <c r="R91" s="3675"/>
      <c r="S91" s="3675"/>
    </row>
    <row r="92" spans="2:19" s="293" customFormat="1" ht="11.25" customHeight="1">
      <c r="B92" s="295" t="s">
        <v>731</v>
      </c>
      <c r="C92" s="295" t="s">
        <v>283</v>
      </c>
      <c r="F92" s="311"/>
      <c r="H92" s="3655" t="s">
        <v>7012</v>
      </c>
      <c r="I92" s="3656"/>
      <c r="J92" s="3656"/>
      <c r="K92" s="3656"/>
      <c r="L92" s="3656"/>
      <c r="M92" s="3656"/>
      <c r="N92" s="3657"/>
      <c r="O92" s="2348" t="s">
        <v>1941</v>
      </c>
      <c r="P92" s="2348"/>
      <c r="Q92" s="3655" t="s">
        <v>7010</v>
      </c>
      <c r="R92" s="3656"/>
      <c r="S92" s="3657"/>
    </row>
    <row r="93" spans="2:19" s="293" customFormat="1" ht="11.25" customHeight="1">
      <c r="D93" s="331"/>
      <c r="E93" s="2345" t="s">
        <v>999</v>
      </c>
      <c r="F93" s="305"/>
      <c r="H93" s="3484" t="s">
        <v>7013</v>
      </c>
      <c r="I93" s="3658"/>
      <c r="J93" s="3658"/>
      <c r="K93" s="3659"/>
      <c r="L93" s="3658"/>
      <c r="M93" s="3658"/>
      <c r="N93" s="3660"/>
      <c r="O93" s="2348" t="s">
        <v>1704</v>
      </c>
      <c r="Q93" s="3505" t="s">
        <v>7011</v>
      </c>
      <c r="R93" s="3569"/>
      <c r="S93" s="3570"/>
    </row>
    <row r="94" spans="2:19" s="293" customFormat="1" ht="11.25" customHeight="1">
      <c r="D94" s="331"/>
      <c r="E94" s="2345" t="s">
        <v>600</v>
      </c>
      <c r="H94" s="3484" t="s">
        <v>1179</v>
      </c>
      <c r="I94" s="3659"/>
      <c r="J94" s="3573"/>
      <c r="K94" s="2362" t="s">
        <v>2624</v>
      </c>
      <c r="L94" s="3484" t="s">
        <v>7014</v>
      </c>
      <c r="M94" s="3658"/>
      <c r="N94" s="3573"/>
      <c r="O94" s="2348" t="s">
        <v>1679</v>
      </c>
      <c r="Q94" s="3622">
        <v>5734432021</v>
      </c>
      <c r="R94" s="3623"/>
      <c r="S94" s="3624"/>
    </row>
    <row r="95" spans="2:19" s="293" customFormat="1" ht="11.25" customHeight="1">
      <c r="D95" s="331"/>
      <c r="E95" s="2345" t="s">
        <v>1754</v>
      </c>
      <c r="H95" s="3571" t="s">
        <v>828</v>
      </c>
      <c r="K95" s="1007" t="s">
        <v>2172</v>
      </c>
      <c r="L95" s="3491">
        <v>303272212</v>
      </c>
      <c r="M95" s="3671"/>
      <c r="O95" s="2348" t="s">
        <v>1931</v>
      </c>
      <c r="Q95" s="3622"/>
      <c r="R95" s="3623"/>
      <c r="S95" s="3624"/>
    </row>
    <row r="96" spans="2:19" s="293" customFormat="1" ht="11.25" customHeight="1">
      <c r="D96" s="331"/>
      <c r="E96" s="2345" t="s">
        <v>3893</v>
      </c>
      <c r="H96" s="3666">
        <v>5734432021</v>
      </c>
      <c r="I96" s="3672"/>
      <c r="J96" s="3673"/>
      <c r="K96" s="2356" t="s">
        <v>1936</v>
      </c>
      <c r="L96" s="3625" t="s">
        <v>7015</v>
      </c>
      <c r="M96" s="3584"/>
      <c r="N96" s="3472"/>
      <c r="O96" s="3472"/>
      <c r="P96" s="3472"/>
      <c r="Q96" s="3584"/>
      <c r="R96" s="3584"/>
      <c r="S96" s="3585"/>
    </row>
    <row r="97" spans="2:19" ht="6.6" customHeight="1">
      <c r="H97" s="3674"/>
      <c r="I97" s="3674"/>
      <c r="J97" s="3674"/>
      <c r="K97" s="2356"/>
      <c r="L97" s="3674"/>
      <c r="M97" s="3674"/>
      <c r="N97" s="2350"/>
      <c r="O97" s="3675"/>
      <c r="P97" s="3675"/>
      <c r="Q97" s="2356"/>
      <c r="R97" s="3675"/>
      <c r="S97" s="3675"/>
    </row>
    <row r="98" spans="2:19" s="293" customFormat="1" ht="11.25" customHeight="1">
      <c r="B98" s="295" t="s">
        <v>2064</v>
      </c>
      <c r="C98" s="295" t="s">
        <v>284</v>
      </c>
      <c r="H98" s="3655" t="s">
        <v>7018</v>
      </c>
      <c r="I98" s="3656"/>
      <c r="J98" s="3656"/>
      <c r="K98" s="3656"/>
      <c r="L98" s="3656"/>
      <c r="M98" s="3656"/>
      <c r="N98" s="3657"/>
      <c r="O98" s="2348" t="s">
        <v>1941</v>
      </c>
      <c r="P98" s="2348"/>
      <c r="Q98" s="3655" t="s">
        <v>7016</v>
      </c>
      <c r="R98" s="3656"/>
      <c r="S98" s="3657"/>
    </row>
    <row r="99" spans="2:19" s="293" customFormat="1" ht="11.25" customHeight="1">
      <c r="D99" s="331"/>
      <c r="E99" s="2345" t="s">
        <v>999</v>
      </c>
      <c r="F99" s="305"/>
      <c r="H99" s="3484" t="s">
        <v>7019</v>
      </c>
      <c r="I99" s="3658"/>
      <c r="J99" s="3658"/>
      <c r="K99" s="3659"/>
      <c r="L99" s="3658"/>
      <c r="M99" s="3658"/>
      <c r="N99" s="3660"/>
      <c r="O99" s="2348" t="s">
        <v>1704</v>
      </c>
      <c r="Q99" s="3505" t="s">
        <v>7017</v>
      </c>
      <c r="R99" s="3569"/>
      <c r="S99" s="3570"/>
    </row>
    <row r="100" spans="2:19" s="293" customFormat="1" ht="11.25" customHeight="1">
      <c r="D100" s="331"/>
      <c r="E100" s="2345" t="s">
        <v>600</v>
      </c>
      <c r="H100" s="3484" t="s">
        <v>7020</v>
      </c>
      <c r="I100" s="3659"/>
      <c r="J100" s="3573"/>
      <c r="K100" s="2362" t="s">
        <v>2624</v>
      </c>
      <c r="L100" s="3484"/>
      <c r="M100" s="3658"/>
      <c r="N100" s="3573"/>
      <c r="O100" s="2348" t="s">
        <v>1679</v>
      </c>
      <c r="Q100" s="3622">
        <v>2055218501</v>
      </c>
      <c r="R100" s="3623"/>
      <c r="S100" s="3624"/>
    </row>
    <row r="101" spans="2:19" s="293" customFormat="1" ht="11.25" customHeight="1">
      <c r="D101" s="331"/>
      <c r="E101" s="2345" t="s">
        <v>1754</v>
      </c>
      <c r="H101" s="3571" t="s">
        <v>818</v>
      </c>
      <c r="K101" s="1007" t="s">
        <v>2172</v>
      </c>
      <c r="L101" s="3491">
        <v>352030000</v>
      </c>
      <c r="M101" s="3671"/>
      <c r="O101" s="2348" t="s">
        <v>1931</v>
      </c>
      <c r="Q101" s="3622"/>
      <c r="R101" s="3623"/>
      <c r="S101" s="3624"/>
    </row>
    <row r="102" spans="2:19" ht="11.25" customHeight="1">
      <c r="E102" s="2345" t="s">
        <v>3893</v>
      </c>
      <c r="F102" s="293"/>
      <c r="G102" s="293"/>
      <c r="H102" s="3666">
        <v>2055669976</v>
      </c>
      <c r="I102" s="3672"/>
      <c r="J102" s="3673"/>
      <c r="K102" s="2356" t="s">
        <v>1936</v>
      </c>
      <c r="L102" s="3625" t="s">
        <v>7021</v>
      </c>
      <c r="M102" s="3584"/>
      <c r="N102" s="3472"/>
      <c r="O102" s="3472"/>
      <c r="P102" s="3472"/>
      <c r="Q102" s="3584"/>
      <c r="R102" s="3584"/>
      <c r="S102" s="3585"/>
    </row>
    <row r="103" spans="2:19" ht="6" customHeight="1">
      <c r="E103" s="2345"/>
      <c r="F103" s="293"/>
      <c r="G103" s="2353"/>
      <c r="H103" s="3674"/>
      <c r="I103" s="3674"/>
      <c r="J103" s="3674"/>
      <c r="K103" s="2356"/>
      <c r="L103" s="3674"/>
      <c r="M103" s="3674"/>
      <c r="N103" s="2350"/>
      <c r="O103" s="3675"/>
      <c r="P103" s="3675"/>
      <c r="Q103" s="2356"/>
      <c r="R103" s="3675"/>
      <c r="S103" s="3675"/>
    </row>
    <row r="104" spans="2:19" s="293" customFormat="1" ht="11.25" customHeight="1">
      <c r="B104" s="295" t="s">
        <v>1692</v>
      </c>
      <c r="C104" s="295" t="s">
        <v>285</v>
      </c>
      <c r="H104" s="3655" t="s">
        <v>7022</v>
      </c>
      <c r="I104" s="3656"/>
      <c r="J104" s="3656"/>
      <c r="K104" s="3656"/>
      <c r="L104" s="3656"/>
      <c r="M104" s="3656"/>
      <c r="N104" s="3657"/>
      <c r="O104" s="2348" t="s">
        <v>1941</v>
      </c>
      <c r="P104" s="2348"/>
      <c r="Q104" s="3655" t="s">
        <v>7024</v>
      </c>
      <c r="R104" s="3656"/>
      <c r="S104" s="3657"/>
    </row>
    <row r="105" spans="2:19" s="293" customFormat="1" ht="11.25" customHeight="1">
      <c r="D105" s="331"/>
      <c r="E105" s="2345" t="s">
        <v>999</v>
      </c>
      <c r="F105" s="305"/>
      <c r="H105" s="3484" t="s">
        <v>7023</v>
      </c>
      <c r="I105" s="3658"/>
      <c r="J105" s="3658"/>
      <c r="K105" s="3659"/>
      <c r="L105" s="3658"/>
      <c r="M105" s="3658"/>
      <c r="N105" s="3660"/>
      <c r="O105" s="2348" t="s">
        <v>1704</v>
      </c>
      <c r="Q105" s="3505" t="s">
        <v>1803</v>
      </c>
      <c r="R105" s="3569"/>
      <c r="S105" s="3570"/>
    </row>
    <row r="106" spans="2:19" s="293" customFormat="1" ht="11.25" customHeight="1">
      <c r="D106" s="331"/>
      <c r="E106" s="2345" t="s">
        <v>600</v>
      </c>
      <c r="H106" s="3484" t="s">
        <v>2461</v>
      </c>
      <c r="I106" s="3659"/>
      <c r="J106" s="3573"/>
      <c r="K106" s="2362" t="s">
        <v>2624</v>
      </c>
      <c r="L106" s="3484"/>
      <c r="M106" s="3658"/>
      <c r="N106" s="3573"/>
      <c r="O106" s="2348" t="s">
        <v>1679</v>
      </c>
      <c r="Q106" s="3622">
        <v>5738741040</v>
      </c>
      <c r="R106" s="3623"/>
      <c r="S106" s="3624"/>
    </row>
    <row r="107" spans="2:19" s="293" customFormat="1" ht="11.25" customHeight="1">
      <c r="D107" s="331"/>
      <c r="E107" s="2345" t="s">
        <v>1754</v>
      </c>
      <c r="H107" s="3571" t="s">
        <v>1314</v>
      </c>
      <c r="K107" s="1007" t="s">
        <v>2172</v>
      </c>
      <c r="L107" s="3491">
        <v>652034256</v>
      </c>
      <c r="M107" s="3671"/>
      <c r="O107" s="2348" t="s">
        <v>1931</v>
      </c>
      <c r="Q107" s="3622"/>
      <c r="R107" s="3623"/>
      <c r="S107" s="3624"/>
    </row>
    <row r="108" spans="2:19" ht="11.25" customHeight="1">
      <c r="E108" s="2345" t="s">
        <v>3893</v>
      </c>
      <c r="F108" s="293"/>
      <c r="G108" s="293"/>
      <c r="H108" s="3666">
        <v>5738741040</v>
      </c>
      <c r="I108" s="3672"/>
      <c r="J108" s="3673"/>
      <c r="K108" s="2356" t="s">
        <v>1936</v>
      </c>
      <c r="L108" s="3625"/>
      <c r="M108" s="3584"/>
      <c r="N108" s="3472"/>
      <c r="O108" s="3472"/>
      <c r="P108" s="3472"/>
      <c r="Q108" s="3584"/>
      <c r="R108" s="3584"/>
      <c r="S108" s="3585"/>
    </row>
    <row r="109" spans="2:19" ht="6.6" customHeight="1">
      <c r="E109" s="2345"/>
      <c r="F109" s="293"/>
      <c r="G109" s="2353"/>
      <c r="H109" s="3674"/>
      <c r="I109" s="3674"/>
      <c r="J109" s="3674"/>
      <c r="K109" s="2356"/>
      <c r="L109" s="3674"/>
      <c r="M109" s="3674"/>
      <c r="N109" s="2350"/>
      <c r="O109" s="3675"/>
      <c r="P109" s="3675"/>
      <c r="Q109" s="2356"/>
      <c r="R109" s="3675"/>
      <c r="S109" s="3675"/>
    </row>
    <row r="110" spans="2:19" s="293" customFormat="1" ht="11.25" customHeight="1">
      <c r="B110" s="295" t="s">
        <v>1693</v>
      </c>
      <c r="C110" s="295" t="s">
        <v>286</v>
      </c>
      <c r="H110" s="3655" t="s">
        <v>7025</v>
      </c>
      <c r="I110" s="3656"/>
      <c r="J110" s="3656"/>
      <c r="K110" s="3656"/>
      <c r="L110" s="3656"/>
      <c r="M110" s="3656"/>
      <c r="N110" s="3657"/>
      <c r="O110" s="2348" t="s">
        <v>1941</v>
      </c>
      <c r="P110" s="2348"/>
      <c r="Q110" s="3655" t="s">
        <v>7027</v>
      </c>
      <c r="R110" s="3656"/>
      <c r="S110" s="3657"/>
    </row>
    <row r="111" spans="2:19" s="293" customFormat="1" ht="11.25" customHeight="1">
      <c r="D111" s="331"/>
      <c r="E111" s="2345" t="s">
        <v>999</v>
      </c>
      <c r="F111" s="305"/>
      <c r="H111" s="3484" t="s">
        <v>7026</v>
      </c>
      <c r="I111" s="3658"/>
      <c r="J111" s="3658"/>
      <c r="K111" s="3659"/>
      <c r="L111" s="3658"/>
      <c r="M111" s="3658"/>
      <c r="N111" s="3660"/>
      <c r="O111" s="2348" t="s">
        <v>1704</v>
      </c>
      <c r="Q111" s="3505" t="s">
        <v>7028</v>
      </c>
      <c r="R111" s="3569"/>
      <c r="S111" s="3570"/>
    </row>
    <row r="112" spans="2:19" s="293" customFormat="1" ht="11.25" customHeight="1">
      <c r="D112" s="331"/>
      <c r="E112" s="2345" t="s">
        <v>600</v>
      </c>
      <c r="H112" s="3484" t="s">
        <v>180</v>
      </c>
      <c r="I112" s="3659"/>
      <c r="J112" s="3573"/>
      <c r="K112" s="2362" t="s">
        <v>2624</v>
      </c>
      <c r="L112" s="3484"/>
      <c r="M112" s="3658"/>
      <c r="N112" s="3573"/>
      <c r="O112" s="2348" t="s">
        <v>1679</v>
      </c>
      <c r="Q112" s="3622">
        <v>3342724044</v>
      </c>
      <c r="R112" s="3623"/>
      <c r="S112" s="3624"/>
    </row>
    <row r="113" spans="1:22" s="293" customFormat="1" ht="11.25" customHeight="1">
      <c r="D113" s="335"/>
      <c r="E113" s="2345" t="s">
        <v>1754</v>
      </c>
      <c r="H113" s="3571" t="s">
        <v>818</v>
      </c>
      <c r="K113" s="1007" t="s">
        <v>2172</v>
      </c>
      <c r="L113" s="3491">
        <v>361177026</v>
      </c>
      <c r="M113" s="3671"/>
      <c r="O113" s="2348" t="s">
        <v>1931</v>
      </c>
      <c r="Q113" s="3622"/>
      <c r="R113" s="3623"/>
      <c r="S113" s="3624"/>
    </row>
    <row r="114" spans="1:22" s="293" customFormat="1" ht="11.25" customHeight="1">
      <c r="D114" s="335"/>
      <c r="E114" s="2345" t="s">
        <v>3893</v>
      </c>
      <c r="H114" s="3666">
        <v>3342724044</v>
      </c>
      <c r="I114" s="3672"/>
      <c r="J114" s="3673"/>
      <c r="K114" s="2356" t="s">
        <v>1936</v>
      </c>
      <c r="L114" s="3625" t="s">
        <v>7029</v>
      </c>
      <c r="M114" s="3584"/>
      <c r="N114" s="3472"/>
      <c r="O114" s="3472"/>
      <c r="P114" s="3472"/>
      <c r="Q114" s="3584"/>
      <c r="R114" s="3584"/>
      <c r="S114" s="3585"/>
    </row>
    <row r="115" spans="1:22" ht="3" customHeight="1"/>
    <row r="116" spans="1:22" s="293" customFormat="1" ht="12" customHeight="1">
      <c r="A116" s="295" t="s">
        <v>1748</v>
      </c>
      <c r="B116" s="295" t="s">
        <v>2535</v>
      </c>
      <c r="F116" s="295"/>
      <c r="G116" s="2356"/>
      <c r="H116" s="2356"/>
      <c r="I116" s="2356"/>
      <c r="J116" s="2356"/>
      <c r="K116" s="2356"/>
      <c r="L116" s="2356"/>
      <c r="M116" s="2356"/>
      <c r="N116" s="2356"/>
      <c r="O116" s="2356"/>
      <c r="P116" s="2356"/>
      <c r="Q116" s="2362"/>
    </row>
    <row r="117" spans="1:22" s="293" customFormat="1" ht="11.25" customHeight="1">
      <c r="B117" s="295" t="s">
        <v>1935</v>
      </c>
      <c r="C117" s="295" t="s">
        <v>3439</v>
      </c>
      <c r="H117" s="3655" t="s">
        <v>7084</v>
      </c>
      <c r="I117" s="3678"/>
      <c r="J117" s="3679"/>
      <c r="K117" s="2356" t="s">
        <v>2409</v>
      </c>
      <c r="L117" s="3655" t="s">
        <v>7087</v>
      </c>
      <c r="M117" s="3656"/>
      <c r="N117" s="3657"/>
      <c r="O117" s="2345" t="s">
        <v>3440</v>
      </c>
      <c r="Q117" s="3680"/>
      <c r="R117" s="3681"/>
      <c r="S117" s="3682"/>
    </row>
    <row r="118" spans="1:22" s="293" customFormat="1" ht="11.25" customHeight="1">
      <c r="D118" s="331"/>
      <c r="E118" s="2345" t="s">
        <v>999</v>
      </c>
      <c r="F118" s="305"/>
      <c r="H118" s="3576" t="s">
        <v>7085</v>
      </c>
      <c r="I118" s="3683"/>
      <c r="J118" s="3684"/>
      <c r="K118" s="3577"/>
      <c r="L118" s="3683"/>
      <c r="M118" s="3683"/>
      <c r="N118" s="3685"/>
      <c r="O118" s="2345" t="s">
        <v>600</v>
      </c>
      <c r="Q118" s="3686" t="s">
        <v>7086</v>
      </c>
      <c r="R118" s="3580"/>
      <c r="S118" s="3581"/>
    </row>
    <row r="119" spans="1:22" s="293" customFormat="1" ht="11.25" customHeight="1">
      <c r="D119" s="331"/>
      <c r="E119" s="2345" t="s">
        <v>1754</v>
      </c>
      <c r="H119" s="3687" t="s">
        <v>828</v>
      </c>
      <c r="I119" s="1007" t="s">
        <v>2172</v>
      </c>
      <c r="J119" s="3572">
        <v>300470000</v>
      </c>
      <c r="K119" s="3573"/>
      <c r="L119" s="2356" t="s">
        <v>1936</v>
      </c>
      <c r="M119" s="3471"/>
      <c r="N119" s="3472"/>
      <c r="O119" s="3472"/>
      <c r="P119" s="3472"/>
      <c r="Q119" s="3584"/>
      <c r="R119" s="3584"/>
      <c r="S119" s="3585"/>
    </row>
    <row r="120" spans="1:22" ht="12" customHeight="1">
      <c r="B120" s="295" t="s">
        <v>1937</v>
      </c>
      <c r="C120" s="295" t="s">
        <v>4431</v>
      </c>
      <c r="H120" s="1479"/>
      <c r="I120" s="1479"/>
      <c r="J120" s="1479"/>
      <c r="K120" s="1479"/>
      <c r="L120" s="1479"/>
      <c r="M120" s="1479"/>
      <c r="N120" s="1479"/>
      <c r="O120" s="1479"/>
      <c r="P120" s="1479"/>
      <c r="Q120" s="1479"/>
      <c r="R120" s="1479"/>
      <c r="S120" s="1479"/>
    </row>
    <row r="121" spans="1:22" ht="11.25" customHeight="1" thickBot="1">
      <c r="A121" s="2440" t="s">
        <v>3655</v>
      </c>
      <c r="B121" s="2440"/>
      <c r="C121" s="2440"/>
      <c r="D121" s="2440"/>
      <c r="E121" s="2441"/>
      <c r="F121" s="3688" t="s">
        <v>2443</v>
      </c>
      <c r="G121" s="3689" t="s">
        <v>3356</v>
      </c>
      <c r="H121" s="3690"/>
      <c r="I121" s="3690"/>
      <c r="J121" s="3690"/>
      <c r="K121" s="3690"/>
      <c r="L121" s="3690"/>
      <c r="M121" s="3690"/>
      <c r="N121" s="3690"/>
      <c r="O121" s="3690"/>
      <c r="P121" s="3690"/>
      <c r="Q121" s="3690"/>
      <c r="R121" s="3690"/>
      <c r="S121" s="3691"/>
    </row>
    <row r="122" spans="1:22" s="293" customFormat="1" ht="25.5" customHeight="1" thickBot="1">
      <c r="B122" s="487"/>
      <c r="C122" s="1042" t="s">
        <v>1938</v>
      </c>
      <c r="D122" s="2442" t="s">
        <v>2736</v>
      </c>
      <c r="E122" s="2442"/>
      <c r="F122" s="3692" t="s">
        <v>2887</v>
      </c>
      <c r="G122" s="2872"/>
      <c r="H122" s="3693"/>
      <c r="I122" s="3693"/>
      <c r="J122" s="3693"/>
      <c r="K122" s="3693"/>
      <c r="L122" s="3693"/>
      <c r="M122" s="3693"/>
      <c r="N122" s="3693"/>
      <c r="O122" s="3693"/>
      <c r="P122" s="3693"/>
      <c r="Q122" s="3693"/>
      <c r="R122" s="3693"/>
      <c r="S122" s="3694"/>
      <c r="U122" s="2433" t="s">
        <v>1983</v>
      </c>
      <c r="V122" s="2433"/>
    </row>
    <row r="123" spans="1:22" s="293" customFormat="1" ht="25.5" customHeight="1" thickBot="1">
      <c r="B123" s="487"/>
      <c r="C123" s="580" t="s">
        <v>1940</v>
      </c>
      <c r="D123" s="2420" t="s">
        <v>2797</v>
      </c>
      <c r="E123" s="2423"/>
      <c r="F123" s="3692" t="s">
        <v>2887</v>
      </c>
      <c r="G123" s="2738"/>
      <c r="H123" s="2738"/>
      <c r="I123" s="2738"/>
      <c r="J123" s="2738"/>
      <c r="K123" s="2738"/>
      <c r="L123" s="2738"/>
      <c r="M123" s="2738"/>
      <c r="N123" s="2738"/>
      <c r="O123" s="2738"/>
      <c r="P123" s="2738"/>
      <c r="Q123" s="2738"/>
      <c r="R123" s="2738"/>
      <c r="S123" s="2739"/>
      <c r="U123" s="2433"/>
      <c r="V123" s="2433"/>
    </row>
    <row r="124" spans="1:22" s="293" customFormat="1" ht="25.5" customHeight="1" thickBot="1">
      <c r="B124" s="487"/>
      <c r="C124" s="580" t="s">
        <v>2467</v>
      </c>
      <c r="D124" s="2420" t="s">
        <v>2776</v>
      </c>
      <c r="E124" s="2423"/>
      <c r="F124" s="3692" t="s">
        <v>2887</v>
      </c>
      <c r="G124" s="2738"/>
      <c r="H124" s="2738"/>
      <c r="I124" s="2738"/>
      <c r="J124" s="2738"/>
      <c r="K124" s="2738"/>
      <c r="L124" s="2738"/>
      <c r="M124" s="2738"/>
      <c r="N124" s="2738"/>
      <c r="O124" s="2738"/>
      <c r="P124" s="2738"/>
      <c r="Q124" s="2738"/>
      <c r="R124" s="2738"/>
      <c r="S124" s="2739"/>
      <c r="U124" s="2433"/>
      <c r="V124" s="2433"/>
    </row>
    <row r="125" spans="1:22" s="293" customFormat="1" ht="25.5" customHeight="1" thickBot="1">
      <c r="B125" s="487"/>
      <c r="C125" s="580" t="s">
        <v>1198</v>
      </c>
      <c r="D125" s="2420" t="s">
        <v>2737</v>
      </c>
      <c r="E125" s="2423"/>
      <c r="F125" s="3692" t="s">
        <v>2887</v>
      </c>
      <c r="G125" s="2738"/>
      <c r="H125" s="2738"/>
      <c r="I125" s="2738"/>
      <c r="J125" s="2738"/>
      <c r="K125" s="2738"/>
      <c r="L125" s="2738"/>
      <c r="M125" s="2738"/>
      <c r="N125" s="2738"/>
      <c r="O125" s="2738"/>
      <c r="P125" s="2738"/>
      <c r="Q125" s="2738"/>
      <c r="R125" s="2738"/>
      <c r="S125" s="2739"/>
      <c r="U125" s="2433"/>
      <c r="V125" s="2433"/>
    </row>
    <row r="126" spans="1:22" s="293" customFormat="1" ht="25.5" customHeight="1" thickBot="1">
      <c r="B126" s="487"/>
      <c r="C126" s="580" t="s">
        <v>1199</v>
      </c>
      <c r="D126" s="2420" t="s">
        <v>3347</v>
      </c>
      <c r="E126" s="2423"/>
      <c r="F126" s="3692" t="s">
        <v>2887</v>
      </c>
      <c r="G126" s="2738"/>
      <c r="H126" s="2738"/>
      <c r="I126" s="2738"/>
      <c r="J126" s="2738"/>
      <c r="K126" s="2738"/>
      <c r="L126" s="2738"/>
      <c r="M126" s="2738"/>
      <c r="N126" s="2738"/>
      <c r="O126" s="2738"/>
      <c r="P126" s="2738"/>
      <c r="Q126" s="2738"/>
      <c r="R126" s="2738"/>
      <c r="S126" s="2739"/>
      <c r="U126" s="2433"/>
      <c r="V126" s="2433"/>
    </row>
    <row r="127" spans="1:22" s="293" customFormat="1" ht="25.5" customHeight="1" thickBot="1">
      <c r="B127" s="487"/>
      <c r="C127" s="580" t="s">
        <v>1833</v>
      </c>
      <c r="D127" s="2420" t="s">
        <v>3348</v>
      </c>
      <c r="E127" s="2423"/>
      <c r="F127" s="3692" t="s">
        <v>2884</v>
      </c>
      <c r="G127" s="2738" t="s">
        <v>7031</v>
      </c>
      <c r="H127" s="2738"/>
      <c r="I127" s="2738"/>
      <c r="J127" s="2738"/>
      <c r="K127" s="2738"/>
      <c r="L127" s="2738"/>
      <c r="M127" s="2738"/>
      <c r="N127" s="2738"/>
      <c r="O127" s="2738"/>
      <c r="P127" s="2738"/>
      <c r="Q127" s="2738"/>
      <c r="R127" s="2738"/>
      <c r="S127" s="2739"/>
      <c r="U127" s="2433"/>
      <c r="V127" s="2433"/>
    </row>
    <row r="128" spans="1:22" s="293" customFormat="1" ht="25.5" customHeight="1" thickBot="1">
      <c r="B128" s="487"/>
      <c r="C128" s="580" t="s">
        <v>492</v>
      </c>
      <c r="D128" s="2420" t="s">
        <v>2738</v>
      </c>
      <c r="E128" s="2423"/>
      <c r="F128" s="3692" t="s">
        <v>2887</v>
      </c>
      <c r="G128" s="2738"/>
      <c r="H128" s="2738"/>
      <c r="I128" s="2738"/>
      <c r="J128" s="2738"/>
      <c r="K128" s="2738"/>
      <c r="L128" s="2738"/>
      <c r="M128" s="2738"/>
      <c r="N128" s="2738"/>
      <c r="O128" s="2738"/>
      <c r="P128" s="2738"/>
      <c r="Q128" s="2738"/>
      <c r="R128" s="2738"/>
      <c r="S128" s="2739"/>
    </row>
    <row r="129" spans="1:22" s="293" customFormat="1" ht="25.5" customHeight="1" thickBot="1">
      <c r="B129" s="487"/>
      <c r="C129" s="580" t="s">
        <v>493</v>
      </c>
      <c r="D129" s="2420" t="s">
        <v>4445</v>
      </c>
      <c r="E129" s="2423"/>
      <c r="F129" s="3692" t="s">
        <v>2887</v>
      </c>
      <c r="G129" s="2738"/>
      <c r="H129" s="2738"/>
      <c r="I129" s="2738"/>
      <c r="J129" s="2738"/>
      <c r="K129" s="2738"/>
      <c r="L129" s="2738"/>
      <c r="M129" s="2738"/>
      <c r="N129" s="2738"/>
      <c r="O129" s="2738"/>
      <c r="P129" s="2738"/>
      <c r="Q129" s="2738"/>
      <c r="R129" s="2738"/>
      <c r="S129" s="2739"/>
    </row>
    <row r="130" spans="1:22" s="293" customFormat="1" ht="25.5" customHeight="1" thickBot="1">
      <c r="B130" s="487"/>
      <c r="C130" s="580" t="s">
        <v>4444</v>
      </c>
      <c r="D130" s="3695" t="s">
        <v>7030</v>
      </c>
      <c r="E130" s="3696"/>
      <c r="F130" s="3692" t="s">
        <v>2884</v>
      </c>
      <c r="G130" s="2735" t="s">
        <v>7032</v>
      </c>
      <c r="H130" s="2735"/>
      <c r="I130" s="2735"/>
      <c r="J130" s="2735"/>
      <c r="K130" s="2735"/>
      <c r="L130" s="2735"/>
      <c r="M130" s="2735"/>
      <c r="N130" s="2735"/>
      <c r="O130" s="2735"/>
      <c r="P130" s="2735"/>
      <c r="Q130" s="2735"/>
      <c r="R130" s="2735"/>
      <c r="S130" s="2736"/>
    </row>
    <row r="131" spans="1:22" s="293" customFormat="1" ht="13.35" customHeight="1">
      <c r="A131" s="295" t="s">
        <v>1748</v>
      </c>
      <c r="B131" s="295" t="s">
        <v>2745</v>
      </c>
      <c r="F131" s="295"/>
      <c r="G131" s="2356"/>
      <c r="H131" s="2356"/>
      <c r="I131" s="2356"/>
      <c r="J131" s="2356"/>
      <c r="K131" s="2356"/>
      <c r="L131" s="2356"/>
      <c r="M131" s="2356"/>
      <c r="N131" s="2356"/>
      <c r="O131" s="2356"/>
      <c r="P131" s="2356"/>
      <c r="Q131" s="2362"/>
    </row>
    <row r="132" spans="1:22" s="293" customFormat="1" ht="2.25" customHeight="1">
      <c r="A132" s="295"/>
      <c r="B132" s="295"/>
      <c r="F132" s="295"/>
      <c r="G132" s="2356"/>
      <c r="H132" s="2356"/>
      <c r="I132" s="2356"/>
      <c r="J132" s="2356"/>
      <c r="K132" s="2356"/>
      <c r="L132" s="2356"/>
      <c r="M132" s="2356"/>
      <c r="N132" s="2356"/>
      <c r="O132" s="2356"/>
      <c r="P132" s="2356"/>
      <c r="Q132" s="2362"/>
    </row>
    <row r="133" spans="1:22" ht="13.35" customHeight="1">
      <c r="B133" s="295" t="s">
        <v>731</v>
      </c>
      <c r="C133" s="295" t="s">
        <v>4432</v>
      </c>
    </row>
    <row r="134" spans="1:22" s="293" customFormat="1" ht="13.5" customHeight="1">
      <c r="A134" s="2449" t="s">
        <v>622</v>
      </c>
      <c r="B134" s="2442"/>
      <c r="C134" s="2442"/>
      <c r="D134" s="2442"/>
      <c r="E134" s="2453" t="s">
        <v>3332</v>
      </c>
      <c r="F134" s="2454"/>
      <c r="G134" s="2454"/>
      <c r="H134" s="2454"/>
      <c r="I134" s="2455"/>
      <c r="J134" s="2459" t="s">
        <v>3333</v>
      </c>
      <c r="K134" s="2462" t="s">
        <v>2803</v>
      </c>
      <c r="L134" s="2462" t="s">
        <v>2804</v>
      </c>
      <c r="M134" s="2465" t="s">
        <v>3341</v>
      </c>
      <c r="N134" s="2466"/>
      <c r="O134" s="2466"/>
      <c r="P134" s="2466"/>
      <c r="Q134" s="2466"/>
      <c r="R134" s="2466"/>
      <c r="S134" s="2467"/>
    </row>
    <row r="135" spans="1:22" s="293" customFormat="1" ht="13.5" customHeight="1">
      <c r="A135" s="2450"/>
      <c r="B135" s="2423"/>
      <c r="C135" s="2423"/>
      <c r="D135" s="2423"/>
      <c r="E135" s="2456"/>
      <c r="F135" s="2457"/>
      <c r="G135" s="2457"/>
      <c r="H135" s="2457"/>
      <c r="I135" s="2458"/>
      <c r="J135" s="2460"/>
      <c r="K135" s="2463"/>
      <c r="L135" s="2463"/>
      <c r="M135" s="2468"/>
      <c r="N135" s="2469"/>
      <c r="O135" s="2469"/>
      <c r="P135" s="2469"/>
      <c r="Q135" s="2469"/>
      <c r="R135" s="2469"/>
      <c r="S135" s="2470"/>
    </row>
    <row r="136" spans="1:22" s="293" customFormat="1" ht="13.5" customHeight="1">
      <c r="A136" s="2450"/>
      <c r="B136" s="2423"/>
      <c r="C136" s="2423"/>
      <c r="D136" s="2423"/>
      <c r="E136" s="2456"/>
      <c r="F136" s="2457"/>
      <c r="G136" s="2457"/>
      <c r="H136" s="2457"/>
      <c r="I136" s="2458"/>
      <c r="J136" s="2460"/>
      <c r="K136" s="2463"/>
      <c r="L136" s="2463"/>
      <c r="M136" s="2468"/>
      <c r="N136" s="2469"/>
      <c r="O136" s="2469"/>
      <c r="P136" s="2469"/>
      <c r="Q136" s="2469"/>
      <c r="R136" s="2469"/>
      <c r="S136" s="2470"/>
    </row>
    <row r="137" spans="1:22" s="293" customFormat="1" ht="23.25" customHeight="1">
      <c r="A137" s="2450"/>
      <c r="B137" s="2423"/>
      <c r="C137" s="2423"/>
      <c r="D137" s="2423"/>
      <c r="E137" s="2471" t="s">
        <v>3537</v>
      </c>
      <c r="F137" s="2472"/>
      <c r="G137" s="2472"/>
      <c r="H137" s="2473"/>
      <c r="I137" s="581"/>
      <c r="J137" s="2460"/>
      <c r="K137" s="2463"/>
      <c r="L137" s="2463"/>
      <c r="M137" s="2468"/>
      <c r="N137" s="2469"/>
      <c r="O137" s="2469"/>
      <c r="P137" s="2469"/>
      <c r="Q137" s="2469"/>
      <c r="R137" s="2469"/>
      <c r="S137" s="2470"/>
    </row>
    <row r="138" spans="1:22" s="293" customFormat="1" ht="13.5" customHeight="1">
      <c r="A138" s="2451"/>
      <c r="B138" s="2452"/>
      <c r="C138" s="2452"/>
      <c r="D138" s="2452"/>
      <c r="E138" s="2474"/>
      <c r="F138" s="2475"/>
      <c r="G138" s="2475"/>
      <c r="H138" s="2476"/>
      <c r="I138" s="1483" t="s">
        <v>2443</v>
      </c>
      <c r="J138" s="2461"/>
      <c r="K138" s="2464"/>
      <c r="L138" s="2463"/>
      <c r="M138" s="1484" t="s">
        <v>2443</v>
      </c>
      <c r="N138" s="2408" t="s">
        <v>2802</v>
      </c>
      <c r="O138" s="2408"/>
      <c r="P138" s="2408"/>
      <c r="Q138" s="2408"/>
      <c r="R138" s="2408"/>
      <c r="S138" s="2477"/>
    </row>
    <row r="139" spans="1:22" s="293" customFormat="1" ht="24" customHeight="1">
      <c r="A139" s="2443" t="s">
        <v>3327</v>
      </c>
      <c r="B139" s="2444"/>
      <c r="C139" s="2444"/>
      <c r="D139" s="2445"/>
      <c r="E139" s="3697"/>
      <c r="F139" s="3693"/>
      <c r="G139" s="3693"/>
      <c r="H139" s="3693"/>
      <c r="I139" s="3698" t="s">
        <v>2887</v>
      </c>
      <c r="J139" s="3699" t="s">
        <v>2887</v>
      </c>
      <c r="K139" s="3700" t="s">
        <v>6996</v>
      </c>
      <c r="L139" s="3701">
        <v>1E-4</v>
      </c>
      <c r="M139" s="3702" t="s">
        <v>2887</v>
      </c>
      <c r="N139" s="3703"/>
      <c r="O139" s="3693"/>
      <c r="P139" s="3693"/>
      <c r="Q139" s="3693"/>
      <c r="R139" s="3693"/>
      <c r="S139" s="3694"/>
    </row>
    <row r="140" spans="1:22" s="293" customFormat="1" ht="24" customHeight="1">
      <c r="A140" s="2446" t="s">
        <v>3328</v>
      </c>
      <c r="B140" s="2447"/>
      <c r="C140" s="2447"/>
      <c r="D140" s="2448"/>
      <c r="E140" s="2737"/>
      <c r="F140" s="2738"/>
      <c r="G140" s="2738"/>
      <c r="H140" s="2738"/>
      <c r="I140" s="3704" t="s">
        <v>4376</v>
      </c>
      <c r="J140" s="3705" t="s">
        <v>4376</v>
      </c>
      <c r="K140" s="3706"/>
      <c r="L140" s="3707"/>
      <c r="M140" s="3708" t="s">
        <v>4376</v>
      </c>
      <c r="N140" s="3709"/>
      <c r="O140" s="2738"/>
      <c r="P140" s="2738"/>
      <c r="Q140" s="2738"/>
      <c r="R140" s="2738"/>
      <c r="S140" s="2739"/>
      <c r="U140" s="2433" t="s">
        <v>1983</v>
      </c>
      <c r="V140" s="2433"/>
    </row>
    <row r="141" spans="1:22" s="293" customFormat="1" ht="24" customHeight="1">
      <c r="A141" s="2446" t="s">
        <v>3329</v>
      </c>
      <c r="B141" s="2447"/>
      <c r="C141" s="2447"/>
      <c r="D141" s="2448"/>
      <c r="E141" s="2737"/>
      <c r="F141" s="2738"/>
      <c r="G141" s="2738"/>
      <c r="H141" s="2738"/>
      <c r="I141" s="3704" t="s">
        <v>4376</v>
      </c>
      <c r="J141" s="3705" t="s">
        <v>4376</v>
      </c>
      <c r="K141" s="3706"/>
      <c r="L141" s="3707"/>
      <c r="M141" s="3708" t="s">
        <v>4376</v>
      </c>
      <c r="N141" s="3709"/>
      <c r="O141" s="2738"/>
      <c r="P141" s="2738"/>
      <c r="Q141" s="2738"/>
      <c r="R141" s="2738"/>
      <c r="S141" s="2739"/>
      <c r="U141" s="2433"/>
      <c r="V141" s="2433"/>
    </row>
    <row r="142" spans="1:22" s="293" customFormat="1" ht="24" customHeight="1">
      <c r="A142" s="2446" t="s">
        <v>3330</v>
      </c>
      <c r="B142" s="2447"/>
      <c r="C142" s="2447"/>
      <c r="D142" s="2448"/>
      <c r="E142" s="2737"/>
      <c r="F142" s="2738"/>
      <c r="G142" s="2738"/>
      <c r="H142" s="2738"/>
      <c r="I142" s="3704" t="s">
        <v>2887</v>
      </c>
      <c r="J142" s="3705" t="s">
        <v>2887</v>
      </c>
      <c r="K142" s="3706" t="s">
        <v>6996</v>
      </c>
      <c r="L142" s="3707">
        <v>0.9899</v>
      </c>
      <c r="M142" s="3708" t="s">
        <v>2887</v>
      </c>
      <c r="N142" s="3709"/>
      <c r="O142" s="2738"/>
      <c r="P142" s="2738"/>
      <c r="Q142" s="2738"/>
      <c r="R142" s="2738"/>
      <c r="S142" s="2739"/>
      <c r="U142" s="2433"/>
      <c r="V142" s="2433"/>
    </row>
    <row r="143" spans="1:22" s="293" customFormat="1" ht="24" customHeight="1">
      <c r="A143" s="2446" t="s">
        <v>3331</v>
      </c>
      <c r="B143" s="2447"/>
      <c r="C143" s="2447"/>
      <c r="D143" s="2448"/>
      <c r="E143" s="2737"/>
      <c r="F143" s="2738"/>
      <c r="G143" s="2738"/>
      <c r="H143" s="2738"/>
      <c r="I143" s="3704" t="s">
        <v>2887</v>
      </c>
      <c r="J143" s="3705" t="s">
        <v>2887</v>
      </c>
      <c r="K143" s="3706" t="s">
        <v>6996</v>
      </c>
      <c r="L143" s="3707">
        <v>0.01</v>
      </c>
      <c r="M143" s="3708" t="s">
        <v>2887</v>
      </c>
      <c r="N143" s="3709"/>
      <c r="O143" s="2738"/>
      <c r="P143" s="2738"/>
      <c r="Q143" s="2738"/>
      <c r="R143" s="2738"/>
      <c r="S143" s="2739"/>
      <c r="U143" s="2433"/>
      <c r="V143" s="2433"/>
    </row>
    <row r="144" spans="1:22" s="293" customFormat="1" ht="24" customHeight="1">
      <c r="A144" s="2446" t="s">
        <v>2791</v>
      </c>
      <c r="B144" s="2447"/>
      <c r="C144" s="2447"/>
      <c r="D144" s="2448"/>
      <c r="E144" s="2737"/>
      <c r="F144" s="2738"/>
      <c r="G144" s="2738"/>
      <c r="H144" s="2738"/>
      <c r="I144" s="3704" t="s">
        <v>4376</v>
      </c>
      <c r="J144" s="3705" t="s">
        <v>4376</v>
      </c>
      <c r="K144" s="3706"/>
      <c r="L144" s="3707"/>
      <c r="M144" s="3708" t="s">
        <v>4376</v>
      </c>
      <c r="N144" s="3709"/>
      <c r="O144" s="2738"/>
      <c r="P144" s="2738"/>
      <c r="Q144" s="2738"/>
      <c r="R144" s="2738"/>
      <c r="S144" s="2739"/>
      <c r="U144" s="2433"/>
      <c r="V144" s="2433"/>
    </row>
    <row r="145" spans="1:24" s="293" customFormat="1" ht="24" customHeight="1">
      <c r="A145" s="2446" t="s">
        <v>635</v>
      </c>
      <c r="B145" s="2447"/>
      <c r="C145" s="2447"/>
      <c r="D145" s="2448"/>
      <c r="E145" s="2737"/>
      <c r="F145" s="2738"/>
      <c r="G145" s="2738"/>
      <c r="H145" s="2738"/>
      <c r="I145" s="3704" t="s">
        <v>2887</v>
      </c>
      <c r="J145" s="3705" t="s">
        <v>2887</v>
      </c>
      <c r="K145" s="3706" t="s">
        <v>6996</v>
      </c>
      <c r="L145" s="3707"/>
      <c r="M145" s="3708" t="s">
        <v>2887</v>
      </c>
      <c r="N145" s="3709"/>
      <c r="O145" s="2738"/>
      <c r="P145" s="2738"/>
      <c r="Q145" s="2738"/>
      <c r="R145" s="2738"/>
      <c r="S145" s="2739"/>
      <c r="U145" s="2433"/>
      <c r="V145" s="2433"/>
    </row>
    <row r="146" spans="1:24" s="293" customFormat="1" ht="24" customHeight="1">
      <c r="A146" s="2446" t="s">
        <v>2792</v>
      </c>
      <c r="B146" s="2447"/>
      <c r="C146" s="2447"/>
      <c r="D146" s="2448"/>
      <c r="E146" s="2737"/>
      <c r="F146" s="2738"/>
      <c r="G146" s="2738"/>
      <c r="H146" s="2738"/>
      <c r="I146" s="3704" t="s">
        <v>4376</v>
      </c>
      <c r="J146" s="3705" t="s">
        <v>4376</v>
      </c>
      <c r="K146" s="3706"/>
      <c r="L146" s="3707"/>
      <c r="M146" s="3708" t="s">
        <v>4376</v>
      </c>
      <c r="N146" s="3709"/>
      <c r="O146" s="2738"/>
      <c r="P146" s="2738"/>
      <c r="Q146" s="2738"/>
      <c r="R146" s="2738"/>
      <c r="S146" s="2739"/>
    </row>
    <row r="147" spans="1:24" s="293" customFormat="1" ht="24" customHeight="1">
      <c r="A147" s="2446" t="s">
        <v>2793</v>
      </c>
      <c r="B147" s="2447"/>
      <c r="C147" s="2447"/>
      <c r="D147" s="2448"/>
      <c r="E147" s="2737"/>
      <c r="F147" s="2738"/>
      <c r="G147" s="2738"/>
      <c r="H147" s="2738"/>
      <c r="I147" s="3704" t="s">
        <v>4376</v>
      </c>
      <c r="J147" s="3705" t="s">
        <v>4376</v>
      </c>
      <c r="K147" s="3706"/>
      <c r="L147" s="3707"/>
      <c r="M147" s="3708" t="s">
        <v>4376</v>
      </c>
      <c r="N147" s="3709"/>
      <c r="O147" s="2738"/>
      <c r="P147" s="2738"/>
      <c r="Q147" s="2738"/>
      <c r="R147" s="2738"/>
      <c r="S147" s="2739"/>
    </row>
    <row r="148" spans="1:24" s="293" customFormat="1" ht="24" customHeight="1">
      <c r="A148" s="2446" t="s">
        <v>2795</v>
      </c>
      <c r="B148" s="2447"/>
      <c r="C148" s="2447"/>
      <c r="D148" s="2448"/>
      <c r="E148" s="2737"/>
      <c r="F148" s="2738"/>
      <c r="G148" s="2738"/>
      <c r="H148" s="2738"/>
      <c r="I148" s="3704" t="s">
        <v>4376</v>
      </c>
      <c r="J148" s="3705" t="s">
        <v>4376</v>
      </c>
      <c r="K148" s="3706"/>
      <c r="L148" s="3707"/>
      <c r="M148" s="3708" t="s">
        <v>4376</v>
      </c>
      <c r="N148" s="3709"/>
      <c r="O148" s="2738"/>
      <c r="P148" s="2738"/>
      <c r="Q148" s="2738"/>
      <c r="R148" s="2738"/>
      <c r="S148" s="2739"/>
    </row>
    <row r="149" spans="1:24" s="293" customFormat="1" ht="24" customHeight="1">
      <c r="A149" s="2446" t="s">
        <v>2794</v>
      </c>
      <c r="B149" s="2447"/>
      <c r="C149" s="2447"/>
      <c r="D149" s="2448"/>
      <c r="E149" s="2737"/>
      <c r="F149" s="2738"/>
      <c r="G149" s="2738"/>
      <c r="H149" s="2738"/>
      <c r="I149" s="3704" t="s">
        <v>4376</v>
      </c>
      <c r="J149" s="3705" t="s">
        <v>4376</v>
      </c>
      <c r="K149" s="3706"/>
      <c r="L149" s="3707"/>
      <c r="M149" s="3708" t="s">
        <v>4376</v>
      </c>
      <c r="N149" s="3709"/>
      <c r="O149" s="2738"/>
      <c r="P149" s="2738"/>
      <c r="Q149" s="2738"/>
      <c r="R149" s="2738"/>
      <c r="S149" s="2739"/>
    </row>
    <row r="150" spans="1:24" s="293" customFormat="1" ht="24" customHeight="1">
      <c r="A150" s="2446" t="s">
        <v>1497</v>
      </c>
      <c r="B150" s="2447"/>
      <c r="C150" s="2447"/>
      <c r="D150" s="2448"/>
      <c r="E150" s="2737"/>
      <c r="F150" s="2738"/>
      <c r="G150" s="2738"/>
      <c r="H150" s="2738"/>
      <c r="I150" s="3704" t="s">
        <v>2887</v>
      </c>
      <c r="J150" s="3705" t="s">
        <v>2887</v>
      </c>
      <c r="K150" s="3706" t="s">
        <v>6996</v>
      </c>
      <c r="L150" s="3707"/>
      <c r="M150" s="3708" t="s">
        <v>2887</v>
      </c>
      <c r="N150" s="3709"/>
      <c r="O150" s="2738"/>
      <c r="P150" s="2738"/>
      <c r="Q150" s="2738"/>
      <c r="R150" s="2738"/>
      <c r="S150" s="2739"/>
    </row>
    <row r="151" spans="1:24" s="293" customFormat="1" ht="24" customHeight="1">
      <c r="A151" s="2478" t="s">
        <v>2796</v>
      </c>
      <c r="B151" s="2479"/>
      <c r="C151" s="2479"/>
      <c r="D151" s="2480"/>
      <c r="E151" s="2734"/>
      <c r="F151" s="2735"/>
      <c r="G151" s="2735"/>
      <c r="H151" s="2735"/>
      <c r="I151" s="3710" t="s">
        <v>2887</v>
      </c>
      <c r="J151" s="3711" t="s">
        <v>2887</v>
      </c>
      <c r="K151" s="3712" t="s">
        <v>6996</v>
      </c>
      <c r="L151" s="3713"/>
      <c r="M151" s="3714" t="s">
        <v>2887</v>
      </c>
      <c r="N151" s="3715"/>
      <c r="O151" s="2735"/>
      <c r="P151" s="2735"/>
      <c r="Q151" s="2735"/>
      <c r="R151" s="2735"/>
      <c r="S151" s="2736"/>
    </row>
    <row r="152" spans="1:24" s="2353" customFormat="1" ht="12" customHeight="1">
      <c r="G152" s="303"/>
      <c r="H152" s="303"/>
      <c r="I152" s="303"/>
      <c r="J152" s="2356"/>
      <c r="K152" s="318" t="s">
        <v>524</v>
      </c>
      <c r="L152" s="523">
        <f>SUM(L139:L151)</f>
        <v>1</v>
      </c>
      <c r="M152" s="2356"/>
      <c r="P152" s="301"/>
    </row>
    <row r="153" spans="1:24" ht="11.25" customHeight="1">
      <c r="A153" s="319" t="s">
        <v>516</v>
      </c>
      <c r="B153" s="330"/>
      <c r="C153" s="319" t="s">
        <v>555</v>
      </c>
      <c r="N153" s="319" t="s">
        <v>516</v>
      </c>
      <c r="O153" s="319" t="s">
        <v>77</v>
      </c>
    </row>
    <row r="154" spans="1:24" ht="60" customHeight="1">
      <c r="A154" s="3716"/>
      <c r="B154" s="3717"/>
      <c r="C154" s="3717"/>
      <c r="D154" s="3717"/>
      <c r="E154" s="3717"/>
      <c r="F154" s="3717"/>
      <c r="G154" s="3717"/>
      <c r="H154" s="3717"/>
      <c r="I154" s="3717"/>
      <c r="J154" s="3717"/>
      <c r="K154" s="3717"/>
      <c r="L154" s="3717"/>
      <c r="M154" s="3718"/>
      <c r="N154" s="3719"/>
      <c r="O154" s="3720"/>
      <c r="P154" s="3720"/>
      <c r="Q154" s="3720"/>
      <c r="R154" s="3720"/>
      <c r="S154" s="3721"/>
      <c r="T154" s="2401" t="s">
        <v>2613</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2"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3" t="s">
        <v>818</v>
      </c>
    </row>
    <row r="161" spans="1:16" s="293" customFormat="1" ht="12" customHeight="1">
      <c r="A161" s="331"/>
      <c r="B161" s="311"/>
      <c r="C161" s="311"/>
      <c r="D161" s="311"/>
      <c r="E161" s="311"/>
      <c r="F161" s="311"/>
      <c r="G161" s="311"/>
      <c r="H161" s="311"/>
      <c r="I161" s="311"/>
      <c r="J161" s="311"/>
      <c r="K161" s="311"/>
      <c r="L161" s="311"/>
      <c r="M161" s="311"/>
      <c r="N161" s="311"/>
      <c r="O161" s="311"/>
      <c r="P161" s="3723" t="s">
        <v>819</v>
      </c>
    </row>
    <row r="162" spans="1:16" s="293" customFormat="1" ht="12" customHeight="1">
      <c r="A162" s="331"/>
      <c r="B162" s="311"/>
      <c r="C162" s="311"/>
      <c r="D162" s="311"/>
      <c r="E162" s="311"/>
      <c r="F162" s="311"/>
      <c r="G162" s="311"/>
      <c r="H162" s="311"/>
      <c r="I162" s="311"/>
      <c r="J162" s="311"/>
      <c r="K162" s="311"/>
      <c r="L162" s="311"/>
      <c r="M162" s="311"/>
      <c r="N162" s="311"/>
      <c r="O162" s="311"/>
      <c r="P162" s="3723" t="s">
        <v>820</v>
      </c>
    </row>
    <row r="163" spans="1:16" s="293" customFormat="1" ht="12" customHeight="1">
      <c r="A163" s="471"/>
      <c r="B163" s="311"/>
      <c r="C163" s="311"/>
      <c r="D163" s="311"/>
      <c r="E163" s="311"/>
      <c r="F163" s="311"/>
      <c r="G163" s="311"/>
      <c r="H163" s="311"/>
      <c r="I163" s="311"/>
      <c r="J163" s="311"/>
      <c r="K163" s="311"/>
      <c r="L163" s="311"/>
      <c r="M163" s="311"/>
      <c r="N163" s="311"/>
      <c r="O163" s="311"/>
      <c r="P163" s="3723" t="s">
        <v>821</v>
      </c>
    </row>
    <row r="164" spans="1:16" s="293" customFormat="1" ht="12" customHeight="1">
      <c r="B164" s="311"/>
      <c r="C164" s="311"/>
      <c r="D164" s="311"/>
      <c r="E164" s="311"/>
      <c r="F164" s="311"/>
      <c r="G164" s="311"/>
      <c r="H164" s="311"/>
      <c r="I164" s="311"/>
      <c r="J164" s="311"/>
      <c r="K164" s="311"/>
      <c r="L164" s="311"/>
      <c r="M164" s="311"/>
      <c r="N164" s="311"/>
      <c r="O164" s="311"/>
      <c r="P164" s="3723" t="s">
        <v>822</v>
      </c>
    </row>
    <row r="165" spans="1:16" s="293" customFormat="1" ht="12" customHeight="1">
      <c r="B165" s="311"/>
      <c r="C165" s="311"/>
      <c r="D165" s="311"/>
      <c r="E165" s="311"/>
      <c r="F165" s="311"/>
      <c r="G165" s="311"/>
      <c r="H165" s="311"/>
      <c r="I165" s="311"/>
      <c r="J165" s="311"/>
      <c r="K165" s="311"/>
      <c r="L165" s="311"/>
      <c r="M165" s="311"/>
      <c r="N165" s="311"/>
      <c r="O165" s="311"/>
      <c r="P165" s="3723" t="s">
        <v>823</v>
      </c>
    </row>
    <row r="166" spans="1:16" s="293" customFormat="1" ht="12" customHeight="1">
      <c r="B166" s="311"/>
      <c r="C166" s="311"/>
      <c r="D166" s="311"/>
      <c r="E166" s="311"/>
      <c r="F166" s="311"/>
      <c r="G166" s="311"/>
      <c r="H166" s="311"/>
      <c r="I166" s="311"/>
      <c r="J166" s="311"/>
      <c r="K166" s="311"/>
      <c r="L166" s="311"/>
      <c r="M166" s="311"/>
      <c r="N166" s="311"/>
      <c r="O166" s="311"/>
      <c r="P166" s="3723" t="s">
        <v>824</v>
      </c>
    </row>
    <row r="167" spans="1:16" s="293" customFormat="1" ht="12" customHeight="1">
      <c r="B167" s="311"/>
      <c r="C167" s="311"/>
      <c r="D167" s="311"/>
      <c r="E167" s="311"/>
      <c r="F167" s="311"/>
      <c r="G167" s="311"/>
      <c r="H167" s="311"/>
      <c r="I167" s="311"/>
      <c r="J167" s="311"/>
      <c r="K167" s="311"/>
      <c r="L167" s="311"/>
      <c r="M167" s="311"/>
      <c r="N167" s="311"/>
      <c r="O167" s="311"/>
      <c r="P167" s="3723" t="s">
        <v>825</v>
      </c>
    </row>
    <row r="168" spans="1:16" ht="12" customHeight="1">
      <c r="P168" s="3723" t="s">
        <v>826</v>
      </c>
    </row>
    <row r="169" spans="1:16" ht="12" customHeight="1">
      <c r="A169" s="319"/>
      <c r="P169" s="3723" t="s">
        <v>827</v>
      </c>
    </row>
    <row r="170" spans="1:16" ht="12" customHeight="1">
      <c r="P170" s="3723" t="s">
        <v>828</v>
      </c>
    </row>
    <row r="171" spans="1:16" ht="12" customHeight="1">
      <c r="P171" s="3723" t="s">
        <v>829</v>
      </c>
    </row>
    <row r="172" spans="1:16" ht="12" customHeight="1">
      <c r="P172" s="3723" t="s">
        <v>830</v>
      </c>
    </row>
    <row r="173" spans="1:16" ht="12" customHeight="1">
      <c r="P173" s="3723" t="s">
        <v>831</v>
      </c>
    </row>
    <row r="174" spans="1:16" ht="12" customHeight="1">
      <c r="P174" s="3723" t="s">
        <v>832</v>
      </c>
    </row>
    <row r="175" spans="1:16" ht="12" customHeight="1">
      <c r="P175" s="3723" t="s">
        <v>833</v>
      </c>
    </row>
    <row r="176" spans="1:16" ht="12" customHeight="1">
      <c r="P176" s="3723" t="s">
        <v>834</v>
      </c>
    </row>
    <row r="177" spans="16:16" ht="12" customHeight="1">
      <c r="P177" s="3723" t="s">
        <v>835</v>
      </c>
    </row>
    <row r="178" spans="16:16" ht="12" customHeight="1">
      <c r="P178" s="3723" t="s">
        <v>836</v>
      </c>
    </row>
    <row r="179" spans="16:16" ht="12" customHeight="1">
      <c r="P179" s="3723" t="s">
        <v>837</v>
      </c>
    </row>
    <row r="180" spans="16:16" ht="12" customHeight="1">
      <c r="P180" s="3723" t="s">
        <v>838</v>
      </c>
    </row>
    <row r="181" spans="16:16" ht="12" customHeight="1">
      <c r="P181" s="3723" t="s">
        <v>839</v>
      </c>
    </row>
    <row r="182" spans="16:16" ht="12" customHeight="1">
      <c r="P182" s="3723" t="s">
        <v>840</v>
      </c>
    </row>
    <row r="183" spans="16:16" ht="12" customHeight="1">
      <c r="P183" s="3723" t="s">
        <v>841</v>
      </c>
    </row>
    <row r="184" spans="16:16" ht="12" customHeight="1">
      <c r="P184" s="3723" t="s">
        <v>842</v>
      </c>
    </row>
    <row r="185" spans="16:16" ht="12" customHeight="1">
      <c r="P185" s="3723" t="s">
        <v>1314</v>
      </c>
    </row>
    <row r="186" spans="16:16" ht="12" customHeight="1">
      <c r="P186" s="3723" t="s">
        <v>1315</v>
      </c>
    </row>
    <row r="187" spans="16:16" ht="12" customHeight="1">
      <c r="P187" s="3723" t="s">
        <v>1316</v>
      </c>
    </row>
    <row r="188" spans="16:16" ht="12" customHeight="1">
      <c r="P188" s="3723" t="s">
        <v>1317</v>
      </c>
    </row>
    <row r="189" spans="16:16" ht="12" customHeight="1">
      <c r="P189" s="3723" t="s">
        <v>1318</v>
      </c>
    </row>
    <row r="190" spans="16:16">
      <c r="P190" s="3723" t="s">
        <v>1319</v>
      </c>
    </row>
    <row r="191" spans="16:16" ht="12" customHeight="1">
      <c r="P191" s="3723" t="s">
        <v>1320</v>
      </c>
    </row>
    <row r="192" spans="16:16" ht="12" customHeight="1">
      <c r="P192" s="3723" t="s">
        <v>1321</v>
      </c>
    </row>
    <row r="193" spans="16:16" ht="12" customHeight="1">
      <c r="P193" s="3723" t="s">
        <v>1322</v>
      </c>
    </row>
    <row r="194" spans="16:16" ht="12" customHeight="1">
      <c r="P194" s="3723" t="s">
        <v>1323</v>
      </c>
    </row>
    <row r="195" spans="16:16" ht="12" customHeight="1">
      <c r="P195" s="3723" t="s">
        <v>1324</v>
      </c>
    </row>
    <row r="196" spans="16:16" ht="12" customHeight="1">
      <c r="P196" s="3723" t="s">
        <v>1325</v>
      </c>
    </row>
    <row r="197" spans="16:16" ht="12" customHeight="1">
      <c r="P197" s="3723" t="s">
        <v>1326</v>
      </c>
    </row>
    <row r="198" spans="16:16" ht="12" customHeight="1">
      <c r="P198" s="3723" t="s">
        <v>1327</v>
      </c>
    </row>
    <row r="199" spans="16:16" ht="12" customHeight="1">
      <c r="P199" s="3723" t="s">
        <v>1328</v>
      </c>
    </row>
    <row r="200" spans="16:16" ht="12" customHeight="1">
      <c r="P200" s="3723" t="s">
        <v>1329</v>
      </c>
    </row>
    <row r="201" spans="16:16" ht="12" customHeight="1">
      <c r="P201" s="3723" t="s">
        <v>1330</v>
      </c>
    </row>
    <row r="202" spans="16:16" ht="12" customHeight="1">
      <c r="P202" s="3723" t="s">
        <v>1331</v>
      </c>
    </row>
    <row r="203" spans="16:16" ht="12" customHeight="1">
      <c r="P203" s="3723" t="s">
        <v>1332</v>
      </c>
    </row>
    <row r="204" spans="16:16" ht="12" customHeight="1">
      <c r="P204" s="3723" t="s">
        <v>1333</v>
      </c>
    </row>
    <row r="205" spans="16:16" ht="12" customHeight="1">
      <c r="P205" s="3723" t="s">
        <v>1334</v>
      </c>
    </row>
    <row r="206" spans="16:16" ht="12" customHeight="1">
      <c r="P206" s="3723" t="s">
        <v>1335</v>
      </c>
    </row>
    <row r="207" spans="16:16" ht="12" customHeight="1">
      <c r="P207" s="3723" t="s">
        <v>1336</v>
      </c>
    </row>
    <row r="208" spans="16:16" ht="12" customHeight="1">
      <c r="P208" s="3723" t="s">
        <v>1337</v>
      </c>
    </row>
    <row r="209" spans="16:16" ht="12" customHeight="1">
      <c r="P209" s="3723" t="s">
        <v>1338</v>
      </c>
    </row>
    <row r="210" spans="16:16" ht="12" customHeight="1">
      <c r="P210" s="3723" t="s">
        <v>1339</v>
      </c>
    </row>
  </sheetData>
  <sheetProtection algorithmName="SHA-512" hashValue="OFgy/GCP0a4nSgDqsvYldOpO2RB/jOEKWaYX1/Oq7xNFhGJIG26ysOyZ0BL/3rLiuqmj/tyfu5Ui8y+ESkdW4A==" saltValue="NSCg3JtTAoYF5Il1A39BG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4" zoomScaleNormal="100" workbookViewId="0">
      <selection activeCell="A34"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34" t="str">
        <f>CONCATENATE("PART THREE - SOURCES OF FUNDS","  -  ",'Part I-Project Information'!$O$6," ",'Part I-Project Information'!$F$34,", ",'Part I-Project Information'!$F$38,", ",'Part I-Project Information'!$J$39," County")</f>
        <v>PART THREE - SOURCES OF FUNDS  -  2020-079 Spring Creek Crossing, Montezuma, Macon County</v>
      </c>
      <c r="B1" s="2435"/>
      <c r="C1" s="2435"/>
      <c r="D1" s="2435"/>
      <c r="E1" s="2435"/>
      <c r="F1" s="2435"/>
      <c r="G1" s="2435"/>
      <c r="H1" s="2435"/>
      <c r="I1" s="2435"/>
      <c r="J1" s="2435"/>
      <c r="K1" s="2435"/>
      <c r="L1" s="2435"/>
      <c r="M1" s="2435"/>
      <c r="N1" s="2435"/>
      <c r="O1" s="2435"/>
      <c r="P1" s="2435"/>
      <c r="Q1" s="2436"/>
      <c r="S1" s="2483" t="str">
        <f>$A$1</f>
        <v>PART THREE - SOURCES OF FUNDS  -  2020-079 Spring Creek Crossing, Montezuma, Macon County</v>
      </c>
      <c r="T1" s="2483"/>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53"/>
      <c r="E3" s="2353"/>
      <c r="F3" s="2353"/>
      <c r="G3" s="2353"/>
      <c r="L3" s="2485" t="str">
        <f>'Part I-Project Information'!$B$6</f>
        <v>May 26, 2020 Version</v>
      </c>
      <c r="M3" s="2486"/>
      <c r="N3" s="2486"/>
      <c r="O3" s="2486"/>
      <c r="P3" s="2487"/>
      <c r="S3" s="338" t="str">
        <f>B3</f>
        <v>GOVERNMENT FUNDING SOURCES  (check all that apply)</v>
      </c>
    </row>
    <row r="4" spans="1:20" s="268" customFormat="1" ht="15.75" customHeight="1">
      <c r="A4" s="319"/>
      <c r="B4" s="471"/>
      <c r="C4" s="314"/>
      <c r="D4" s="2353"/>
      <c r="E4" s="2353"/>
      <c r="F4" s="2353"/>
      <c r="G4" s="2353"/>
      <c r="S4" s="2484" t="s">
        <v>2606</v>
      </c>
      <c r="T4" s="2484"/>
    </row>
    <row r="5" spans="1:20" s="268" customFormat="1" ht="16.5" customHeight="1">
      <c r="A5" s="471"/>
      <c r="B5" s="3626" t="s">
        <v>2884</v>
      </c>
      <c r="C5" s="2348" t="s">
        <v>2347</v>
      </c>
      <c r="D5" s="293"/>
      <c r="E5" s="3626"/>
      <c r="F5" s="2348" t="s">
        <v>3540</v>
      </c>
      <c r="G5" s="293"/>
      <c r="H5" s="3724"/>
      <c r="I5" s="2767"/>
      <c r="L5" s="3626"/>
      <c r="M5" s="2348" t="s">
        <v>1504</v>
      </c>
      <c r="O5" s="3496"/>
      <c r="P5" s="2513" t="s">
        <v>4486</v>
      </c>
      <c r="Q5" s="2513"/>
      <c r="S5" s="3725"/>
      <c r="T5" s="3726"/>
    </row>
    <row r="6" spans="1:20" s="268" customFormat="1" ht="16.5" customHeight="1">
      <c r="A6" s="471"/>
      <c r="B6" s="3509"/>
      <c r="C6" s="2348" t="s">
        <v>4426</v>
      </c>
      <c r="D6" s="293"/>
      <c r="E6" s="3564"/>
      <c r="F6" s="2348" t="s">
        <v>3541</v>
      </c>
      <c r="H6" s="3727"/>
      <c r="I6" s="3728"/>
      <c r="L6" s="3509"/>
      <c r="M6" s="2348" t="s">
        <v>534</v>
      </c>
      <c r="P6" s="2513"/>
      <c r="Q6" s="2513"/>
      <c r="S6" s="3729"/>
      <c r="T6" s="3730"/>
    </row>
    <row r="7" spans="1:20" s="268" customFormat="1" ht="16.5" customHeight="1">
      <c r="A7" s="293"/>
      <c r="B7" s="3509"/>
      <c r="C7" s="2348" t="s">
        <v>535</v>
      </c>
      <c r="F7" s="293" t="s">
        <v>4425</v>
      </c>
      <c r="H7" s="3731" t="s">
        <v>3334</v>
      </c>
      <c r="I7" s="3732"/>
      <c r="J7" s="3733"/>
      <c r="L7" s="3509"/>
      <c r="M7" s="2345" t="s">
        <v>3455</v>
      </c>
      <c r="P7" s="1556"/>
      <c r="Q7" s="1556"/>
      <c r="S7" s="3729"/>
      <c r="T7" s="3730"/>
    </row>
    <row r="8" spans="1:20" s="268" customFormat="1" ht="16.5" customHeight="1">
      <c r="A8" s="471"/>
      <c r="B8" s="3509"/>
      <c r="C8" s="2348" t="s">
        <v>2533</v>
      </c>
      <c r="E8" s="3626"/>
      <c r="F8" s="2345" t="s">
        <v>2541</v>
      </c>
      <c r="L8" s="3509"/>
      <c r="M8" s="2345" t="s">
        <v>4427</v>
      </c>
      <c r="S8" s="3734"/>
      <c r="T8" s="3735"/>
    </row>
    <row r="9" spans="1:20" s="268" customFormat="1" ht="16.5" customHeight="1">
      <c r="A9" s="471"/>
      <c r="B9" s="3509"/>
      <c r="C9" s="2348" t="s">
        <v>2534</v>
      </c>
      <c r="E9" s="3509"/>
      <c r="F9" s="2345" t="s">
        <v>3539</v>
      </c>
      <c r="H9" s="3736" t="s">
        <v>3649</v>
      </c>
      <c r="I9" s="3737"/>
      <c r="J9" s="3733"/>
      <c r="L9" s="3509"/>
      <c r="M9" s="2348" t="s">
        <v>3504</v>
      </c>
      <c r="S9" s="3725"/>
      <c r="T9" s="3726"/>
    </row>
    <row r="10" spans="1:20" s="268" customFormat="1" ht="16.5" customHeight="1">
      <c r="A10" s="471"/>
      <c r="B10" s="3509"/>
      <c r="C10" s="2345" t="s">
        <v>3508</v>
      </c>
      <c r="E10" s="3738"/>
      <c r="F10" s="3739" t="s">
        <v>4220</v>
      </c>
      <c r="G10" s="3591"/>
      <c r="H10" s="3591"/>
      <c r="I10" s="3591"/>
      <c r="J10" s="3606"/>
      <c r="L10" s="3509"/>
      <c r="M10" s="293" t="s">
        <v>2542</v>
      </c>
      <c r="S10" s="3729"/>
      <c r="T10" s="3730"/>
    </row>
    <row r="11" spans="1:20" s="268" customFormat="1" ht="16.5" customHeight="1">
      <c r="A11" s="471"/>
      <c r="B11" s="3509"/>
      <c r="C11" s="293" t="s">
        <v>3660</v>
      </c>
      <c r="F11" s="3740" t="s">
        <v>4222</v>
      </c>
      <c r="G11" s="3741"/>
      <c r="H11" s="3741"/>
      <c r="I11" s="3741"/>
      <c r="J11" s="3742"/>
      <c r="L11" s="3509"/>
      <c r="M11" s="293" t="s">
        <v>3542</v>
      </c>
      <c r="S11" s="3729"/>
      <c r="T11" s="3730"/>
    </row>
    <row r="12" spans="1:20" s="268" customFormat="1" ht="16.5" customHeight="1">
      <c r="A12" s="471"/>
      <c r="B12" s="3509"/>
      <c r="C12" s="293" t="s">
        <v>2540</v>
      </c>
      <c r="E12" s="3743"/>
      <c r="F12" s="3739" t="s">
        <v>4221</v>
      </c>
      <c r="G12" s="3591"/>
      <c r="H12" s="3591"/>
      <c r="I12" s="3591"/>
      <c r="J12" s="3606"/>
      <c r="L12" s="3509"/>
      <c r="M12" s="293" t="s">
        <v>2704</v>
      </c>
      <c r="S12" s="3729"/>
      <c r="T12" s="3730"/>
    </row>
    <row r="13" spans="1:20" s="268" customFormat="1" ht="16.5" customHeight="1">
      <c r="A13" s="471"/>
      <c r="B13" s="3509"/>
      <c r="C13" s="293" t="s">
        <v>3538</v>
      </c>
      <c r="F13" s="3740" t="s">
        <v>4223</v>
      </c>
      <c r="G13" s="3741"/>
      <c r="H13" s="3741"/>
      <c r="I13" s="3741"/>
      <c r="J13" s="3742"/>
      <c r="L13" s="3509"/>
      <c r="M13" s="2345" t="s">
        <v>3659</v>
      </c>
      <c r="S13" s="3734"/>
      <c r="T13" s="3735"/>
    </row>
    <row r="14" spans="1:20" s="268" customFormat="1" ht="16.5" customHeight="1">
      <c r="A14" s="471"/>
      <c r="B14" s="3564"/>
      <c r="C14" s="2348" t="s">
        <v>1757</v>
      </c>
      <c r="E14" s="3496"/>
      <c r="F14" s="2348" t="s">
        <v>4424</v>
      </c>
      <c r="I14" s="3744"/>
      <c r="J14" s="3745"/>
      <c r="L14" s="3564"/>
      <c r="M14" s="288" t="s">
        <v>4429</v>
      </c>
    </row>
    <row r="15" spans="1:20" s="268" customFormat="1" ht="17.100000000000001" customHeight="1">
      <c r="A15" s="471"/>
      <c r="B15" s="268" t="s">
        <v>4428</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7" t="s">
        <v>2285</v>
      </c>
      <c r="C17" s="293"/>
      <c r="D17" s="2353"/>
      <c r="E17" s="293"/>
      <c r="F17" s="293"/>
      <c r="G17" s="293"/>
      <c r="H17" s="268"/>
      <c r="L17" s="293"/>
      <c r="M17" s="2353"/>
      <c r="N17" s="2481"/>
      <c r="O17" s="2481"/>
      <c r="P17" s="293"/>
      <c r="Q17" s="293"/>
      <c r="S17" s="338" t="str">
        <f>B17</f>
        <v>CONSTRUCTION FINANCING</v>
      </c>
    </row>
    <row r="18" spans="1:20" s="338" customFormat="1" ht="5.25" customHeight="1">
      <c r="A18" s="295"/>
      <c r="B18" s="2347"/>
      <c r="C18" s="293"/>
      <c r="K18" s="293"/>
      <c r="L18" s="293"/>
      <c r="M18" s="2353"/>
      <c r="N18" s="2362"/>
      <c r="O18" s="2362"/>
      <c r="P18" s="293"/>
      <c r="Q18" s="293"/>
    </row>
    <row r="19" spans="1:20" s="268" customFormat="1" ht="17.100000000000001" customHeight="1">
      <c r="A19" s="293"/>
      <c r="B19" s="2348" t="s">
        <v>1823</v>
      </c>
      <c r="C19" s="293"/>
      <c r="D19" s="293"/>
      <c r="E19" s="293"/>
      <c r="F19" s="293"/>
      <c r="G19" s="293"/>
      <c r="H19" s="2482" t="s">
        <v>1271</v>
      </c>
      <c r="I19" s="2482"/>
      <c r="J19" s="2482"/>
      <c r="K19" s="2482"/>
      <c r="L19" s="2409" t="s">
        <v>4387</v>
      </c>
      <c r="M19" s="2409"/>
      <c r="N19" s="2409" t="s">
        <v>1475</v>
      </c>
      <c r="O19" s="2409"/>
      <c r="P19" s="2409" t="s">
        <v>1597</v>
      </c>
      <c r="Q19" s="2409"/>
      <c r="S19" s="2484" t="s">
        <v>2606</v>
      </c>
      <c r="T19" s="2484"/>
    </row>
    <row r="20" spans="1:20" s="268" customFormat="1" ht="15.75" customHeight="1">
      <c r="A20" s="293"/>
      <c r="B20" s="2488" t="s">
        <v>1558</v>
      </c>
      <c r="C20" s="2489"/>
      <c r="D20" s="2489"/>
      <c r="E20" s="2359"/>
      <c r="F20" s="2359"/>
      <c r="G20" s="2359"/>
      <c r="H20" s="3746" t="s">
        <v>7064</v>
      </c>
      <c r="I20" s="3747"/>
      <c r="J20" s="3747"/>
      <c r="K20" s="3748"/>
      <c r="L20" s="3749">
        <v>7430272</v>
      </c>
      <c r="M20" s="3750"/>
      <c r="N20" s="3751">
        <v>5.5E-2</v>
      </c>
      <c r="O20" s="3752"/>
      <c r="P20" s="3753">
        <v>18</v>
      </c>
      <c r="Q20" s="3754"/>
      <c r="S20" s="3725"/>
      <c r="T20" s="3726"/>
    </row>
    <row r="21" spans="1:20" s="268" customFormat="1" ht="15.75" customHeight="1">
      <c r="A21" s="293"/>
      <c r="B21" s="2490" t="s">
        <v>1559</v>
      </c>
      <c r="C21" s="2491"/>
      <c r="D21" s="2491"/>
      <c r="E21" s="2353"/>
      <c r="F21" s="2353"/>
      <c r="G21" s="2353"/>
      <c r="H21" s="3755"/>
      <c r="I21" s="3756"/>
      <c r="J21" s="3756"/>
      <c r="K21" s="3757"/>
      <c r="L21" s="3758"/>
      <c r="M21" s="3759"/>
      <c r="N21" s="3760"/>
      <c r="O21" s="3761"/>
      <c r="P21" s="3762"/>
      <c r="Q21" s="3763"/>
      <c r="S21" s="3729"/>
      <c r="T21" s="3730"/>
    </row>
    <row r="22" spans="1:20" s="268" customFormat="1" ht="15.75" customHeight="1">
      <c r="A22" s="293"/>
      <c r="B22" s="2495" t="s">
        <v>1560</v>
      </c>
      <c r="C22" s="2496"/>
      <c r="D22" s="2496"/>
      <c r="E22" s="2361"/>
      <c r="F22" s="2361"/>
      <c r="G22" s="2361"/>
      <c r="H22" s="3764"/>
      <c r="I22" s="3765"/>
      <c r="J22" s="3765"/>
      <c r="K22" s="3766"/>
      <c r="L22" s="3767"/>
      <c r="M22" s="3768"/>
      <c r="N22" s="3769"/>
      <c r="O22" s="3770"/>
      <c r="P22" s="3771"/>
      <c r="Q22" s="3772"/>
      <c r="S22" s="3729"/>
      <c r="T22" s="3730"/>
    </row>
    <row r="23" spans="1:20" s="268" customFormat="1" ht="15.75" customHeight="1">
      <c r="A23" s="293"/>
      <c r="B23" s="2488" t="s">
        <v>2158</v>
      </c>
      <c r="C23" s="2489"/>
      <c r="D23" s="2489"/>
      <c r="E23" s="2353"/>
      <c r="F23" s="2353"/>
      <c r="G23" s="2353"/>
      <c r="H23" s="3773"/>
      <c r="I23" s="3774"/>
      <c r="J23" s="3774"/>
      <c r="K23" s="3775"/>
      <c r="L23" s="3776"/>
      <c r="M23" s="3777"/>
      <c r="N23" s="2492"/>
      <c r="O23" s="2493"/>
      <c r="P23" s="2494"/>
      <c r="Q23" s="2494"/>
      <c r="S23" s="3729"/>
      <c r="T23" s="3730"/>
    </row>
    <row r="24" spans="1:20" s="268" customFormat="1" ht="15.75" customHeight="1">
      <c r="A24" s="293"/>
      <c r="B24" s="2490" t="s">
        <v>781</v>
      </c>
      <c r="C24" s="2491"/>
      <c r="D24" s="2491"/>
      <c r="E24" s="2353"/>
      <c r="H24" s="3755"/>
      <c r="I24" s="3756"/>
      <c r="J24" s="3756"/>
      <c r="K24" s="3757"/>
      <c r="L24" s="3758"/>
      <c r="M24" s="3759"/>
      <c r="N24" s="2492"/>
      <c r="O24" s="2493"/>
      <c r="P24" s="2494"/>
      <c r="Q24" s="2494"/>
      <c r="S24" s="3729"/>
      <c r="T24" s="3730"/>
    </row>
    <row r="25" spans="1:20" s="268" customFormat="1" ht="15.75" customHeight="1">
      <c r="A25" s="293"/>
      <c r="B25" s="2490" t="s">
        <v>623</v>
      </c>
      <c r="C25" s="2491"/>
      <c r="D25" s="2491"/>
      <c r="E25" s="2353"/>
      <c r="H25" s="3755"/>
      <c r="I25" s="3756"/>
      <c r="J25" s="3756"/>
      <c r="K25" s="3757"/>
      <c r="L25" s="3758"/>
      <c r="M25" s="3759"/>
      <c r="N25" s="2492"/>
      <c r="O25" s="2493"/>
      <c r="P25" s="2494"/>
      <c r="Q25" s="2494"/>
      <c r="S25" s="3729"/>
      <c r="T25" s="3730"/>
    </row>
    <row r="26" spans="1:20" s="268" customFormat="1" ht="15.75" customHeight="1">
      <c r="A26" s="293"/>
      <c r="B26" s="2490" t="s">
        <v>782</v>
      </c>
      <c r="C26" s="2491"/>
      <c r="D26" s="2491"/>
      <c r="E26" s="2353"/>
      <c r="H26" s="3755" t="s">
        <v>7058</v>
      </c>
      <c r="I26" s="3756"/>
      <c r="J26" s="3756"/>
      <c r="K26" s="3757"/>
      <c r="L26" s="3758">
        <v>1478762</v>
      </c>
      <c r="M26" s="3759"/>
      <c r="N26" s="293"/>
      <c r="Q26" s="293"/>
      <c r="S26" s="3734"/>
      <c r="T26" s="3735"/>
    </row>
    <row r="27" spans="1:20" s="268" customFormat="1" ht="15.75" customHeight="1">
      <c r="A27" s="293"/>
      <c r="B27" s="2490" t="s">
        <v>783</v>
      </c>
      <c r="C27" s="2491"/>
      <c r="D27" s="2491"/>
      <c r="E27" s="2353"/>
      <c r="H27" s="3755" t="s">
        <v>7058</v>
      </c>
      <c r="I27" s="3756"/>
      <c r="J27" s="3756"/>
      <c r="K27" s="3757"/>
      <c r="L27" s="3758">
        <v>680940</v>
      </c>
      <c r="M27" s="3759"/>
      <c r="N27" s="293"/>
      <c r="Q27" s="293"/>
      <c r="S27" s="3725"/>
      <c r="T27" s="3726"/>
    </row>
    <row r="28" spans="1:20" s="268" customFormat="1" ht="15.75" customHeight="1">
      <c r="A28" s="293"/>
      <c r="B28" s="2352" t="s">
        <v>237</v>
      </c>
      <c r="C28" s="2353"/>
      <c r="D28" s="3778" t="s">
        <v>7059</v>
      </c>
      <c r="E28" s="3778"/>
      <c r="F28" s="3778"/>
      <c r="G28" s="3778"/>
      <c r="H28" s="3755"/>
      <c r="I28" s="3756"/>
      <c r="J28" s="3756"/>
      <c r="K28" s="3757"/>
      <c r="L28" s="3758">
        <v>110</v>
      </c>
      <c r="M28" s="3759"/>
      <c r="N28" s="293"/>
      <c r="Q28" s="293"/>
      <c r="S28" s="3729"/>
      <c r="T28" s="3730"/>
    </row>
    <row r="29" spans="1:20" s="268" customFormat="1" ht="15.75" customHeight="1">
      <c r="A29" s="293"/>
      <c r="B29" s="2352" t="s">
        <v>237</v>
      </c>
      <c r="C29" s="2353"/>
      <c r="D29" s="3779"/>
      <c r="E29" s="3779"/>
      <c r="F29" s="3779"/>
      <c r="G29" s="3779"/>
      <c r="H29" s="3755"/>
      <c r="I29" s="3756"/>
      <c r="J29" s="3756"/>
      <c r="K29" s="3757"/>
      <c r="L29" s="3758"/>
      <c r="M29" s="3759"/>
      <c r="N29" s="293"/>
      <c r="S29" s="3729"/>
      <c r="T29" s="3730"/>
    </row>
    <row r="30" spans="1:20" s="268" customFormat="1" ht="15.75" customHeight="1">
      <c r="A30" s="293"/>
      <c r="B30" s="2360" t="s">
        <v>237</v>
      </c>
      <c r="C30" s="2361"/>
      <c r="D30" s="3780"/>
      <c r="E30" s="3780"/>
      <c r="F30" s="3780"/>
      <c r="G30" s="3780"/>
      <c r="H30" s="3764"/>
      <c r="I30" s="3765"/>
      <c r="J30" s="3765"/>
      <c r="K30" s="3766"/>
      <c r="L30" s="3767"/>
      <c r="M30" s="3768"/>
      <c r="N30" s="293"/>
      <c r="S30" s="3729"/>
      <c r="T30" s="3730"/>
    </row>
    <row r="31" spans="1:20" s="268" customFormat="1" ht="16.5" customHeight="1">
      <c r="A31" s="293"/>
      <c r="B31" s="2347" t="s">
        <v>1272</v>
      </c>
      <c r="C31" s="293"/>
      <c r="D31" s="293"/>
      <c r="E31" s="293"/>
      <c r="F31" s="293"/>
      <c r="G31" s="293"/>
      <c r="H31" s="293"/>
      <c r="I31" s="293"/>
      <c r="L31" s="2497">
        <f>SUM(L20:L30)</f>
        <v>9590084</v>
      </c>
      <c r="M31" s="2498"/>
      <c r="N31" s="311"/>
      <c r="S31" s="3729"/>
      <c r="T31" s="3730"/>
    </row>
    <row r="32" spans="1:20" s="268" customFormat="1" ht="16.5" customHeight="1">
      <c r="A32" s="293"/>
      <c r="B32" s="2348" t="s">
        <v>1273</v>
      </c>
      <c r="C32" s="293"/>
      <c r="D32" s="293"/>
      <c r="E32" s="293"/>
      <c r="F32" s="293"/>
      <c r="G32" s="293"/>
      <c r="H32" s="293"/>
      <c r="I32" s="293"/>
      <c r="L32" s="378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9590084</v>
      </c>
      <c r="M32" s="3782"/>
      <c r="N32" s="820"/>
      <c r="S32" s="3729"/>
      <c r="T32" s="3730"/>
    </row>
    <row r="33" spans="1:20" s="268" customFormat="1" ht="16.5" customHeight="1">
      <c r="A33" s="293"/>
      <c r="B33" s="2345" t="s">
        <v>2106</v>
      </c>
      <c r="C33" s="293"/>
      <c r="D33" s="293"/>
      <c r="E33" s="293"/>
      <c r="F33" s="293"/>
      <c r="G33" s="293"/>
      <c r="H33" s="293"/>
      <c r="I33" s="293"/>
      <c r="L33" s="2499">
        <f>L31-L32</f>
        <v>0</v>
      </c>
      <c r="M33" s="2500"/>
      <c r="N33" s="820"/>
      <c r="S33" s="3734"/>
      <c r="T33" s="3735"/>
    </row>
    <row r="34" spans="1:20" ht="9.6" customHeight="1">
      <c r="A34" s="319"/>
      <c r="B34" s="2347"/>
      <c r="C34" s="311"/>
      <c r="D34" s="311"/>
      <c r="E34" s="311"/>
      <c r="F34" s="311"/>
      <c r="G34" s="311"/>
      <c r="H34" s="311"/>
      <c r="I34" s="311"/>
      <c r="J34" s="311"/>
      <c r="K34" s="311"/>
      <c r="L34" s="311"/>
      <c r="M34" s="2356"/>
      <c r="N34" s="2356"/>
    </row>
    <row r="35" spans="1:20" ht="9.6" customHeight="1">
      <c r="A35" s="295" t="s">
        <v>724</v>
      </c>
      <c r="B35" s="2347" t="s">
        <v>780</v>
      </c>
      <c r="C35" s="311"/>
      <c r="D35" s="311"/>
      <c r="E35" s="311"/>
      <c r="F35" s="311"/>
      <c r="G35" s="311"/>
      <c r="H35" s="311"/>
      <c r="I35" s="311"/>
      <c r="J35" s="311"/>
      <c r="K35" s="311"/>
      <c r="L35" s="311"/>
      <c r="M35" s="2356"/>
      <c r="N35" s="2356"/>
      <c r="O35" s="311"/>
      <c r="S35" s="338" t="str">
        <f>B35</f>
        <v>PERMANENT FINANCING</v>
      </c>
    </row>
    <row r="36" spans="1:20" s="268" customFormat="1" ht="13.35" customHeight="1">
      <c r="A36" s="293"/>
      <c r="B36" s="293"/>
      <c r="C36" s="293"/>
      <c r="D36" s="293"/>
      <c r="E36" s="293"/>
      <c r="F36" s="2356"/>
      <c r="G36" s="2356"/>
      <c r="H36" s="2494"/>
      <c r="I36" s="2494"/>
      <c r="K36" s="364" t="s">
        <v>2050</v>
      </c>
      <c r="L36" s="2356" t="s">
        <v>1269</v>
      </c>
      <c r="M36" s="2356" t="s">
        <v>1274</v>
      </c>
      <c r="P36" s="2501" t="s">
        <v>32</v>
      </c>
      <c r="Q36" s="2501"/>
      <c r="S36" s="338"/>
    </row>
    <row r="37" spans="1:20" s="268" customFormat="1" ht="13.35" customHeight="1">
      <c r="A37" s="293"/>
      <c r="B37" s="2363" t="s">
        <v>1823</v>
      </c>
      <c r="C37" s="2361"/>
      <c r="D37" s="2361"/>
      <c r="E37" s="2419" t="s">
        <v>1271</v>
      </c>
      <c r="F37" s="2419"/>
      <c r="G37" s="2419"/>
      <c r="H37" s="2419"/>
      <c r="I37" s="2409" t="s">
        <v>4386</v>
      </c>
      <c r="J37" s="2409"/>
      <c r="K37" s="2350" t="s">
        <v>1760</v>
      </c>
      <c r="L37" s="2350" t="s">
        <v>2157</v>
      </c>
      <c r="M37" s="2350" t="s">
        <v>2157</v>
      </c>
      <c r="N37" s="2409" t="s">
        <v>72</v>
      </c>
      <c r="O37" s="2409"/>
      <c r="P37" s="3783"/>
      <c r="Q37" s="3783"/>
      <c r="S37" s="2484" t="s">
        <v>2606</v>
      </c>
      <c r="T37" s="2484"/>
    </row>
    <row r="38" spans="1:20" s="268" customFormat="1" ht="15.75" customHeight="1">
      <c r="A38" s="293"/>
      <c r="B38" s="2488" t="s">
        <v>2546</v>
      </c>
      <c r="C38" s="2489"/>
      <c r="D38" s="2489"/>
      <c r="E38" s="3746"/>
      <c r="F38" s="3747"/>
      <c r="G38" s="3747"/>
      <c r="H38" s="3748"/>
      <c r="I38" s="3784"/>
      <c r="J38" s="3785"/>
      <c r="K38" s="3786"/>
      <c r="L38" s="3563"/>
      <c r="M38" s="3563"/>
      <c r="N38" s="3787"/>
      <c r="O38" s="3787"/>
      <c r="P38" s="3788" t="str">
        <f>IF(OR(I38&lt;=0,I38=""),"",IF(N38="Cash Flow",0,IF(N38="Amortizing",-PMT(K38/12,M38*12,I38,0,0)*12,"")))</f>
        <v/>
      </c>
      <c r="Q38" s="3788"/>
      <c r="S38" s="3725"/>
      <c r="T38" s="3726"/>
    </row>
    <row r="39" spans="1:20" s="268" customFormat="1" ht="15.75" customHeight="1">
      <c r="A39" s="293"/>
      <c r="B39" s="2490" t="s">
        <v>2547</v>
      </c>
      <c r="C39" s="2491"/>
      <c r="D39" s="2491"/>
      <c r="E39" s="3755"/>
      <c r="F39" s="3756"/>
      <c r="G39" s="3756"/>
      <c r="H39" s="3757"/>
      <c r="I39" s="3789"/>
      <c r="J39" s="3790"/>
      <c r="K39" s="3791"/>
      <c r="L39" s="3509"/>
      <c r="M39" s="3509"/>
      <c r="N39" s="3792"/>
      <c r="O39" s="3792"/>
      <c r="P39" s="3793" t="str">
        <f>IF(OR(I39&lt;=0,I39=""),"",IF(N39="Cash Flow",0,IF(N39="Amortizing",-PMT(K39/12,M39*12,I39,0,0)*12,"")))</f>
        <v/>
      </c>
      <c r="Q39" s="3793"/>
      <c r="S39" s="3729"/>
      <c r="T39" s="3730"/>
    </row>
    <row r="40" spans="1:20" s="268" customFormat="1" ht="15.75" customHeight="1">
      <c r="A40" s="293"/>
      <c r="B40" s="2490" t="s">
        <v>2548</v>
      </c>
      <c r="C40" s="2491"/>
      <c r="D40" s="2491"/>
      <c r="E40" s="3755"/>
      <c r="F40" s="3756"/>
      <c r="G40" s="3756"/>
      <c r="H40" s="3757"/>
      <c r="I40" s="3789"/>
      <c r="J40" s="3790"/>
      <c r="K40" s="3791"/>
      <c r="L40" s="3509"/>
      <c r="M40" s="3509"/>
      <c r="N40" s="3792"/>
      <c r="O40" s="3792"/>
      <c r="P40" s="3793" t="str">
        <f>IF(OR(I40&lt;=0,I40=""),"",IF(N40="Cash Flow",0,IF(N40="Amortizing",-PMT(K40/12,M40*12,I40,0,0)*12,"")))</f>
        <v/>
      </c>
      <c r="Q40" s="3793"/>
      <c r="S40" s="3729"/>
      <c r="T40" s="3730"/>
    </row>
    <row r="41" spans="1:20" s="268" customFormat="1" ht="15.75" customHeight="1">
      <c r="A41" s="293"/>
      <c r="B41" s="2352" t="s">
        <v>723</v>
      </c>
      <c r="C41" s="3794"/>
      <c r="D41" s="3795"/>
      <c r="E41" s="3755"/>
      <c r="F41" s="3756"/>
      <c r="G41" s="3756"/>
      <c r="H41" s="3757"/>
      <c r="I41" s="3796"/>
      <c r="J41" s="3797"/>
      <c r="K41" s="3798"/>
      <c r="L41" s="3564"/>
      <c r="M41" s="3564"/>
      <c r="N41" s="3799"/>
      <c r="O41" s="3799"/>
      <c r="P41" s="3800" t="str">
        <f>IF(OR(I41&lt;=0,I41=""),"",IF(N41="Cash Flow",0,IF(N41="Amortizing",-PMT(K41/12,M41*12,I41,0,0)*12,"")))</f>
        <v/>
      </c>
      <c r="Q41" s="3800"/>
      <c r="S41" s="3729"/>
      <c r="T41" s="3730"/>
    </row>
    <row r="42" spans="1:20" s="268" customFormat="1" ht="15.75" customHeight="1">
      <c r="A42" s="293"/>
      <c r="B42" s="2352" t="s">
        <v>4551</v>
      </c>
      <c r="C42" s="2353"/>
      <c r="D42" s="2354"/>
      <c r="E42" s="3755"/>
      <c r="F42" s="3756"/>
      <c r="G42" s="3756"/>
      <c r="H42" s="3757"/>
      <c r="I42" s="3789"/>
      <c r="J42" s="3790"/>
      <c r="K42" s="451"/>
      <c r="L42" s="2355"/>
      <c r="M42" s="2355"/>
      <c r="N42" s="2509"/>
      <c r="O42" s="2509"/>
      <c r="P42" s="2508"/>
      <c r="Q42" s="2508"/>
      <c r="S42" s="3729"/>
      <c r="T42" s="3730"/>
    </row>
    <row r="43" spans="1:20" s="268" customFormat="1" ht="15.75" customHeight="1">
      <c r="A43" s="293"/>
      <c r="B43" s="2360" t="s">
        <v>223</v>
      </c>
      <c r="C43" s="2361"/>
      <c r="D43" s="365">
        <f>IF(OR(I43="",I43=0,'Part IV-A-Uses of Funds'!$G$118="",'Part IV-A-Uses of Funds'!$G$118=0),"",I43/'Part IV-A-Uses of Funds'!$G$118)</f>
        <v>4.5965600000000002E-2</v>
      </c>
      <c r="E43" s="3764" t="s">
        <v>6987</v>
      </c>
      <c r="F43" s="3765"/>
      <c r="G43" s="3765"/>
      <c r="H43" s="3766"/>
      <c r="I43" s="3801">
        <v>57457</v>
      </c>
      <c r="J43" s="3802"/>
      <c r="K43" s="3803">
        <v>0</v>
      </c>
      <c r="L43" s="3496">
        <v>15</v>
      </c>
      <c r="M43" s="3496"/>
      <c r="N43" s="3804" t="s">
        <v>1142</v>
      </c>
      <c r="O43" s="3805"/>
      <c r="P43" s="3806">
        <f>IF(OR(I43&lt;=0,I43=""),"",IF(N43="Cash Flow",0,IF(N43="Amortizing",-PMT(K43/12,M43*12,I43,0,0)*12,"")))</f>
        <v>0</v>
      </c>
      <c r="Q43" s="3807"/>
      <c r="S43" s="3729"/>
      <c r="T43" s="3730"/>
    </row>
    <row r="44" spans="1:20" s="268" customFormat="1" ht="3" customHeight="1">
      <c r="A44" s="293"/>
      <c r="B44" s="293"/>
      <c r="C44" s="293"/>
      <c r="D44" s="293"/>
      <c r="E44" s="293"/>
      <c r="F44" s="293"/>
      <c r="G44" s="293"/>
      <c r="H44" s="293"/>
      <c r="I44" s="3808"/>
      <c r="J44" s="3809"/>
      <c r="K44" s="3810"/>
      <c r="L44" s="2356"/>
      <c r="M44" s="2356"/>
      <c r="N44" s="3811"/>
      <c r="O44" s="3811"/>
      <c r="P44" s="2356"/>
      <c r="Q44" s="2356"/>
      <c r="S44" s="3729"/>
      <c r="T44" s="3730"/>
    </row>
    <row r="45" spans="1:20" s="268" customFormat="1" ht="14.25" customHeight="1">
      <c r="A45" s="293"/>
      <c r="B45" s="1020" t="s">
        <v>3831</v>
      </c>
      <c r="C45" s="2353"/>
      <c r="E45" s="268" t="s">
        <v>3770</v>
      </c>
      <c r="F45" s="2504">
        <f>IF(OR($I$43="",$I$43=0,'Part VII-Pro Forma'!$S$34=0,'Part VII-Pro Forma'!$S$34=""),"",VLOOKUP($L$43,'Part VII-Pro Forma'!$Q$20:$S$39,3))</f>
        <v>687602.48204061727</v>
      </c>
      <c r="G45" s="2505"/>
      <c r="H45" s="582" t="s">
        <v>3830</v>
      </c>
      <c r="I45" s="2504">
        <f>IF(OR($I$43="",$I$43=0,'Part VII-Pro Forma'!$R$34=0,'Part VII-Pro Forma'!$R$34=""),"",VLOOKUP($L$43,'Part VII-Pro Forma'!$Q$20:$S$34,2))</f>
        <v>57457</v>
      </c>
      <c r="J45" s="2505"/>
      <c r="K45" s="582" t="s">
        <v>3832</v>
      </c>
      <c r="L45" s="2502">
        <f>IF(OR($F$45 = 0,$F$45 =""),"",$I$45/$F$45)</f>
        <v>8.3561362125225677E-2</v>
      </c>
      <c r="M45" s="2503"/>
      <c r="N45" s="3812" t="s">
        <v>4394</v>
      </c>
      <c r="O45" s="3813"/>
      <c r="P45" s="2506">
        <f>IF(OR($I$60=0,$I$58&gt;$I$59),0,ABS($I$58-$I$59))</f>
        <v>0</v>
      </c>
      <c r="Q45" s="2507"/>
      <c r="S45" s="3729"/>
      <c r="T45" s="3730"/>
    </row>
    <row r="46" spans="1:20" s="268" customFormat="1" ht="3" customHeight="1">
      <c r="A46" s="293"/>
      <c r="B46" s="293"/>
      <c r="C46" s="293"/>
      <c r="D46" s="293"/>
      <c r="E46" s="293"/>
      <c r="F46" s="293"/>
      <c r="G46" s="293"/>
      <c r="H46" s="293"/>
      <c r="I46" s="3814"/>
      <c r="J46" s="3815"/>
      <c r="K46" s="3810"/>
      <c r="L46" s="2356"/>
      <c r="M46" s="2356"/>
      <c r="N46" s="3811"/>
      <c r="O46" s="3811"/>
      <c r="P46" s="2356"/>
      <c r="Q46" s="2356"/>
      <c r="S46" s="3734"/>
      <c r="T46" s="3735"/>
    </row>
    <row r="47" spans="1:20" s="268" customFormat="1" ht="15.75" customHeight="1">
      <c r="A47" s="293"/>
      <c r="B47" s="2515" t="s">
        <v>2158</v>
      </c>
      <c r="C47" s="2516"/>
      <c r="D47" s="2517"/>
      <c r="E47" s="3746"/>
      <c r="F47" s="3747"/>
      <c r="G47" s="3747"/>
      <c r="H47" s="3748"/>
      <c r="I47" s="3816"/>
      <c r="J47" s="3817"/>
      <c r="K47" s="366"/>
      <c r="L47" s="366"/>
      <c r="M47" s="366"/>
      <c r="N47" s="366"/>
      <c r="O47" s="366"/>
      <c r="P47" s="397" t="s">
        <v>502</v>
      </c>
      <c r="Q47" s="366"/>
      <c r="S47" s="3725"/>
      <c r="T47" s="3726"/>
    </row>
    <row r="48" spans="1:20" s="268" customFormat="1" ht="15.75" customHeight="1">
      <c r="A48" s="293"/>
      <c r="B48" s="2490" t="s">
        <v>781</v>
      </c>
      <c r="C48" s="2491"/>
      <c r="D48" s="2512"/>
      <c r="E48" s="3755"/>
      <c r="F48" s="3756"/>
      <c r="G48" s="3756"/>
      <c r="H48" s="3757"/>
      <c r="I48" s="3789"/>
      <c r="J48" s="3790"/>
      <c r="L48" s="2518" t="s">
        <v>503</v>
      </c>
      <c r="M48" s="2518"/>
      <c r="N48" s="2519" t="s">
        <v>504</v>
      </c>
      <c r="O48" s="2519"/>
      <c r="P48" s="398" t="s">
        <v>2493</v>
      </c>
      <c r="Q48" s="366"/>
      <c r="S48" s="3729"/>
      <c r="T48" s="3730"/>
    </row>
    <row r="49" spans="1:23" s="268" customFormat="1" ht="15.75" customHeight="1">
      <c r="A49" s="293"/>
      <c r="B49" s="2490" t="s">
        <v>782</v>
      </c>
      <c r="C49" s="2491"/>
      <c r="D49" s="2512"/>
      <c r="E49" s="3755" t="s">
        <v>6997</v>
      </c>
      <c r="F49" s="3756"/>
      <c r="G49" s="3756"/>
      <c r="H49" s="3757"/>
      <c r="I49" s="3789">
        <v>7393806</v>
      </c>
      <c r="J49" s="3789"/>
      <c r="L49" s="2510">
        <f>'Part IV-A-Uses of Funds'!$J$184*10*'Part IV-A-Uses of Funds'!$N$175</f>
        <v>7470000</v>
      </c>
      <c r="M49" s="2510"/>
      <c r="N49" s="2511">
        <f>I49-L49</f>
        <v>-76194</v>
      </c>
      <c r="O49" s="2511"/>
      <c r="P49" s="399">
        <f>I49/I59</f>
        <v>0.68107556019566196</v>
      </c>
      <c r="Q49" s="366"/>
      <c r="S49" s="3729"/>
      <c r="T49" s="3730"/>
    </row>
    <row r="50" spans="1:23" s="268" customFormat="1" ht="15.75" customHeight="1">
      <c r="A50" s="293"/>
      <c r="B50" s="2490" t="s">
        <v>783</v>
      </c>
      <c r="C50" s="2491"/>
      <c r="D50" s="2512"/>
      <c r="E50" s="3755" t="s">
        <v>6997</v>
      </c>
      <c r="F50" s="3756"/>
      <c r="G50" s="3756"/>
      <c r="H50" s="3757"/>
      <c r="I50" s="3789">
        <v>3404700</v>
      </c>
      <c r="J50" s="3789"/>
      <c r="L50" s="2510">
        <f>'Part IV-A-Uses of Funds'!$J$184*10*'Part IV-A-Uses of Funds'!$Q$175</f>
        <v>3330000</v>
      </c>
      <c r="M50" s="2510"/>
      <c r="N50" s="2511">
        <f>I50-L50</f>
        <v>74700</v>
      </c>
      <c r="O50" s="2511"/>
      <c r="P50" s="399">
        <f>I50/I59</f>
        <v>0.31362169359030656</v>
      </c>
      <c r="Q50" s="366"/>
      <c r="S50" s="3729"/>
      <c r="T50" s="3730"/>
    </row>
    <row r="51" spans="1:23" s="268" customFormat="1" ht="15.75" customHeight="1">
      <c r="A51" s="293"/>
      <c r="B51" s="2490" t="s">
        <v>1383</v>
      </c>
      <c r="C51" s="2491"/>
      <c r="D51" s="2512"/>
      <c r="E51" s="3755"/>
      <c r="F51" s="3756"/>
      <c r="G51" s="3756"/>
      <c r="H51" s="3757"/>
      <c r="I51" s="3789"/>
      <c r="J51" s="3789"/>
      <c r="P51" s="400">
        <f>SUM(P49:P50)</f>
        <v>0.99469725378596852</v>
      </c>
      <c r="Q51" s="366"/>
      <c r="S51" s="3734"/>
      <c r="T51" s="3735"/>
    </row>
    <row r="52" spans="1:23" s="268" customFormat="1" ht="15.75" customHeight="1">
      <c r="A52" s="293"/>
      <c r="B52" s="2352" t="s">
        <v>517</v>
      </c>
      <c r="C52" s="2353"/>
      <c r="D52" s="2354"/>
      <c r="E52" s="3755"/>
      <c r="F52" s="3756"/>
      <c r="G52" s="3756"/>
      <c r="H52" s="3757"/>
      <c r="I52" s="3789"/>
      <c r="J52" s="3789"/>
      <c r="K52" s="293"/>
      <c r="Q52" s="366"/>
      <c r="S52" s="3729"/>
      <c r="T52" s="3730"/>
    </row>
    <row r="53" spans="1:23" s="268" customFormat="1" ht="15.75" customHeight="1">
      <c r="A53" s="293"/>
      <c r="B53" s="2352" t="s">
        <v>1821</v>
      </c>
      <c r="C53" s="2353"/>
      <c r="D53" s="2354"/>
      <c r="E53" s="3755"/>
      <c r="F53" s="3756"/>
      <c r="G53" s="3756"/>
      <c r="H53" s="3757"/>
      <c r="I53" s="3789"/>
      <c r="J53" s="3789"/>
      <c r="N53" s="367"/>
      <c r="O53" s="367"/>
      <c r="P53" s="367"/>
      <c r="Q53" s="366"/>
      <c r="S53" s="3729"/>
      <c r="T53" s="3730"/>
    </row>
    <row r="54" spans="1:23" s="268" customFormat="1" ht="15.75" customHeight="1">
      <c r="A54" s="293"/>
      <c r="B54" s="2352" t="s">
        <v>1822</v>
      </c>
      <c r="C54" s="2353"/>
      <c r="D54" s="2354"/>
      <c r="E54" s="3755"/>
      <c r="F54" s="3756"/>
      <c r="G54" s="3756"/>
      <c r="H54" s="3757"/>
      <c r="I54" s="3789"/>
      <c r="J54" s="3789"/>
      <c r="M54" s="367"/>
      <c r="N54" s="367"/>
      <c r="O54" s="367"/>
      <c r="P54" s="367"/>
      <c r="Q54" s="366"/>
      <c r="S54" s="3729"/>
      <c r="T54" s="3730"/>
    </row>
    <row r="55" spans="1:23" s="268" customFormat="1" ht="15.75" customHeight="1">
      <c r="A55" s="293"/>
      <c r="B55" s="2352" t="s">
        <v>723</v>
      </c>
      <c r="C55" s="3778" t="s">
        <v>7059</v>
      </c>
      <c r="D55" s="3778"/>
      <c r="E55" s="3755"/>
      <c r="F55" s="3756"/>
      <c r="G55" s="3756"/>
      <c r="H55" s="3757"/>
      <c r="I55" s="3789">
        <v>110</v>
      </c>
      <c r="J55" s="3789"/>
      <c r="M55" s="367"/>
      <c r="N55" s="367"/>
      <c r="O55" s="367"/>
      <c r="P55" s="367"/>
      <c r="Q55" s="366"/>
      <c r="S55" s="3729"/>
      <c r="T55" s="3730"/>
    </row>
    <row r="56" spans="1:23" s="268" customFormat="1" ht="15.75" customHeight="1">
      <c r="A56" s="293"/>
      <c r="B56" s="2352" t="s">
        <v>723</v>
      </c>
      <c r="C56" s="3779"/>
      <c r="D56" s="3779"/>
      <c r="E56" s="3755"/>
      <c r="F56" s="3756"/>
      <c r="G56" s="3756"/>
      <c r="H56" s="3757"/>
      <c r="I56" s="3789"/>
      <c r="J56" s="3789"/>
      <c r="K56" s="293"/>
      <c r="L56" s="368"/>
      <c r="M56" s="367"/>
      <c r="N56" s="367"/>
      <c r="O56" s="367"/>
      <c r="P56" s="367"/>
      <c r="Q56" s="366"/>
      <c r="S56" s="3729"/>
      <c r="T56" s="3730"/>
    </row>
    <row r="57" spans="1:23" s="268" customFormat="1" ht="15.75" customHeight="1">
      <c r="A57" s="293"/>
      <c r="B57" s="2360" t="s">
        <v>723</v>
      </c>
      <c r="C57" s="3780"/>
      <c r="D57" s="3780"/>
      <c r="E57" s="3764"/>
      <c r="F57" s="3765"/>
      <c r="G57" s="3765"/>
      <c r="H57" s="3766"/>
      <c r="I57" s="3818"/>
      <c r="J57" s="3818"/>
      <c r="K57" s="293"/>
      <c r="L57" s="368"/>
      <c r="M57" s="367"/>
      <c r="N57" s="367"/>
      <c r="O57" s="367"/>
      <c r="P57" s="367"/>
      <c r="Q57" s="366"/>
      <c r="S57" s="3729"/>
      <c r="T57" s="3730"/>
    </row>
    <row r="58" spans="1:23" s="268" customFormat="1" ht="14.25" customHeight="1">
      <c r="A58" s="293"/>
      <c r="B58" s="2348" t="s">
        <v>2159</v>
      </c>
      <c r="C58" s="293"/>
      <c r="D58" s="293"/>
      <c r="E58" s="293"/>
      <c r="F58" s="293"/>
      <c r="G58" s="293"/>
      <c r="I58" s="2520">
        <f>SUM(I38:J43)+SUM(I47:J57)</f>
        <v>10856073</v>
      </c>
      <c r="J58" s="2521"/>
      <c r="K58" s="293"/>
      <c r="L58" s="368"/>
      <c r="M58" s="367"/>
      <c r="N58" s="367"/>
      <c r="O58" s="367"/>
      <c r="P58" s="367"/>
      <c r="Q58" s="366"/>
      <c r="S58" s="3729"/>
      <c r="T58" s="3730"/>
    </row>
    <row r="59" spans="1:23" s="268" customFormat="1" ht="14.25" customHeight="1" thickBot="1">
      <c r="A59" s="293"/>
      <c r="B59" s="2348" t="s">
        <v>2160</v>
      </c>
      <c r="C59" s="293"/>
      <c r="D59" s="293"/>
      <c r="E59" s="293"/>
      <c r="F59" s="293"/>
      <c r="G59" s="293"/>
      <c r="I59" s="2522">
        <f>'Part IV-A-Uses of Funds'!$G$132</f>
        <v>10856073</v>
      </c>
      <c r="J59" s="2523"/>
      <c r="K59" s="293"/>
      <c r="L59" s="368"/>
      <c r="M59" s="367"/>
      <c r="N59" s="367"/>
      <c r="O59" s="367"/>
      <c r="P59" s="367"/>
      <c r="Q59" s="366"/>
      <c r="S59" s="3729"/>
      <c r="T59" s="3730"/>
    </row>
    <row r="60" spans="1:23" s="268" customFormat="1" ht="14.25" customHeight="1" thickBot="1">
      <c r="A60" s="293"/>
      <c r="B60" s="2345" t="s">
        <v>1493</v>
      </c>
      <c r="C60" s="293"/>
      <c r="D60" s="293"/>
      <c r="E60" s="293"/>
      <c r="F60" s="293"/>
      <c r="G60" s="293"/>
      <c r="I60" s="2524">
        <f>I58-I59</f>
        <v>0</v>
      </c>
      <c r="J60" s="2525"/>
      <c r="K60" s="293"/>
      <c r="L60" s="368"/>
      <c r="M60" s="367"/>
      <c r="N60" s="367"/>
      <c r="O60" s="367"/>
      <c r="P60" s="367"/>
      <c r="Q60" s="366"/>
      <c r="S60" s="3734"/>
      <c r="T60" s="3735"/>
    </row>
    <row r="61" spans="1:23" s="268" customFormat="1" ht="13.35" customHeight="1">
      <c r="A61" s="293" t="s">
        <v>4552</v>
      </c>
      <c r="B61" s="2345"/>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19"/>
      <c r="B64" s="3819"/>
      <c r="C64" s="3819"/>
      <c r="D64" s="3819"/>
      <c r="E64" s="3819"/>
      <c r="F64" s="3819"/>
      <c r="G64" s="3819"/>
      <c r="H64" s="3819"/>
      <c r="I64" s="3819"/>
      <c r="J64" s="3819"/>
      <c r="K64" s="3819"/>
      <c r="L64" s="3819"/>
      <c r="M64" s="3820"/>
      <c r="N64" s="3820"/>
      <c r="O64" s="3820"/>
      <c r="P64" s="3820"/>
      <c r="Q64" s="3820"/>
      <c r="S64" s="2514" t="s">
        <v>2613</v>
      </c>
      <c r="T64" s="2514"/>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JkJFwrFzTBJNa1gfSnOuB60r4TX0kaoZ3BgStjc6unw8K5VDToZycqRmJKJh5F17pjEJRPbPxGBSn/72cwJduA==" saltValue="ZYTy71n2nmGO5LWDngbFbA=="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34" t="e">
        <f>CONCATENATE("PART III B: USD 538 LOAN","  -  ",#REF!," ",#REF!,", ",#REF!,", ",#REF!," County")</f>
        <v>#REF!</v>
      </c>
      <c r="B1" s="2535"/>
      <c r="C1" s="2535"/>
      <c r="D1" s="2535"/>
      <c r="E1" s="2535"/>
      <c r="F1" s="2536"/>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7" t="s">
        <v>213</v>
      </c>
      <c r="B3" s="2527"/>
      <c r="C3" s="2527"/>
      <c r="D3" s="2527"/>
      <c r="E3" s="2527"/>
      <c r="F3" s="2527"/>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8" t="s">
        <v>125</v>
      </c>
      <c r="B14" s="2528"/>
      <c r="C14" s="2528"/>
      <c r="D14" s="2528"/>
      <c r="E14" s="2528"/>
      <c r="F14" s="2528"/>
      <c r="G14" s="193"/>
      <c r="H14" s="193"/>
    </row>
    <row r="15" spans="1:17" ht="5.4" customHeight="1">
      <c r="A15" s="28"/>
      <c r="E15" s="204"/>
      <c r="F15" s="193"/>
      <c r="G15" s="193"/>
      <c r="H15" s="193"/>
    </row>
    <row r="16" spans="1:17" ht="13.35" customHeight="1">
      <c r="A16" s="206" t="s">
        <v>2415</v>
      </c>
      <c r="B16" s="207" t="s">
        <v>2412</v>
      </c>
      <c r="C16" s="207" t="s">
        <v>2413</v>
      </c>
      <c r="D16" s="2537" t="s">
        <v>2195</v>
      </c>
      <c r="E16" s="2537"/>
      <c r="F16" s="193"/>
      <c r="G16" s="193"/>
      <c r="H16" s="193"/>
    </row>
    <row r="17" spans="1:8" ht="12.6" customHeight="1">
      <c r="A17" s="80">
        <v>1</v>
      </c>
      <c r="B17" s="182">
        <f>IF(A17&gt;$C$9,0,SUM(C64:C75)*($C$6/$C$7))</f>
        <v>0</v>
      </c>
      <c r="C17" s="205">
        <f>IF(A17&gt;C9,0,(E63+K63)*$C$8)</f>
        <v>0</v>
      </c>
      <c r="D17" s="2532">
        <f t="shared" ref="D17:D56" si="0">IF(A17&gt;$C$9,0,$C$11+C17)</f>
        <v>0</v>
      </c>
      <c r="E17" s="2532"/>
      <c r="F17" s="193"/>
      <c r="G17" s="193"/>
      <c r="H17" s="193"/>
    </row>
    <row r="18" spans="1:8" ht="12.6" customHeight="1">
      <c r="A18" s="80">
        <v>2</v>
      </c>
      <c r="B18" s="182">
        <f>IF(A18&gt;C9,0,SUM(C76:C87)*($C$6/$C$7))</f>
        <v>0</v>
      </c>
      <c r="C18" s="212">
        <f>IF(A18&gt;C9,0,(E75+K75)*$C$8)</f>
        <v>0</v>
      </c>
      <c r="D18" s="2530">
        <f t="shared" si="0"/>
        <v>0</v>
      </c>
      <c r="E18" s="2530"/>
      <c r="F18" s="193"/>
      <c r="G18" s="193"/>
      <c r="H18" s="193"/>
    </row>
    <row r="19" spans="1:8" ht="12.6" customHeight="1">
      <c r="A19" s="80">
        <v>3</v>
      </c>
      <c r="B19" s="182">
        <f>IF(A19&gt;C9,0,SUM(C88:C99)*($C$6/$C$7))</f>
        <v>0</v>
      </c>
      <c r="C19" s="205">
        <f>IF(A19&gt;C9,0,(E87+K87)*$C$8)</f>
        <v>0</v>
      </c>
      <c r="D19" s="2530">
        <f t="shared" si="0"/>
        <v>0</v>
      </c>
      <c r="E19" s="2530"/>
      <c r="F19" s="193"/>
      <c r="G19" s="193"/>
      <c r="H19" s="193"/>
    </row>
    <row r="20" spans="1:8" ht="12.6" customHeight="1">
      <c r="A20" s="80">
        <v>4</v>
      </c>
      <c r="B20" s="182">
        <f>IF(A20&gt;C9,0,SUM(C100:C111)*($C$6/$C$7))</f>
        <v>0</v>
      </c>
      <c r="C20" s="205">
        <f>IF(A20&gt;C9,0,(E99+K99)*$C$8)</f>
        <v>0</v>
      </c>
      <c r="D20" s="2530">
        <f t="shared" si="0"/>
        <v>0</v>
      </c>
      <c r="E20" s="2530"/>
      <c r="F20" s="193"/>
      <c r="G20" s="193"/>
      <c r="H20" s="193"/>
    </row>
    <row r="21" spans="1:8" ht="12.6" customHeight="1">
      <c r="A21" s="80">
        <v>5</v>
      </c>
      <c r="B21" s="182">
        <f>IF(A21&gt;C9,0,SUM(C112:C123)*($C$6/$C$7))</f>
        <v>0</v>
      </c>
      <c r="C21" s="205">
        <f>IF(A21&gt;C9,0,(E111+K111)*$C$8)</f>
        <v>0</v>
      </c>
      <c r="D21" s="2531">
        <f t="shared" si="0"/>
        <v>0</v>
      </c>
      <c r="E21" s="2531"/>
      <c r="F21" s="193"/>
      <c r="G21" s="193"/>
      <c r="H21" s="193"/>
    </row>
    <row r="22" spans="1:8" ht="12.6" customHeight="1">
      <c r="A22" s="183">
        <v>6</v>
      </c>
      <c r="B22" s="184">
        <f>IF(A22&gt;C9,0,SUM(C124:C135)*($C$6/$C$7))</f>
        <v>0</v>
      </c>
      <c r="C22" s="209">
        <f>IF(A22&gt;C9,0,(E123+K123)*$C$8)</f>
        <v>0</v>
      </c>
      <c r="D22" s="2530">
        <f t="shared" si="0"/>
        <v>0</v>
      </c>
      <c r="E22" s="2530"/>
      <c r="F22" s="193"/>
      <c r="G22" s="193"/>
      <c r="H22" s="193"/>
    </row>
    <row r="23" spans="1:8" ht="12.6" customHeight="1">
      <c r="A23" s="185">
        <v>7</v>
      </c>
      <c r="B23" s="186">
        <f>IF(A23&gt;C9,0,SUM(C136:C147)*($C$6/$C$7))</f>
        <v>0</v>
      </c>
      <c r="C23" s="187">
        <f>IF(A23&gt;C9,0,(E135+K135)*$C$8)</f>
        <v>0</v>
      </c>
      <c r="D23" s="2530">
        <f t="shared" si="0"/>
        <v>0</v>
      </c>
      <c r="E23" s="2530"/>
      <c r="F23" s="193"/>
      <c r="G23" s="193"/>
      <c r="H23" s="193"/>
    </row>
    <row r="24" spans="1:8" ht="12.6" customHeight="1">
      <c r="A24" s="185">
        <v>8</v>
      </c>
      <c r="B24" s="186">
        <f>IF(A24&gt;C9,0,SUM(C148:C159)*($C$6/$C$7))</f>
        <v>0</v>
      </c>
      <c r="C24" s="187">
        <f>IF(A24&gt;C9,0,(E147+K147)*$C$8)</f>
        <v>0</v>
      </c>
      <c r="D24" s="2530">
        <f t="shared" si="0"/>
        <v>0</v>
      </c>
      <c r="E24" s="2530"/>
      <c r="F24" s="193"/>
      <c r="G24" s="193"/>
      <c r="H24" s="193"/>
    </row>
    <row r="25" spans="1:8" ht="12.6" customHeight="1">
      <c r="A25" s="185">
        <v>9</v>
      </c>
      <c r="B25" s="186">
        <f>IF(A25&gt;C9,0,SUM(C160:C171)*($C$6/$C$7))</f>
        <v>0</v>
      </c>
      <c r="C25" s="187">
        <f>IF(A25&gt;C9,0,(E159+K159)*$C$8)</f>
        <v>0</v>
      </c>
      <c r="D25" s="2530">
        <f t="shared" si="0"/>
        <v>0</v>
      </c>
      <c r="E25" s="2530"/>
      <c r="F25" s="193"/>
      <c r="G25" s="193"/>
      <c r="H25" s="193"/>
    </row>
    <row r="26" spans="1:8" ht="12.6" customHeight="1">
      <c r="A26" s="188">
        <v>10</v>
      </c>
      <c r="B26" s="189">
        <f>IF(A26&gt;C9,0,SUM(C172:C183)*($C$6/$C$7))</f>
        <v>0</v>
      </c>
      <c r="C26" s="208">
        <f>IF(A26&gt;C9,0,(E171+K171)*$C$8)</f>
        <v>0</v>
      </c>
      <c r="D26" s="2531">
        <f t="shared" si="0"/>
        <v>0</v>
      </c>
      <c r="E26" s="2531"/>
      <c r="F26" s="193"/>
      <c r="G26" s="193"/>
      <c r="H26" s="193"/>
    </row>
    <row r="27" spans="1:8" ht="12.6" customHeight="1">
      <c r="A27" s="190">
        <v>11</v>
      </c>
      <c r="B27" s="182">
        <f>IF(A27&gt;C9,0,SUM(C184:C195)*($C$6/$C$7))</f>
        <v>0</v>
      </c>
      <c r="C27" s="205">
        <f>IF(A27&gt;C9,0,(E183+K183)*$C$8)</f>
        <v>0</v>
      </c>
      <c r="D27" s="2530">
        <f t="shared" si="0"/>
        <v>0</v>
      </c>
      <c r="E27" s="2530"/>
      <c r="F27" s="193"/>
      <c r="G27" s="193"/>
      <c r="H27" s="193"/>
    </row>
    <row r="28" spans="1:8" ht="12.6" customHeight="1">
      <c r="A28" s="190">
        <v>12</v>
      </c>
      <c r="B28" s="182">
        <f>IF(A28&gt;C9,0,SUM(C196:C207)*($C$6/$C$7))</f>
        <v>0</v>
      </c>
      <c r="C28" s="205">
        <f>IF(A28&gt;C9,0,(E195+K195)*$C$8)</f>
        <v>0</v>
      </c>
      <c r="D28" s="2530">
        <f t="shared" si="0"/>
        <v>0</v>
      </c>
      <c r="E28" s="2530"/>
      <c r="F28" s="193"/>
      <c r="G28" s="193"/>
      <c r="H28" s="193"/>
    </row>
    <row r="29" spans="1:8" ht="12.6" customHeight="1">
      <c r="A29" s="190">
        <v>13</v>
      </c>
      <c r="B29" s="182">
        <f>IF(A29&gt;C9,0,SUM(C208:C219)*($C$6/$C$7))</f>
        <v>0</v>
      </c>
      <c r="C29" s="205">
        <f>IF(A29&gt;C9,0,(E207+K207)*$C$8)</f>
        <v>0</v>
      </c>
      <c r="D29" s="2530">
        <f t="shared" si="0"/>
        <v>0</v>
      </c>
      <c r="E29" s="2530"/>
      <c r="F29" s="193"/>
      <c r="G29" s="193"/>
      <c r="H29" s="193"/>
    </row>
    <row r="30" spans="1:8" ht="12.6" customHeight="1">
      <c r="A30" s="190">
        <v>14</v>
      </c>
      <c r="B30" s="182">
        <f>IF(A30&gt;C9,0,SUM(C220:C231)*($C$6/$C$7))</f>
        <v>0</v>
      </c>
      <c r="C30" s="205">
        <f>IF(A30&gt;C9,0,(E219+K219)*$C$8)</f>
        <v>0</v>
      </c>
      <c r="D30" s="2530">
        <f t="shared" si="0"/>
        <v>0</v>
      </c>
      <c r="E30" s="2530"/>
      <c r="F30" s="193"/>
      <c r="G30" s="193"/>
      <c r="H30" s="193"/>
    </row>
    <row r="31" spans="1:8" ht="12.6" customHeight="1">
      <c r="A31" s="190">
        <v>15</v>
      </c>
      <c r="B31" s="182">
        <f>IF(A31&gt;C9,0,SUM(C232:C243)*($C$6/$C$7))</f>
        <v>0</v>
      </c>
      <c r="C31" s="205">
        <f>IF(A31&gt;C9,0,(E231+K231)*$C$8)</f>
        <v>0</v>
      </c>
      <c r="D31" s="2531">
        <f t="shared" si="0"/>
        <v>0</v>
      </c>
      <c r="E31" s="2531"/>
      <c r="F31" s="193"/>
      <c r="G31" s="193"/>
      <c r="H31" s="193"/>
    </row>
    <row r="32" spans="1:8" ht="12.6" customHeight="1">
      <c r="A32" s="192">
        <v>16</v>
      </c>
      <c r="B32" s="184">
        <f>IF(A32&gt;C9,0,SUM(C244:C255)*($C$6/$C$7))</f>
        <v>0</v>
      </c>
      <c r="C32" s="209">
        <f>IF(A32&gt;C9,0,(E243+K243)*$C$8)</f>
        <v>0</v>
      </c>
      <c r="D32" s="2530">
        <f t="shared" si="0"/>
        <v>0</v>
      </c>
      <c r="E32" s="2530"/>
      <c r="F32" s="193"/>
      <c r="G32" s="193"/>
      <c r="H32" s="193"/>
    </row>
    <row r="33" spans="1:8" ht="12.6" customHeight="1">
      <c r="A33" s="185">
        <v>17</v>
      </c>
      <c r="B33" s="186">
        <f>IF(A33&gt;C9,0,SUM(C256:C267)*($C$6/$C$7))</f>
        <v>0</v>
      </c>
      <c r="C33" s="187">
        <f>IF(A33&gt;C9,0,(E255+K255)*$C$8)</f>
        <v>0</v>
      </c>
      <c r="D33" s="2530">
        <f t="shared" si="0"/>
        <v>0</v>
      </c>
      <c r="E33" s="2530"/>
      <c r="F33" s="193"/>
      <c r="G33" s="193"/>
      <c r="H33" s="193"/>
    </row>
    <row r="34" spans="1:8" ht="12.6" customHeight="1">
      <c r="A34" s="185">
        <v>18</v>
      </c>
      <c r="B34" s="186">
        <f>IF(A34&gt;C9,0,SUM(C268:C279)*($C$6/$C$7))</f>
        <v>0</v>
      </c>
      <c r="C34" s="187">
        <f>IF(A34&gt;C9,0,(E267+K267)*$C$8)</f>
        <v>0</v>
      </c>
      <c r="D34" s="2530">
        <f t="shared" si="0"/>
        <v>0</v>
      </c>
      <c r="E34" s="2530"/>
      <c r="F34" s="193"/>
      <c r="G34" s="193"/>
      <c r="H34" s="193"/>
    </row>
    <row r="35" spans="1:8" ht="12.6" customHeight="1">
      <c r="A35" s="185">
        <v>19</v>
      </c>
      <c r="B35" s="186">
        <f>IF(A35&gt;C9,0,SUM(C280:C291)*($C$6/$C$7))</f>
        <v>0</v>
      </c>
      <c r="C35" s="187">
        <f>IF(A35&gt;C9,0,(E279+K279)*$C$8)</f>
        <v>0</v>
      </c>
      <c r="D35" s="2530">
        <f t="shared" si="0"/>
        <v>0</v>
      </c>
      <c r="E35" s="2530"/>
      <c r="F35" s="193"/>
      <c r="G35" s="193"/>
      <c r="H35" s="193"/>
    </row>
    <row r="36" spans="1:8" ht="12.6" customHeight="1">
      <c r="A36" s="188">
        <v>20</v>
      </c>
      <c r="B36" s="189">
        <f>IF(A36&gt;C9,0,SUM(C292:C303)*($C$6/$C$7))</f>
        <v>0</v>
      </c>
      <c r="C36" s="208">
        <f>IF(A36&gt;C9,0,(E291+K291)*$C$8)</f>
        <v>0</v>
      </c>
      <c r="D36" s="2531">
        <f t="shared" si="0"/>
        <v>0</v>
      </c>
      <c r="E36" s="2531"/>
      <c r="F36" s="193"/>
      <c r="G36" s="193"/>
      <c r="H36" s="193"/>
    </row>
    <row r="37" spans="1:8" ht="12.6" customHeight="1">
      <c r="A37" s="80">
        <v>21</v>
      </c>
      <c r="B37" s="184">
        <f>IF(A37&gt;C9,0,SUM(C293:C304)*($C$6/$C$7))</f>
        <v>0</v>
      </c>
      <c r="C37" s="209">
        <f>IF(A37&gt;C9,0,(E303+K303)*$C$8)</f>
        <v>0</v>
      </c>
      <c r="D37" s="2533">
        <f t="shared" si="0"/>
        <v>0</v>
      </c>
      <c r="E37" s="2533"/>
      <c r="F37" s="193"/>
      <c r="G37" s="193"/>
      <c r="H37" s="193"/>
    </row>
    <row r="38" spans="1:8" ht="12.6" customHeight="1">
      <c r="A38" s="80">
        <v>22</v>
      </c>
      <c r="B38" s="186">
        <f>IF(A38&gt;C9,0,SUM(C294:C305)*($C$6/$C$7))</f>
        <v>0</v>
      </c>
      <c r="C38" s="187">
        <f>IF(A38&gt;C9,0,(E315+K315)*$C$8)</f>
        <v>0</v>
      </c>
      <c r="D38" s="2530">
        <f t="shared" si="0"/>
        <v>0</v>
      </c>
      <c r="E38" s="2530"/>
      <c r="F38" s="193"/>
      <c r="G38" s="193"/>
      <c r="H38" s="193"/>
    </row>
    <row r="39" spans="1:8" ht="12.6" customHeight="1">
      <c r="A39" s="80">
        <v>23</v>
      </c>
      <c r="B39" s="186">
        <f>IF(A39&gt;C9,0,SUM(C295:C306)*($C$6/$C$7))</f>
        <v>0</v>
      </c>
      <c r="C39" s="187">
        <f>IF(A39&gt;C9,0,(E327+K327)*$C$8)</f>
        <v>0</v>
      </c>
      <c r="D39" s="2530">
        <f t="shared" si="0"/>
        <v>0</v>
      </c>
      <c r="E39" s="2530"/>
      <c r="F39" s="193"/>
      <c r="G39" s="193"/>
      <c r="H39" s="193"/>
    </row>
    <row r="40" spans="1:8" ht="12.6" customHeight="1">
      <c r="A40" s="80">
        <v>24</v>
      </c>
      <c r="B40" s="186">
        <f>IF(A40&gt;C9,0,SUM(C296:C307)*($C$6/$C$7))</f>
        <v>0</v>
      </c>
      <c r="C40" s="187">
        <f>IF(A40&gt;C9,0,(E339+K339)*$C$8)</f>
        <v>0</v>
      </c>
      <c r="D40" s="2530">
        <f t="shared" si="0"/>
        <v>0</v>
      </c>
      <c r="E40" s="2530"/>
      <c r="F40" s="193"/>
      <c r="G40" s="193"/>
      <c r="H40" s="193"/>
    </row>
    <row r="41" spans="1:8" ht="12.6" customHeight="1">
      <c r="A41" s="80">
        <v>25</v>
      </c>
      <c r="B41" s="189">
        <f>IF(A41&gt;C9,0,SUM(C297:C308)*($C$6/$C$7))</f>
        <v>0</v>
      </c>
      <c r="C41" s="208">
        <f>IF(A41&gt;C9,0,(E351+K351)*$C$8)</f>
        <v>0</v>
      </c>
      <c r="D41" s="2531">
        <f t="shared" si="0"/>
        <v>0</v>
      </c>
      <c r="E41" s="2531"/>
      <c r="F41" s="193"/>
      <c r="G41" s="193"/>
      <c r="H41" s="193"/>
    </row>
    <row r="42" spans="1:8" ht="12.6" customHeight="1">
      <c r="A42" s="183">
        <v>26</v>
      </c>
      <c r="B42" s="184">
        <f>IF(A42&gt;C9,0,SUM(C298:C309)*($C$6/$C$7))</f>
        <v>0</v>
      </c>
      <c r="C42" s="209">
        <f>IF(A42&gt;C9,0,(E363+K363)*$C$8)</f>
        <v>0</v>
      </c>
      <c r="D42" s="2533">
        <f t="shared" si="0"/>
        <v>0</v>
      </c>
      <c r="E42" s="2533"/>
      <c r="F42" s="193"/>
      <c r="G42" s="193"/>
      <c r="H42" s="193"/>
    </row>
    <row r="43" spans="1:8" ht="12.6" customHeight="1">
      <c r="A43" s="185">
        <v>27</v>
      </c>
      <c r="B43" s="186">
        <f>IF(A43&gt;C9,0,SUM(C299:C310)*($C$6/$C$7))</f>
        <v>0</v>
      </c>
      <c r="C43" s="187">
        <f>IF(A43&gt;C9,0,(E375+K375)*$C$8)</f>
        <v>0</v>
      </c>
      <c r="D43" s="2530">
        <f t="shared" si="0"/>
        <v>0</v>
      </c>
      <c r="E43" s="2530"/>
      <c r="F43" s="193"/>
      <c r="G43" s="193"/>
      <c r="H43" s="193"/>
    </row>
    <row r="44" spans="1:8" ht="12.6" customHeight="1">
      <c r="A44" s="185">
        <v>28</v>
      </c>
      <c r="B44" s="186">
        <f>IF(A44&gt;C9,0,SUM(C300:C311)*($C$6/$C$7))</f>
        <v>0</v>
      </c>
      <c r="C44" s="187">
        <f>IF(A44&gt;C9,0,(E387+K387)*$C$8)</f>
        <v>0</v>
      </c>
      <c r="D44" s="2530">
        <f t="shared" si="0"/>
        <v>0</v>
      </c>
      <c r="E44" s="2530"/>
      <c r="F44" s="193"/>
      <c r="G44" s="193"/>
      <c r="H44" s="193"/>
    </row>
    <row r="45" spans="1:8" ht="12.6" customHeight="1">
      <c r="A45" s="185">
        <v>29</v>
      </c>
      <c r="B45" s="186">
        <f>IF(A45&gt;C9,0,SUM(C301:C312)*($C$6/$C$7))</f>
        <v>0</v>
      </c>
      <c r="C45" s="187">
        <f>IF(A45&gt;C9,0,(E411+K411)*$C$8)</f>
        <v>0</v>
      </c>
      <c r="D45" s="2530">
        <f t="shared" si="0"/>
        <v>0</v>
      </c>
      <c r="E45" s="2530"/>
      <c r="F45" s="193"/>
      <c r="G45" s="193"/>
      <c r="H45" s="193"/>
    </row>
    <row r="46" spans="1:8" ht="12.6" customHeight="1">
      <c r="A46" s="188">
        <v>30</v>
      </c>
      <c r="B46" s="189">
        <f>IF(A46&gt;C9,0,SUM(C302:C313)*($C$6/$C$7))</f>
        <v>0</v>
      </c>
      <c r="C46" s="208">
        <f>IF(A46&gt;C9,0,(E423+K423)*$C$8)</f>
        <v>0</v>
      </c>
      <c r="D46" s="2531">
        <f t="shared" si="0"/>
        <v>0</v>
      </c>
      <c r="E46" s="2531"/>
      <c r="F46" s="193"/>
      <c r="G46" s="193"/>
      <c r="H46" s="193"/>
    </row>
    <row r="47" spans="1:8" ht="12.6" customHeight="1">
      <c r="A47" s="192">
        <v>31</v>
      </c>
      <c r="B47" s="184">
        <f>IF(A47&gt;C9,0,SUM(C303:C314)*($C$6/$C$7))</f>
        <v>0</v>
      </c>
      <c r="C47" s="209">
        <f>IF(A47&gt;C9,0,(E435+K435)*$C$8)</f>
        <v>0</v>
      </c>
      <c r="D47" s="2533">
        <f t="shared" si="0"/>
        <v>0</v>
      </c>
      <c r="E47" s="2533"/>
      <c r="F47" s="193"/>
      <c r="G47" s="193"/>
      <c r="H47" s="193"/>
    </row>
    <row r="48" spans="1:8" ht="12.6" customHeight="1">
      <c r="A48" s="185">
        <v>32</v>
      </c>
      <c r="B48" s="186">
        <f>IF(A48&gt;C9,0,SUM(C304:C315)*($C$6/$C$7))</f>
        <v>0</v>
      </c>
      <c r="C48" s="187">
        <f>IF(A48&gt;C9,0,(E447+K447)*$C$8)</f>
        <v>0</v>
      </c>
      <c r="D48" s="2530">
        <f t="shared" si="0"/>
        <v>0</v>
      </c>
      <c r="E48" s="2530"/>
      <c r="F48" s="193"/>
      <c r="G48" s="193"/>
      <c r="H48" s="193"/>
    </row>
    <row r="49" spans="1:12" ht="12.6" customHeight="1">
      <c r="A49" s="185">
        <v>33</v>
      </c>
      <c r="B49" s="186">
        <f>IF(A49&gt;C9,0,SUM(C305:C316)*($C$6/$C$7))</f>
        <v>0</v>
      </c>
      <c r="C49" s="187">
        <f>IF(A49&gt;C9,0,(E459+K459)*$C$8)</f>
        <v>0</v>
      </c>
      <c r="D49" s="2530">
        <f t="shared" si="0"/>
        <v>0</v>
      </c>
      <c r="E49" s="2530"/>
      <c r="F49" s="193"/>
      <c r="G49" s="193"/>
      <c r="H49" s="193"/>
    </row>
    <row r="50" spans="1:12" ht="12.6" customHeight="1">
      <c r="A50" s="185">
        <v>34</v>
      </c>
      <c r="B50" s="186">
        <f>IF(A50&gt;C9,0,SUM(C306:C317)*($C$6/$C$7))</f>
        <v>0</v>
      </c>
      <c r="C50" s="187">
        <f>IF(A50&gt;C9,0,(E471+K471)*$C$8)</f>
        <v>0</v>
      </c>
      <c r="D50" s="2530">
        <f t="shared" si="0"/>
        <v>0</v>
      </c>
      <c r="E50" s="2530"/>
      <c r="F50" s="193"/>
      <c r="G50" s="193"/>
      <c r="H50" s="193"/>
    </row>
    <row r="51" spans="1:12" ht="12.6" customHeight="1">
      <c r="A51" s="188">
        <v>35</v>
      </c>
      <c r="B51" s="189">
        <f>IF(A51&gt;C9,0,SUM(C307:C318)*($C$6/$C$7))</f>
        <v>0</v>
      </c>
      <c r="C51" s="208">
        <f>IF(A51&gt;C9,0,(E483+K483)*$C$8)</f>
        <v>0</v>
      </c>
      <c r="D51" s="2531">
        <f t="shared" si="0"/>
        <v>0</v>
      </c>
      <c r="E51" s="2531"/>
      <c r="F51" s="193"/>
      <c r="G51" s="193"/>
      <c r="H51" s="193"/>
    </row>
    <row r="52" spans="1:12" ht="12.6" customHeight="1">
      <c r="A52" s="192">
        <v>36</v>
      </c>
      <c r="B52" s="184">
        <f>IF(A52&gt;C9,0,SUM(C308:C319)*($C$6/$C$7))</f>
        <v>0</v>
      </c>
      <c r="C52" s="209">
        <f>IF(A52&gt;C9,0,(E495+K495)*$C$8)</f>
        <v>0</v>
      </c>
      <c r="D52" s="2533">
        <f t="shared" si="0"/>
        <v>0</v>
      </c>
      <c r="E52" s="2533"/>
      <c r="F52" s="193"/>
      <c r="G52" s="193"/>
      <c r="H52" s="193"/>
    </row>
    <row r="53" spans="1:12" ht="12.6" customHeight="1">
      <c r="A53" s="185">
        <v>37</v>
      </c>
      <c r="B53" s="186">
        <f>IF(A53&gt;C9,0,SUM(C309:C320)*($C$6/$C$7))</f>
        <v>0</v>
      </c>
      <c r="C53" s="187">
        <f>IF(A53&gt;C9,0,(E507+K507)*$C$8)</f>
        <v>0</v>
      </c>
      <c r="D53" s="2530">
        <f t="shared" si="0"/>
        <v>0</v>
      </c>
      <c r="E53" s="2530"/>
      <c r="F53" s="193"/>
      <c r="G53" s="193"/>
      <c r="H53" s="193"/>
    </row>
    <row r="54" spans="1:12" ht="12.6" customHeight="1">
      <c r="A54" s="185">
        <v>38</v>
      </c>
      <c r="B54" s="186">
        <f>IF(A54&gt;C9,0,SUM(C310:C321)*($C$6/$C$7))</f>
        <v>0</v>
      </c>
      <c r="C54" s="187">
        <f>IF(A54&gt;C9,0,(E519+K519)*$C$8)</f>
        <v>0</v>
      </c>
      <c r="D54" s="2530">
        <f t="shared" si="0"/>
        <v>0</v>
      </c>
      <c r="E54" s="2530"/>
      <c r="F54" s="193"/>
      <c r="G54" s="193"/>
      <c r="H54" s="193"/>
    </row>
    <row r="55" spans="1:12" ht="12.6" customHeight="1">
      <c r="A55" s="185">
        <v>39</v>
      </c>
      <c r="B55" s="186">
        <f>IF(A55&gt;C9,0,SUM(C311:C322)*($C$6/$C$7))</f>
        <v>0</v>
      </c>
      <c r="C55" s="187">
        <f>IF(A55&gt;C9,0,(E531+K531)*$C$8)</f>
        <v>0</v>
      </c>
      <c r="D55" s="2530">
        <f t="shared" si="0"/>
        <v>0</v>
      </c>
      <c r="E55" s="2530"/>
      <c r="F55" s="193"/>
      <c r="G55" s="193"/>
      <c r="H55" s="193"/>
    </row>
    <row r="56" spans="1:12" ht="12.6" customHeight="1">
      <c r="A56" s="188">
        <v>40</v>
      </c>
      <c r="B56" s="189">
        <f>IF(A56&gt;C9,0,SUM(C312:C323)*($C$6/$C$7))</f>
        <v>0</v>
      </c>
      <c r="C56" s="208">
        <f>IF(A56&gt;C9,0,(E543+K543)*$C$8)</f>
        <v>0</v>
      </c>
      <c r="D56" s="2531">
        <f t="shared" si="0"/>
        <v>0</v>
      </c>
      <c r="E56" s="2531"/>
      <c r="F56" s="193"/>
      <c r="G56" s="193"/>
      <c r="H56" s="193"/>
    </row>
    <row r="57" spans="1:12" ht="3" customHeight="1">
      <c r="A57" s="193"/>
      <c r="B57" s="193"/>
      <c r="C57" s="193"/>
      <c r="D57" s="193"/>
      <c r="E57" s="193"/>
      <c r="F57" s="193"/>
      <c r="G57" s="193"/>
      <c r="H57" s="193"/>
    </row>
    <row r="58" spans="1:12" ht="13.35" customHeight="1">
      <c r="A58" s="2529" t="e">
        <f>CONCATENATE(#REF!," ",#REF!,", ",#REF!,", ",#REF!," County")</f>
        <v>#REF!</v>
      </c>
      <c r="B58" s="2529"/>
      <c r="C58" s="2529"/>
      <c r="D58" s="2529"/>
      <c r="E58" s="2529"/>
      <c r="F58" s="2529"/>
      <c r="G58" s="2529" t="e">
        <f>CONCATENATE(#REF!," ",#REF!,", ",#REF!,", ",#REF!," County")</f>
        <v>#REF!</v>
      </c>
      <c r="H58" s="2529"/>
      <c r="I58" s="2529"/>
      <c r="J58" s="2529"/>
      <c r="K58" s="2529"/>
      <c r="L58" s="2529"/>
    </row>
    <row r="59" spans="1:12" ht="13.8">
      <c r="A59" s="2526" t="s">
        <v>2406</v>
      </c>
      <c r="B59" s="2526"/>
      <c r="C59" s="2526"/>
      <c r="D59" s="2526"/>
      <c r="E59" s="2526"/>
      <c r="F59" s="2526"/>
      <c r="G59" s="2526" t="s">
        <v>2406</v>
      </c>
      <c r="H59" s="2526"/>
      <c r="I59" s="2526"/>
      <c r="J59" s="2526"/>
      <c r="K59" s="2526"/>
      <c r="L59" s="2526"/>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34" t="e">
        <f>CONCATENATE("PART III C  - HUD INSURED LOAN","  -  ",#REF!," ",#REF!,", ",#REF!,", ",#REF!," County")</f>
        <v>#REF!</v>
      </c>
      <c r="B1" s="2535"/>
      <c r="C1" s="2535"/>
      <c r="D1" s="2535"/>
      <c r="E1" s="2535"/>
      <c r="F1" s="2536"/>
      <c r="G1" s="162"/>
      <c r="H1" s="162"/>
      <c r="I1" s="162"/>
      <c r="J1" s="162"/>
      <c r="K1" s="162"/>
      <c r="L1" s="162"/>
      <c r="M1" s="162"/>
      <c r="N1" s="162"/>
      <c r="O1" s="162"/>
      <c r="P1" s="162"/>
      <c r="Q1" s="162"/>
    </row>
    <row r="2" spans="1:17">
      <c r="A2" s="13"/>
      <c r="B2" s="181"/>
      <c r="C2" s="181"/>
      <c r="D2" s="181"/>
    </row>
    <row r="3" spans="1:17" ht="15.6" customHeight="1">
      <c r="A3" s="2527" t="s">
        <v>213</v>
      </c>
      <c r="B3" s="2527"/>
      <c r="C3" s="2527"/>
      <c r="D3" s="2527"/>
      <c r="E3" s="2527"/>
      <c r="F3" s="2527"/>
      <c r="G3" s="224"/>
      <c r="H3" s="224"/>
    </row>
    <row r="4" spans="1:17">
      <c r="A4" s="13"/>
      <c r="B4" s="181"/>
      <c r="C4" s="181"/>
      <c r="D4" s="181"/>
    </row>
    <row r="5" spans="1:17" ht="13.35" customHeight="1">
      <c r="A5" s="27" t="s">
        <v>2196</v>
      </c>
      <c r="D5" s="219"/>
      <c r="E5" s="2538" t="s">
        <v>934</v>
      </c>
      <c r="F5" s="2539"/>
      <c r="G5" s="159"/>
    </row>
    <row r="6" spans="1:17">
      <c r="E6" s="2539"/>
      <c r="F6" s="2539"/>
      <c r="G6" s="159"/>
    </row>
    <row r="7" spans="1:17">
      <c r="A7" s="27" t="s">
        <v>2398</v>
      </c>
      <c r="C7" s="27" t="s">
        <v>2399</v>
      </c>
      <c r="D7" s="220"/>
      <c r="E7" s="2539"/>
      <c r="F7" s="2539"/>
      <c r="G7" s="159"/>
    </row>
    <row r="8" spans="1:17">
      <c r="C8" s="27" t="s">
        <v>2400</v>
      </c>
      <c r="D8" s="220"/>
      <c r="E8" s="2539"/>
      <c r="F8" s="2539"/>
      <c r="G8" s="159"/>
    </row>
    <row r="9" spans="1:17">
      <c r="C9" s="27" t="s">
        <v>2401</v>
      </c>
      <c r="D9" s="220"/>
      <c r="E9" s="2539"/>
      <c r="F9" s="2539"/>
      <c r="G9" s="159"/>
    </row>
    <row r="10" spans="1:17">
      <c r="C10" s="27" t="s">
        <v>2414</v>
      </c>
      <c r="D10" s="225">
        <f>D7+D8+D9</f>
        <v>0</v>
      </c>
      <c r="E10" s="2539"/>
      <c r="F10" s="2539"/>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8" t="s">
        <v>1675</v>
      </c>
      <c r="B24" s="2528"/>
      <c r="C24" s="2528"/>
      <c r="D24" s="2528"/>
      <c r="E24" s="2528"/>
      <c r="F24" s="2528"/>
      <c r="J24" s="228"/>
    </row>
    <row r="25" spans="1:10">
      <c r="C25" s="191"/>
      <c r="J25" s="228"/>
    </row>
    <row r="26" spans="1:10">
      <c r="A26" s="104"/>
      <c r="B26" s="80"/>
      <c r="C26" s="2540" t="s">
        <v>2195</v>
      </c>
      <c r="D26" s="223"/>
      <c r="E26" s="80"/>
      <c r="F26" s="2540" t="s">
        <v>2195</v>
      </c>
      <c r="J26" s="228"/>
    </row>
    <row r="27" spans="1:10">
      <c r="A27" s="229" t="s">
        <v>2415</v>
      </c>
      <c r="B27" s="71" t="s">
        <v>1004</v>
      </c>
      <c r="C27" s="2541"/>
      <c r="D27" s="230" t="s">
        <v>2415</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29" t="e">
        <f>CONCATENATE(#REF!," ",#REF!,", ",#REF!,", ",#REF!," County")</f>
        <v>#REF!</v>
      </c>
      <c r="B50" s="2529"/>
      <c r="C50" s="2529"/>
      <c r="D50" s="2529"/>
      <c r="E50" s="2529"/>
      <c r="F50" s="2529"/>
      <c r="G50" s="214"/>
      <c r="H50" s="214"/>
    </row>
    <row r="51" spans="1:10" ht="13.8">
      <c r="A51" s="2526" t="s">
        <v>2406</v>
      </c>
      <c r="B51" s="2526"/>
      <c r="C51" s="2526"/>
      <c r="D51" s="2526"/>
      <c r="E51" s="2526"/>
      <c r="F51" s="2526"/>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18" zoomScaleNormal="100" workbookViewId="0">
      <selection activeCell="A118"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52" t="str">
        <f>CONCATENATE("PART FOUR -  USES OF FUNDS","  -  ",'Part I-Project Information'!$O$6," ",'Part I-Project Information'!$F$34,", ",'Part I-Project Information'!F38,", ",'Part I-Project Information'!J39," County")</f>
        <v>PART FOUR -  USES OF FUNDS  -  2020-079 Spring Creek Crossing, Montezuma, Macon County</v>
      </c>
      <c r="B1" s="2553"/>
      <c r="C1" s="2553"/>
      <c r="D1" s="2553"/>
      <c r="E1" s="2553"/>
      <c r="F1" s="2553"/>
      <c r="G1" s="2553"/>
      <c r="H1" s="2553"/>
      <c r="I1" s="2553"/>
      <c r="J1" s="2553"/>
      <c r="K1" s="2553"/>
      <c r="L1" s="2553"/>
      <c r="M1" s="2553"/>
      <c r="N1" s="2553"/>
      <c r="O1" s="2553"/>
      <c r="P1" s="2553"/>
      <c r="Q1" s="2553"/>
      <c r="R1" s="2553"/>
      <c r="S1" s="2553"/>
      <c r="T1" s="2553"/>
      <c r="W1" s="2554" t="str">
        <f>A1</f>
        <v>PART FOUR -  USES OF FUNDS  -  2020-079 Spring Creek Crossing, Montezuma, Macon County</v>
      </c>
      <c r="X1" s="2554"/>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19" t="str">
        <f>'Part I-Project Information'!$B$6</f>
        <v>May 26, 2020 Version</v>
      </c>
      <c r="E5" s="2619"/>
      <c r="F5" s="2619"/>
      <c r="G5" s="2619"/>
      <c r="H5" s="2619"/>
      <c r="I5" s="473"/>
      <c r="J5" s="2555" t="s">
        <v>266</v>
      </c>
      <c r="K5" s="2556"/>
      <c r="L5" s="343"/>
      <c r="M5" s="2559" t="s">
        <v>479</v>
      </c>
      <c r="N5" s="2560"/>
      <c r="P5" s="2555" t="s">
        <v>267</v>
      </c>
      <c r="Q5" s="2556"/>
      <c r="S5" s="2555" t="s">
        <v>268</v>
      </c>
      <c r="T5" s="2556"/>
      <c r="V5" s="419" t="str">
        <f>B5</f>
        <v>DEVELOPMENT BUDGET</v>
      </c>
    </row>
    <row r="6" spans="1:24" s="293" customFormat="1" ht="19.5" customHeight="1" thickBot="1">
      <c r="D6" s="1494"/>
      <c r="E6" s="1494"/>
      <c r="F6" s="1494"/>
      <c r="G6" s="2563" t="s">
        <v>98</v>
      </c>
      <c r="H6" s="2564"/>
      <c r="J6" s="2557"/>
      <c r="K6" s="2558"/>
      <c r="L6" s="343"/>
      <c r="M6" s="2561"/>
      <c r="N6" s="2562"/>
      <c r="P6" s="2557"/>
      <c r="Q6" s="2558"/>
      <c r="S6" s="2557"/>
      <c r="T6" s="2558"/>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49">
        <v>5000</v>
      </c>
      <c r="H8" s="3750"/>
      <c r="J8" s="3749">
        <v>5000</v>
      </c>
      <c r="K8" s="3750"/>
      <c r="L8" s="2365"/>
      <c r="M8" s="3749"/>
      <c r="N8" s="3750"/>
      <c r="P8" s="3749"/>
      <c r="Q8" s="3750"/>
      <c r="S8" s="3749"/>
      <c r="T8" s="3750"/>
      <c r="V8" s="3821"/>
      <c r="W8" s="3822"/>
      <c r="X8" s="3823"/>
    </row>
    <row r="9" spans="1:24" s="293" customFormat="1" ht="12.6" customHeight="1">
      <c r="B9" s="293" t="s">
        <v>448</v>
      </c>
      <c r="G9" s="3758">
        <v>8000</v>
      </c>
      <c r="H9" s="3759"/>
      <c r="J9" s="3758">
        <v>8000</v>
      </c>
      <c r="K9" s="3759"/>
      <c r="L9" s="2365"/>
      <c r="M9" s="3758"/>
      <c r="N9" s="3759"/>
      <c r="P9" s="3758"/>
      <c r="Q9" s="3759"/>
      <c r="S9" s="3758"/>
      <c r="T9" s="3759"/>
      <c r="V9" s="3821"/>
      <c r="W9" s="3822"/>
      <c r="X9" s="3823"/>
    </row>
    <row r="10" spans="1:24" s="293" customFormat="1" ht="12.6" customHeight="1">
      <c r="B10" s="293" t="s">
        <v>477</v>
      </c>
      <c r="G10" s="3758">
        <v>6500</v>
      </c>
      <c r="H10" s="3759"/>
      <c r="J10" s="3758">
        <v>6500</v>
      </c>
      <c r="K10" s="3759"/>
      <c r="L10" s="2365"/>
      <c r="M10" s="3758"/>
      <c r="N10" s="3759"/>
      <c r="P10" s="3758"/>
      <c r="Q10" s="3759"/>
      <c r="S10" s="3758"/>
      <c r="T10" s="3759"/>
      <c r="V10" s="3821"/>
      <c r="W10" s="3822"/>
      <c r="X10" s="3823"/>
    </row>
    <row r="11" spans="1:24" s="293" customFormat="1" ht="12.6" customHeight="1">
      <c r="B11" s="293" t="s">
        <v>478</v>
      </c>
      <c r="G11" s="3758">
        <v>9500</v>
      </c>
      <c r="H11" s="3759"/>
      <c r="J11" s="3758">
        <v>9500</v>
      </c>
      <c r="K11" s="3759"/>
      <c r="L11" s="2365"/>
      <c r="M11" s="3758"/>
      <c r="N11" s="3759"/>
      <c r="P11" s="3758"/>
      <c r="Q11" s="3759"/>
      <c r="S11" s="3758"/>
      <c r="T11" s="3759"/>
      <c r="V11" s="3821"/>
      <c r="W11" s="3822"/>
      <c r="X11" s="3823"/>
    </row>
    <row r="12" spans="1:24" s="293" customFormat="1" ht="12.6" customHeight="1">
      <c r="B12" s="293" t="s">
        <v>2434</v>
      </c>
      <c r="G12" s="3758">
        <v>15000</v>
      </c>
      <c r="H12" s="3759"/>
      <c r="J12" s="3758">
        <v>15000</v>
      </c>
      <c r="K12" s="3759"/>
      <c r="L12" s="2365"/>
      <c r="M12" s="3758"/>
      <c r="N12" s="3759"/>
      <c r="P12" s="3758"/>
      <c r="Q12" s="3759"/>
      <c r="S12" s="3758"/>
      <c r="T12" s="3759"/>
      <c r="V12" s="3821"/>
      <c r="W12" s="3822"/>
      <c r="X12" s="3823"/>
    </row>
    <row r="13" spans="1:24" s="293" customFormat="1" ht="12.6" customHeight="1">
      <c r="B13" s="293" t="s">
        <v>186</v>
      </c>
      <c r="G13" s="3758"/>
      <c r="H13" s="3759"/>
      <c r="J13" s="3758"/>
      <c r="K13" s="3759"/>
      <c r="L13" s="2365"/>
      <c r="M13" s="3758"/>
      <c r="N13" s="3759"/>
      <c r="P13" s="3758"/>
      <c r="Q13" s="3759"/>
      <c r="S13" s="3758"/>
      <c r="T13" s="3759"/>
      <c r="V13" s="3821"/>
      <c r="W13" s="3822"/>
      <c r="X13" s="3823"/>
    </row>
    <row r="14" spans="1:24" s="293" customFormat="1" ht="12.6" customHeight="1">
      <c r="A14" s="370" t="str">
        <f>IF(AND(G14&gt;0,OR(C14="",C14="&lt;Enter detailed description here; use Comments section if needed&gt;")),"X","")</f>
        <v/>
      </c>
      <c r="B14" s="293" t="s">
        <v>723</v>
      </c>
      <c r="C14" s="3824" t="s">
        <v>3531</v>
      </c>
      <c r="D14" s="3824"/>
      <c r="E14" s="3824"/>
      <c r="F14" s="3825"/>
      <c r="G14" s="3758"/>
      <c r="H14" s="3759"/>
      <c r="J14" s="3758"/>
      <c r="K14" s="3759"/>
      <c r="L14" s="2365"/>
      <c r="M14" s="3758"/>
      <c r="N14" s="3759"/>
      <c r="P14" s="3758"/>
      <c r="Q14" s="3759"/>
      <c r="S14" s="3758"/>
      <c r="T14" s="3759"/>
      <c r="U14" s="369" t="str">
        <f>IF(AND(G14&gt;0,OR(C14="",C14="&lt;Enter detailed description here; use Comments section if needed&gt;")),"NO DESCRIPTION PROVIDED - please enter detailed description in Other box at left; use Comments section below if needed.","")</f>
        <v/>
      </c>
      <c r="V14" s="3826"/>
      <c r="W14" s="3822"/>
      <c r="X14" s="3823"/>
    </row>
    <row r="15" spans="1:24" s="293" customFormat="1" ht="12.6" customHeight="1">
      <c r="A15" s="370" t="str">
        <f>IF(AND(G15&gt;0,OR(C15="",C15="&lt;Enter detailed description here; use Comments section if needed&gt;")),"X","")</f>
        <v/>
      </c>
      <c r="B15" s="293" t="s">
        <v>723</v>
      </c>
      <c r="C15" s="3824" t="s">
        <v>3531</v>
      </c>
      <c r="D15" s="3824"/>
      <c r="E15" s="3824"/>
      <c r="F15" s="3825"/>
      <c r="G15" s="3758"/>
      <c r="H15" s="3759"/>
      <c r="J15" s="3758"/>
      <c r="K15" s="3759"/>
      <c r="L15" s="2365"/>
      <c r="M15" s="3758"/>
      <c r="N15" s="3759"/>
      <c r="P15" s="3758"/>
      <c r="Q15" s="3759"/>
      <c r="S15" s="3758"/>
      <c r="T15" s="3759"/>
      <c r="U15" s="369" t="str">
        <f>IF(AND(G15&gt;0,OR(C15="",C15="&lt;Enter detailed description here; use Comments section if needed&gt;")),"NO DESCRIPTION PROVIDED - please enter detailed description in Other box at left; use Comments section below if needed.","")</f>
        <v/>
      </c>
      <c r="V15" s="3826"/>
      <c r="W15" s="3822"/>
      <c r="X15" s="3823"/>
    </row>
    <row r="16" spans="1:24" s="293" customFormat="1" ht="12.6" customHeight="1" thickBot="1">
      <c r="A16" s="370" t="str">
        <f>IF(AND(G16&gt;0,OR(C16="",C16="&lt;Enter detailed description here; use Comments section if needed&gt;")),"X","")</f>
        <v/>
      </c>
      <c r="B16" s="293" t="s">
        <v>723</v>
      </c>
      <c r="C16" s="3824" t="s">
        <v>3531</v>
      </c>
      <c r="D16" s="3824"/>
      <c r="E16" s="3824"/>
      <c r="F16" s="3825"/>
      <c r="G16" s="3827"/>
      <c r="H16" s="3828"/>
      <c r="J16" s="3827"/>
      <c r="K16" s="3828"/>
      <c r="L16" s="2365"/>
      <c r="M16" s="3827"/>
      <c r="N16" s="3828"/>
      <c r="P16" s="3827"/>
      <c r="Q16" s="3828"/>
      <c r="S16" s="3827"/>
      <c r="T16" s="3828"/>
      <c r="U16" s="369" t="str">
        <f>IF(AND(G16&gt;0,OR(C16="",C16="&lt;Enter detailed description here; use Comments section if needed&gt;")),"NO DESCRIPTION PROVIDED - please enter detailed description in Other box at left; use Comments section below if needed.","")</f>
        <v/>
      </c>
      <c r="V16" s="3826"/>
      <c r="W16" s="3829"/>
      <c r="X16" s="3830"/>
    </row>
    <row r="17" spans="2:24" s="293" customFormat="1" ht="12.6" customHeight="1" thickTop="1">
      <c r="F17" s="344" t="s">
        <v>187</v>
      </c>
      <c r="G17" s="2565">
        <f>SUM(G8:H16)</f>
        <v>44000</v>
      </c>
      <c r="H17" s="2566"/>
      <c r="J17" s="2565">
        <f>SUM(J8:K16)</f>
        <v>44000</v>
      </c>
      <c r="K17" s="2567"/>
      <c r="L17" s="2365"/>
      <c r="M17" s="2565">
        <f>SUM(M8:N16)</f>
        <v>0</v>
      </c>
      <c r="N17" s="2566"/>
      <c r="P17" s="2565">
        <f>SUM(P8:Q16)</f>
        <v>0</v>
      </c>
      <c r="Q17" s="2566"/>
      <c r="S17" s="2565">
        <f>SUM(S8:T16)</f>
        <v>0</v>
      </c>
      <c r="T17" s="2566"/>
      <c r="V17" s="3831">
        <f>SUM(V8:V16)</f>
        <v>0</v>
      </c>
      <c r="W17" s="3832"/>
      <c r="X17" s="3833"/>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3543</v>
      </c>
      <c r="F19" s="452">
        <f>IF('Part I-Project Information'!$O$37="","",G19/'Part I-Project Information'!$O$37)</f>
        <v>57618.437900128047</v>
      </c>
      <c r="G19" s="3749">
        <v>450000</v>
      </c>
      <c r="H19" s="3750"/>
      <c r="J19" s="346"/>
      <c r="K19" s="343"/>
      <c r="L19" s="346"/>
      <c r="M19" s="346"/>
      <c r="N19" s="343"/>
      <c r="P19" s="346"/>
      <c r="Q19" s="343"/>
      <c r="S19" s="3749">
        <v>450000</v>
      </c>
      <c r="T19" s="3750"/>
      <c r="V19" s="3821"/>
      <c r="W19" s="3822"/>
      <c r="X19" s="3823"/>
    </row>
    <row r="20" spans="2:24" s="293" customFormat="1" ht="12.6" customHeight="1">
      <c r="B20" s="293" t="s">
        <v>1097</v>
      </c>
      <c r="G20" s="3758"/>
      <c r="H20" s="3759"/>
      <c r="J20" s="346"/>
      <c r="K20" s="343"/>
      <c r="L20" s="346"/>
      <c r="M20" s="346"/>
      <c r="N20" s="343"/>
      <c r="P20" s="346"/>
      <c r="Q20" s="343"/>
      <c r="S20" s="3758"/>
      <c r="T20" s="3759"/>
      <c r="V20" s="3821"/>
      <c r="W20" s="3822"/>
      <c r="X20" s="3823"/>
    </row>
    <row r="21" spans="2:24" s="293" customFormat="1" ht="12.6" customHeight="1">
      <c r="B21" s="293" t="s">
        <v>449</v>
      </c>
      <c r="G21" s="3758"/>
      <c r="H21" s="3759"/>
      <c r="J21" s="346"/>
      <c r="K21" s="343"/>
      <c r="L21" s="346"/>
      <c r="M21" s="3749"/>
      <c r="N21" s="3750"/>
      <c r="P21" s="346"/>
      <c r="Q21" s="343"/>
      <c r="S21" s="3758"/>
      <c r="T21" s="3759"/>
      <c r="V21" s="3821"/>
      <c r="W21" s="3822"/>
      <c r="X21" s="3823"/>
    </row>
    <row r="22" spans="2:24" s="293" customFormat="1" ht="12.6" customHeight="1" thickBot="1">
      <c r="B22" s="293" t="s">
        <v>422</v>
      </c>
      <c r="G22" s="3827"/>
      <c r="H22" s="3828"/>
      <c r="J22" s="346"/>
      <c r="K22" s="343"/>
      <c r="L22" s="346"/>
      <c r="M22" s="3827"/>
      <c r="N22" s="3828"/>
      <c r="P22" s="346"/>
      <c r="Q22" s="343"/>
      <c r="S22" s="3827"/>
      <c r="T22" s="3828"/>
      <c r="V22" s="3821"/>
      <c r="W22" s="3829"/>
      <c r="X22" s="3830"/>
    </row>
    <row r="23" spans="2:24" s="293" customFormat="1" ht="12.6" customHeight="1" thickTop="1">
      <c r="F23" s="344" t="s">
        <v>187</v>
      </c>
      <c r="G23" s="2565">
        <f>SUM(G19:H22)</f>
        <v>450000</v>
      </c>
      <c r="H23" s="2566"/>
      <c r="J23" s="346"/>
      <c r="K23" s="343"/>
      <c r="L23" s="346"/>
      <c r="M23" s="2565">
        <f>SUM(M21:N22)</f>
        <v>0</v>
      </c>
      <c r="N23" s="2566"/>
      <c r="P23" s="346"/>
      <c r="Q23" s="343"/>
      <c r="S23" s="2565">
        <f>SUM(S19:T22)</f>
        <v>450000</v>
      </c>
      <c r="T23" s="2566"/>
      <c r="V23" s="3831">
        <f>SUM(V19:V22)</f>
        <v>0</v>
      </c>
      <c r="W23" s="3832"/>
      <c r="X23" s="3833"/>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3543</v>
      </c>
      <c r="F25" s="452">
        <f>IF('Part I-Project Information'!$O$37="","",G25/'Part I-Project Information'!$O$37)</f>
        <v>220870.67861715751</v>
      </c>
      <c r="G25" s="3749">
        <v>1725000</v>
      </c>
      <c r="H25" s="3750"/>
      <c r="J25" s="3749">
        <v>1638750</v>
      </c>
      <c r="K25" s="3750"/>
      <c r="L25" s="2365"/>
      <c r="M25" s="3834"/>
      <c r="N25" s="3835"/>
      <c r="P25" s="3834"/>
      <c r="Q25" s="3835"/>
      <c r="S25" s="3749">
        <v>86250</v>
      </c>
      <c r="T25" s="3750"/>
      <c r="V25" s="3821"/>
      <c r="W25" s="3822"/>
      <c r="X25" s="3823"/>
    </row>
    <row r="26" spans="2:24" s="293" customFormat="1" ht="12.6" customHeight="1" thickBot="1">
      <c r="B26" s="293" t="s">
        <v>1100</v>
      </c>
      <c r="G26" s="3827"/>
      <c r="H26" s="3828"/>
      <c r="J26" s="3827"/>
      <c r="K26" s="3828"/>
      <c r="L26" s="347"/>
      <c r="M26" s="2568"/>
      <c r="N26" s="2568"/>
      <c r="P26" s="2568"/>
      <c r="Q26" s="2568"/>
      <c r="S26" s="3827"/>
      <c r="T26" s="3828"/>
      <c r="V26" s="3821"/>
      <c r="W26" s="3829"/>
      <c r="X26" s="3830"/>
    </row>
    <row r="27" spans="2:24" s="293" customFormat="1" ht="12.6" customHeight="1" thickTop="1">
      <c r="F27" s="344" t="s">
        <v>187</v>
      </c>
      <c r="G27" s="2565">
        <f>SUM(G25:H26)</f>
        <v>1725000</v>
      </c>
      <c r="H27" s="2566"/>
      <c r="J27" s="2565">
        <f>SUM(J25:K26)</f>
        <v>1638750</v>
      </c>
      <c r="K27" s="2566"/>
      <c r="L27" s="346"/>
      <c r="M27" s="2565">
        <f>M25</f>
        <v>0</v>
      </c>
      <c r="N27" s="2566"/>
      <c r="P27" s="2565">
        <f>P25</f>
        <v>0</v>
      </c>
      <c r="Q27" s="2566"/>
      <c r="S27" s="2565">
        <f>SUM(S25:T26)</f>
        <v>86250</v>
      </c>
      <c r="T27" s="2566"/>
      <c r="V27" s="3831">
        <f>SUM(V25:V26)</f>
        <v>0</v>
      </c>
      <c r="W27" s="3832"/>
      <c r="X27" s="3833"/>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49">
        <v>4853904</v>
      </c>
      <c r="H29" s="3750"/>
      <c r="J29" s="3749">
        <v>4853904</v>
      </c>
      <c r="K29" s="3750"/>
      <c r="L29" s="2365"/>
      <c r="M29" s="3749"/>
      <c r="N29" s="3750"/>
      <c r="P29" s="3749"/>
      <c r="Q29" s="3750"/>
      <c r="S29" s="3749"/>
      <c r="T29" s="3750"/>
      <c r="V29" s="3821"/>
      <c r="W29" s="3822"/>
      <c r="X29" s="3823"/>
    </row>
    <row r="30" spans="2:24" s="293" customFormat="1" ht="12.6" customHeight="1">
      <c r="B30" s="293" t="s">
        <v>1103</v>
      </c>
      <c r="G30" s="3758"/>
      <c r="H30" s="3759"/>
      <c r="J30" s="3758"/>
      <c r="K30" s="3759"/>
      <c r="L30" s="2365"/>
      <c r="M30" s="3758"/>
      <c r="N30" s="3759"/>
      <c r="P30" s="3758"/>
      <c r="Q30" s="3759"/>
      <c r="S30" s="3758"/>
      <c r="T30" s="3759"/>
      <c r="V30" s="3821"/>
      <c r="W30" s="3822"/>
      <c r="X30" s="3823"/>
    </row>
    <row r="31" spans="2:24" s="293" customFormat="1" ht="12.6" customHeight="1">
      <c r="B31" s="293" t="s">
        <v>2688</v>
      </c>
      <c r="G31" s="3758"/>
      <c r="H31" s="3759"/>
      <c r="J31" s="3758"/>
      <c r="K31" s="3759"/>
      <c r="L31" s="2365"/>
      <c r="M31" s="3758"/>
      <c r="N31" s="3759"/>
      <c r="P31" s="3758"/>
      <c r="Q31" s="3759"/>
      <c r="S31" s="3758"/>
      <c r="T31" s="3759"/>
      <c r="V31" s="3821"/>
      <c r="W31" s="3822"/>
      <c r="X31" s="3823"/>
    </row>
    <row r="32" spans="2:24" ht="12.6" customHeight="1" thickBot="1">
      <c r="B32" s="293" t="s">
        <v>2687</v>
      </c>
      <c r="G32" s="3827"/>
      <c r="H32" s="3828"/>
      <c r="I32" s="293"/>
      <c r="J32" s="3827"/>
      <c r="K32" s="3828"/>
      <c r="L32" s="2365"/>
      <c r="M32" s="3827"/>
      <c r="N32" s="3828"/>
      <c r="O32" s="293"/>
      <c r="P32" s="3827"/>
      <c r="Q32" s="3828"/>
      <c r="R32" s="293"/>
      <c r="S32" s="3827"/>
      <c r="T32" s="3828"/>
      <c r="V32" s="3821"/>
      <c r="W32" s="3829"/>
      <c r="X32" s="3830"/>
    </row>
    <row r="33" spans="1:24" s="293" customFormat="1" ht="12.6" customHeight="1" thickTop="1">
      <c r="C33" s="2570"/>
      <c r="D33" s="2570"/>
      <c r="E33" s="2369"/>
      <c r="F33" s="344" t="s">
        <v>187</v>
      </c>
      <c r="G33" s="2565">
        <f>SUM(G29:H32)</f>
        <v>4853904</v>
      </c>
      <c r="H33" s="2566"/>
      <c r="J33" s="2565">
        <f>SUM(J29:K32)</f>
        <v>4853904</v>
      </c>
      <c r="K33" s="2566"/>
      <c r="L33" s="2365"/>
      <c r="M33" s="2565">
        <f>SUM(M29:N32)</f>
        <v>0</v>
      </c>
      <c r="N33" s="2566"/>
      <c r="P33" s="2565">
        <f>SUM(P29:Q32)</f>
        <v>0</v>
      </c>
      <c r="Q33" s="2566"/>
      <c r="S33" s="2565">
        <f>SUM(S29:T32)</f>
        <v>0</v>
      </c>
      <c r="T33" s="2566"/>
      <c r="V33" s="3831">
        <f>SUM(V29:V32)</f>
        <v>0</v>
      </c>
      <c r="W33" s="3832"/>
      <c r="X33" s="3833"/>
    </row>
    <row r="34" spans="1:24" s="293" customFormat="1" ht="12" customHeight="1">
      <c r="B34" s="295" t="s">
        <v>2283</v>
      </c>
      <c r="D34" s="2569" t="s">
        <v>3547</v>
      </c>
      <c r="E34" s="2569"/>
      <c r="F34" s="933">
        <f>SUM(F35:F37)</f>
        <v>0.13999991487943889</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394734.24</v>
      </c>
      <c r="F35" s="934">
        <f>IF(($G$27+$G$33)=0,0,G35/($G$27+$G$33))</f>
        <v>5.9999963519759524E-2</v>
      </c>
      <c r="G35" s="3749">
        <v>394734</v>
      </c>
      <c r="H35" s="3750"/>
      <c r="I35" s="311"/>
      <c r="J35" s="3749">
        <v>394734</v>
      </c>
      <c r="K35" s="3750"/>
      <c r="L35" s="2365"/>
      <c r="M35" s="3749"/>
      <c r="N35" s="3750"/>
      <c r="P35" s="3749"/>
      <c r="Q35" s="3750"/>
      <c r="S35" s="3749"/>
      <c r="T35" s="3750"/>
      <c r="V35" s="3821"/>
      <c r="W35" s="3822"/>
      <c r="X35" s="3823"/>
    </row>
    <row r="36" spans="1:24" s="293" customFormat="1" ht="12.6" customHeight="1">
      <c r="B36" s="293" t="s">
        <v>2650</v>
      </c>
      <c r="D36" s="936">
        <f>'DCA Underwriting Assumptions'!$R$78</f>
        <v>0.02</v>
      </c>
      <c r="E36" s="937">
        <f>D36*(G27+G33)</f>
        <v>131578.08000000002</v>
      </c>
      <c r="F36" s="934">
        <f>IF(($G$27+$G$33)=0,0,G36/($G$27+$G$33))</f>
        <v>1.9999987839919842E-2</v>
      </c>
      <c r="G36" s="3758">
        <v>131578</v>
      </c>
      <c r="H36" s="3759"/>
      <c r="I36" s="311"/>
      <c r="J36" s="3758">
        <v>131578</v>
      </c>
      <c r="K36" s="3759"/>
      <c r="L36" s="2365"/>
      <c r="M36" s="3758"/>
      <c r="N36" s="3759"/>
      <c r="P36" s="3758"/>
      <c r="Q36" s="3759"/>
      <c r="S36" s="3758"/>
      <c r="T36" s="3759"/>
      <c r="V36" s="3821"/>
      <c r="W36" s="3822"/>
      <c r="X36" s="3823"/>
    </row>
    <row r="37" spans="1:24" s="293" customFormat="1" ht="12.6" customHeight="1" thickBot="1">
      <c r="B37" s="293" t="s">
        <v>2651</v>
      </c>
      <c r="D37" s="940">
        <f>'DCA Underwriting Assumptions'!$R$79</f>
        <v>0.06</v>
      </c>
      <c r="E37" s="941">
        <f>D37*(G27+G33)</f>
        <v>394734.24</v>
      </c>
      <c r="F37" s="1144">
        <f>IF(($G$27+$G$33)=0,0,G37/($G$27+$G$33))</f>
        <v>5.9999963519759524E-2</v>
      </c>
      <c r="G37" s="3827">
        <v>394734</v>
      </c>
      <c r="H37" s="3828"/>
      <c r="I37" s="311"/>
      <c r="J37" s="3827">
        <v>394734</v>
      </c>
      <c r="K37" s="3828"/>
      <c r="L37" s="2365"/>
      <c r="M37" s="3827"/>
      <c r="N37" s="3828"/>
      <c r="P37" s="3827"/>
      <c r="Q37" s="3828"/>
      <c r="S37" s="3827"/>
      <c r="T37" s="3828"/>
      <c r="V37" s="3821"/>
      <c r="W37" s="3829"/>
      <c r="X37" s="3830"/>
    </row>
    <row r="38" spans="1:24" s="293" customFormat="1" ht="12.6" customHeight="1" thickTop="1">
      <c r="B38" s="172" t="s">
        <v>3548</v>
      </c>
      <c r="D38" s="938">
        <f>SUM(D35:D37)</f>
        <v>0.14000000000000001</v>
      </c>
      <c r="E38" s="939">
        <f>SUM(E35:E37)</f>
        <v>921046.56</v>
      </c>
      <c r="F38" s="921" t="s">
        <v>187</v>
      </c>
      <c r="G38" s="2565">
        <f>SUM(G35:H37)</f>
        <v>921046</v>
      </c>
      <c r="H38" s="2566"/>
      <c r="J38" s="2565">
        <f>SUM(J35:K37)</f>
        <v>921046</v>
      </c>
      <c r="K38" s="2566"/>
      <c r="L38" s="346"/>
      <c r="M38" s="2565">
        <f>SUM(M35:N37)</f>
        <v>0</v>
      </c>
      <c r="N38" s="2566"/>
      <c r="P38" s="2565">
        <f>SUM(P35:Q37)</f>
        <v>0</v>
      </c>
      <c r="Q38" s="2566"/>
      <c r="S38" s="2565">
        <f>SUM(S35:T37)</f>
        <v>0</v>
      </c>
      <c r="T38" s="2566"/>
      <c r="V38" s="3831">
        <f>SUM(V35:V37)</f>
        <v>0</v>
      </c>
      <c r="W38" s="3832"/>
      <c r="X38" s="3833"/>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4" t="s">
        <v>3531</v>
      </c>
      <c r="D41" s="3836"/>
      <c r="E41" s="3836"/>
      <c r="F41" s="3837"/>
      <c r="G41" s="3838"/>
      <c r="H41" s="3839"/>
      <c r="I41" s="293"/>
      <c r="J41" s="3838"/>
      <c r="K41" s="3839"/>
      <c r="L41" s="2365"/>
      <c r="M41" s="3838"/>
      <c r="N41" s="3839"/>
      <c r="O41" s="293"/>
      <c r="P41" s="3838"/>
      <c r="Q41" s="3839"/>
      <c r="R41" s="293"/>
      <c r="S41" s="3838"/>
      <c r="T41" s="3839"/>
      <c r="V41" s="3821"/>
      <c r="W41" s="3840"/>
      <c r="X41" s="3841"/>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2"/>
      <c r="X42" s="3843"/>
    </row>
    <row r="43" spans="1:24" s="293" customFormat="1" ht="12.6" customHeight="1">
      <c r="B43" s="495" t="s">
        <v>2659</v>
      </c>
      <c r="C43" s="496"/>
      <c r="E43" s="2575" t="s">
        <v>2658</v>
      </c>
      <c r="F43" s="2367">
        <f>B44/'Part VI-Revenues &amp; Expenses'!$P$65</f>
        <v>149999</v>
      </c>
      <c r="G43" s="2368" t="s">
        <v>2679</v>
      </c>
      <c r="H43" s="2351"/>
      <c r="I43" s="2351"/>
      <c r="J43" s="2577">
        <f>B44/'Part VI-Revenues &amp; Expenses'!$P$67</f>
        <v>149999</v>
      </c>
      <c r="K43" s="2577"/>
      <c r="L43" s="2351"/>
      <c r="M43" s="2578" t="s">
        <v>1375</v>
      </c>
      <c r="N43" s="2578"/>
      <c r="O43" s="2351"/>
      <c r="P43" s="2577">
        <f>B44/'Part I-Project Information'!$P$75</f>
        <v>135.97211646542658</v>
      </c>
      <c r="Q43" s="2577"/>
      <c r="R43" s="2351"/>
      <c r="S43" s="2579" t="s">
        <v>2686</v>
      </c>
      <c r="T43" s="2580"/>
      <c r="V43" s="1029"/>
      <c r="W43" s="3842"/>
      <c r="X43" s="3843"/>
    </row>
    <row r="44" spans="1:24" s="293" customFormat="1" ht="12.6" customHeight="1">
      <c r="B44" s="2571">
        <f>G27+G33+G38+G41</f>
        <v>7499950</v>
      </c>
      <c r="C44" s="2572"/>
      <c r="E44" s="2576"/>
      <c r="F44" s="2366">
        <f>B44/'Part VI-Revenues &amp; Expenses'!$P$168</f>
        <v>141.24199623352166</v>
      </c>
      <c r="G44" s="494" t="s">
        <v>2680</v>
      </c>
      <c r="H44" s="2361"/>
      <c r="I44" s="2361"/>
      <c r="J44" s="2573">
        <f>B44/'Part VI-Revenues &amp; Expenses'!$P$170</f>
        <v>141.24199623352166</v>
      </c>
      <c r="K44" s="2573"/>
      <c r="L44" s="2361"/>
      <c r="M44" s="2574" t="s">
        <v>2685</v>
      </c>
      <c r="N44" s="2574"/>
      <c r="O44" s="2361"/>
      <c r="P44" s="2361"/>
      <c r="Q44" s="2361"/>
      <c r="R44" s="2361"/>
      <c r="S44" s="2361"/>
      <c r="T44" s="336"/>
      <c r="V44" s="1029"/>
      <c r="W44" s="3844"/>
      <c r="X44" s="3845"/>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3836</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3835</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374997.5</v>
      </c>
      <c r="F47" s="348">
        <f>G47/B44</f>
        <v>4.9999933332888886E-2</v>
      </c>
      <c r="G47" s="3838">
        <v>374997</v>
      </c>
      <c r="H47" s="3839"/>
      <c r="I47" s="293"/>
      <c r="J47" s="3838">
        <v>374997</v>
      </c>
      <c r="K47" s="3839"/>
      <c r="L47" s="2365"/>
      <c r="M47" s="3838"/>
      <c r="N47" s="3839"/>
      <c r="O47" s="293"/>
      <c r="P47" s="3838"/>
      <c r="Q47" s="3839"/>
      <c r="R47" s="293"/>
      <c r="S47" s="3838"/>
      <c r="T47" s="3839"/>
      <c r="V47" s="3821"/>
      <c r="W47" s="3822"/>
      <c r="X47" s="3823"/>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2743</v>
      </c>
      <c r="H49" s="2353"/>
      <c r="I49" s="2353"/>
      <c r="J49" s="2555" t="s">
        <v>266</v>
      </c>
      <c r="K49" s="2556"/>
      <c r="L49" s="343"/>
      <c r="M49" s="2559" t="s">
        <v>479</v>
      </c>
      <c r="N49" s="2560"/>
      <c r="P49" s="2555" t="s">
        <v>267</v>
      </c>
      <c r="Q49" s="2556"/>
      <c r="S49" s="2555" t="s">
        <v>268</v>
      </c>
      <c r="T49" s="2556"/>
      <c r="V49" s="1029"/>
      <c r="W49" s="419" t="str">
        <f>B49</f>
        <v>DEVELOPMENT BUDGET (cont'd)</v>
      </c>
    </row>
    <row r="50" spans="1:24" s="293" customFormat="1" ht="18.75" customHeight="1" thickBot="1">
      <c r="G50" s="2563" t="s">
        <v>98</v>
      </c>
      <c r="H50" s="2564"/>
      <c r="J50" s="2557"/>
      <c r="K50" s="2558"/>
      <c r="L50" s="343"/>
      <c r="M50" s="2561"/>
      <c r="N50" s="2562"/>
      <c r="P50" s="2557"/>
      <c r="Q50" s="2558"/>
      <c r="S50" s="2557"/>
      <c r="T50" s="2558"/>
      <c r="V50" s="1029"/>
      <c r="W50" s="2617" t="s">
        <v>2606</v>
      </c>
      <c r="X50" s="261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3549</v>
      </c>
      <c r="G52" s="3749"/>
      <c r="H52" s="3750"/>
      <c r="J52" s="3749"/>
      <c r="K52" s="3750"/>
      <c r="L52" s="2365"/>
      <c r="M52" s="3749"/>
      <c r="N52" s="3750"/>
      <c r="P52" s="3749"/>
      <c r="Q52" s="3750"/>
      <c r="S52" s="3749"/>
      <c r="T52" s="3750"/>
      <c r="V52" s="3846"/>
      <c r="W52" s="3822"/>
      <c r="X52" s="3823"/>
    </row>
    <row r="53" spans="1:24" s="293" customFormat="1" ht="12" customHeight="1">
      <c r="B53" s="293" t="s">
        <v>3550</v>
      </c>
      <c r="G53" s="3758"/>
      <c r="H53" s="3759"/>
      <c r="J53" s="3758"/>
      <c r="K53" s="3759"/>
      <c r="L53" s="2365"/>
      <c r="M53" s="3758"/>
      <c r="N53" s="3759"/>
      <c r="P53" s="3758"/>
      <c r="Q53" s="3759"/>
      <c r="S53" s="3758"/>
      <c r="T53" s="3759"/>
      <c r="V53" s="3846"/>
      <c r="W53" s="3822"/>
      <c r="X53" s="3823"/>
    </row>
    <row r="54" spans="1:24" s="293" customFormat="1" ht="12" customHeight="1">
      <c r="B54" s="293" t="s">
        <v>2286</v>
      </c>
      <c r="G54" s="3758">
        <v>74303</v>
      </c>
      <c r="H54" s="3759"/>
      <c r="J54" s="3758">
        <v>74303</v>
      </c>
      <c r="K54" s="3759"/>
      <c r="L54" s="2365"/>
      <c r="M54" s="3758"/>
      <c r="N54" s="3759"/>
      <c r="P54" s="3758"/>
      <c r="Q54" s="3759"/>
      <c r="S54" s="3758"/>
      <c r="T54" s="3759"/>
      <c r="V54" s="3846"/>
      <c r="W54" s="3822"/>
      <c r="X54" s="3823"/>
    </row>
    <row r="55" spans="1:24" s="293" customFormat="1" ht="12" customHeight="1">
      <c r="B55" s="293" t="s">
        <v>2287</v>
      </c>
      <c r="G55" s="3758">
        <v>276552</v>
      </c>
      <c r="H55" s="3759"/>
      <c r="J55" s="3758">
        <v>276552</v>
      </c>
      <c r="K55" s="3759"/>
      <c r="L55" s="2365"/>
      <c r="M55" s="3758"/>
      <c r="N55" s="3759"/>
      <c r="P55" s="3758"/>
      <c r="Q55" s="3759"/>
      <c r="S55" s="3758"/>
      <c r="T55" s="3759"/>
      <c r="V55" s="3846"/>
      <c r="W55" s="3822"/>
      <c r="X55" s="3823"/>
    </row>
    <row r="56" spans="1:24" s="293" customFormat="1" ht="12" customHeight="1">
      <c r="B56" s="293" t="s">
        <v>2288</v>
      </c>
      <c r="G56" s="3758">
        <v>25000</v>
      </c>
      <c r="H56" s="3759"/>
      <c r="J56" s="3758">
        <v>25000</v>
      </c>
      <c r="K56" s="3759"/>
      <c r="L56" s="2365"/>
      <c r="M56" s="3758"/>
      <c r="N56" s="3759"/>
      <c r="P56" s="3758"/>
      <c r="Q56" s="3759"/>
      <c r="S56" s="3758"/>
      <c r="T56" s="3759"/>
      <c r="V56" s="3846"/>
      <c r="W56" s="3822"/>
      <c r="X56" s="3823"/>
    </row>
    <row r="57" spans="1:24" s="293" customFormat="1" ht="12" customHeight="1">
      <c r="B57" s="293" t="s">
        <v>2609</v>
      </c>
      <c r="G57" s="3758"/>
      <c r="H57" s="3759"/>
      <c r="J57" s="3758"/>
      <c r="K57" s="3759"/>
      <c r="L57" s="2365"/>
      <c r="M57" s="3758"/>
      <c r="N57" s="3759"/>
      <c r="P57" s="3758"/>
      <c r="Q57" s="3759"/>
      <c r="S57" s="3758"/>
      <c r="T57" s="3759"/>
      <c r="V57" s="3846"/>
      <c r="W57" s="3822"/>
      <c r="X57" s="3823"/>
    </row>
    <row r="58" spans="1:24" s="293" customFormat="1" ht="12" customHeight="1">
      <c r="B58" s="293" t="s">
        <v>705</v>
      </c>
      <c r="G58" s="3758">
        <v>5000</v>
      </c>
      <c r="H58" s="3759"/>
      <c r="J58" s="3758">
        <v>5000</v>
      </c>
      <c r="K58" s="3759"/>
      <c r="L58" s="2365"/>
      <c r="M58" s="3758"/>
      <c r="N58" s="3759"/>
      <c r="P58" s="3758"/>
      <c r="Q58" s="3759"/>
      <c r="S58" s="3758"/>
      <c r="T58" s="3759"/>
      <c r="V58" s="3846"/>
      <c r="W58" s="3822"/>
      <c r="X58" s="3823"/>
    </row>
    <row r="59" spans="1:24" s="293" customFormat="1" ht="12" customHeight="1">
      <c r="B59" s="293" t="s">
        <v>2289</v>
      </c>
      <c r="G59" s="3758">
        <v>20000</v>
      </c>
      <c r="H59" s="3759"/>
      <c r="J59" s="3758">
        <v>20000</v>
      </c>
      <c r="K59" s="3759"/>
      <c r="L59" s="2365"/>
      <c r="M59" s="3758"/>
      <c r="N59" s="3759"/>
      <c r="P59" s="3758"/>
      <c r="Q59" s="3759"/>
      <c r="S59" s="3758"/>
      <c r="T59" s="3759"/>
      <c r="V59" s="3846"/>
      <c r="W59" s="3822"/>
      <c r="X59" s="3823"/>
    </row>
    <row r="60" spans="1:24" s="293" customFormat="1" ht="12" customHeight="1">
      <c r="B60" s="293" t="s">
        <v>1250</v>
      </c>
      <c r="G60" s="3758">
        <v>25000</v>
      </c>
      <c r="H60" s="3759"/>
      <c r="J60" s="3758">
        <v>20000</v>
      </c>
      <c r="K60" s="3759"/>
      <c r="L60" s="2365"/>
      <c r="M60" s="3758"/>
      <c r="N60" s="3759"/>
      <c r="P60" s="3758"/>
      <c r="Q60" s="3759"/>
      <c r="S60" s="3758">
        <v>5000</v>
      </c>
      <c r="T60" s="3759"/>
      <c r="V60" s="3846"/>
      <c r="W60" s="3822"/>
      <c r="X60" s="3823"/>
    </row>
    <row r="61" spans="1:24" s="293" customFormat="1" ht="12" customHeight="1">
      <c r="B61" s="350" t="s">
        <v>1131</v>
      </c>
      <c r="D61" s="348"/>
      <c r="E61" s="348"/>
      <c r="F61" s="349"/>
      <c r="G61" s="3758"/>
      <c r="H61" s="3759"/>
      <c r="I61" s="311"/>
      <c r="J61" s="3758"/>
      <c r="K61" s="3759"/>
      <c r="L61" s="2365"/>
      <c r="M61" s="3758"/>
      <c r="N61" s="3759"/>
      <c r="P61" s="3758"/>
      <c r="Q61" s="3759"/>
      <c r="S61" s="3758"/>
      <c r="T61" s="3759"/>
      <c r="V61" s="3846"/>
      <c r="W61" s="3822"/>
      <c r="X61" s="3823"/>
    </row>
    <row r="62" spans="1:24" s="293" customFormat="1" ht="12" customHeight="1">
      <c r="A62" s="370" t="str">
        <f>IF(AND(G62&gt;0,OR(C62="",C62="&lt;Enter detailed description here; use Comments section if needed&gt;")),"X","")</f>
        <v/>
      </c>
      <c r="B62" s="293" t="s">
        <v>723</v>
      </c>
      <c r="C62" s="3847" t="s">
        <v>3531</v>
      </c>
      <c r="D62" s="3847"/>
      <c r="E62" s="3847"/>
      <c r="F62" s="3848"/>
      <c r="G62" s="3758"/>
      <c r="H62" s="3759"/>
      <c r="J62" s="3758"/>
      <c r="K62" s="3759"/>
      <c r="L62" s="2365"/>
      <c r="M62" s="3758"/>
      <c r="N62" s="3759"/>
      <c r="P62" s="3758"/>
      <c r="Q62" s="3759"/>
      <c r="S62" s="3758"/>
      <c r="T62" s="3759"/>
      <c r="U62" s="369" t="str">
        <f>IF(AND(G62&gt;0,OR(C62="",C62="&lt;Enter detailed description here; use Comments section if needed&gt;")),"NO DESCRIPTION PROVIDED - please enter detailed description in Other box at left; use Comments section below if needed.","")</f>
        <v/>
      </c>
      <c r="V62" s="3846"/>
      <c r="W62" s="3822"/>
      <c r="X62" s="3823"/>
    </row>
    <row r="63" spans="1:24" s="293" customFormat="1" ht="12" customHeight="1" thickBot="1">
      <c r="A63" s="370" t="str">
        <f>IF(AND(G63&gt;0,OR(C63="",C63="&lt;Enter detailed description here; use Comments section if needed&gt;")),"X","")</f>
        <v/>
      </c>
      <c r="B63" s="293" t="s">
        <v>723</v>
      </c>
      <c r="C63" s="3849" t="s">
        <v>3531</v>
      </c>
      <c r="D63" s="3849"/>
      <c r="E63" s="3849"/>
      <c r="F63" s="3850"/>
      <c r="G63" s="3767"/>
      <c r="H63" s="3768"/>
      <c r="J63" s="3767"/>
      <c r="K63" s="3768"/>
      <c r="L63" s="2365"/>
      <c r="M63" s="3767"/>
      <c r="N63" s="3768"/>
      <c r="P63" s="3767"/>
      <c r="Q63" s="3768"/>
      <c r="S63" s="3767"/>
      <c r="T63" s="3768"/>
      <c r="U63" s="369" t="str">
        <f>IF(AND(G63&gt;0,OR(C63="",C63="&lt;Enter detailed description here; use Comments section if needed&gt;")),"NO DESCRIPTION PROVIDED - please enter detailed description in Other box at left; use Comments section below if needed.","")</f>
        <v/>
      </c>
      <c r="V63" s="3846"/>
      <c r="W63" s="3829"/>
      <c r="X63" s="3830"/>
    </row>
    <row r="64" spans="1:24" s="293" customFormat="1" ht="12" customHeight="1" thickTop="1">
      <c r="F64" s="344" t="s">
        <v>187</v>
      </c>
      <c r="G64" s="2565">
        <f>SUM(G52:H63)</f>
        <v>425855</v>
      </c>
      <c r="H64" s="2566"/>
      <c r="J64" s="2565">
        <f>SUM(J52:K63)</f>
        <v>420855</v>
      </c>
      <c r="K64" s="2566"/>
      <c r="L64" s="346"/>
      <c r="M64" s="2565">
        <f>SUM(M52:N63)</f>
        <v>0</v>
      </c>
      <c r="N64" s="2566"/>
      <c r="P64" s="2565">
        <f>SUM(P52:Q63)</f>
        <v>0</v>
      </c>
      <c r="Q64" s="2566"/>
      <c r="S64" s="2565">
        <f>SUM(S52:T63)</f>
        <v>5000</v>
      </c>
      <c r="T64" s="2566"/>
      <c r="V64" s="3851">
        <f>SUM(V52:V63)</f>
        <v>0</v>
      </c>
      <c r="W64" s="3832"/>
      <c r="X64" s="3833"/>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49">
        <v>120000</v>
      </c>
      <c r="H66" s="3750"/>
      <c r="J66" s="3749">
        <v>120000</v>
      </c>
      <c r="K66" s="3750"/>
      <c r="L66" s="2365"/>
      <c r="M66" s="3749"/>
      <c r="N66" s="3750"/>
      <c r="P66" s="3749"/>
      <c r="Q66" s="3750"/>
      <c r="S66" s="3749"/>
      <c r="T66" s="3750"/>
      <c r="V66" s="3821"/>
      <c r="W66" s="3822"/>
      <c r="X66" s="3823"/>
    </row>
    <row r="67" spans="1:24" s="293" customFormat="1" ht="12" customHeight="1">
      <c r="B67" s="293" t="s">
        <v>469</v>
      </c>
      <c r="G67" s="3758">
        <v>30000</v>
      </c>
      <c r="H67" s="3759"/>
      <c r="J67" s="3758">
        <v>30000</v>
      </c>
      <c r="K67" s="3759"/>
      <c r="L67" s="2365"/>
      <c r="M67" s="3758"/>
      <c r="N67" s="3759"/>
      <c r="P67" s="3758"/>
      <c r="Q67" s="3759"/>
      <c r="S67" s="3758"/>
      <c r="T67" s="3759"/>
      <c r="V67" s="3821"/>
      <c r="W67" s="3822"/>
      <c r="X67" s="3823"/>
    </row>
    <row r="68" spans="1:24" s="293" customFormat="1" ht="12" customHeight="1">
      <c r="B68" s="293" t="s">
        <v>1105</v>
      </c>
      <c r="D68" s="305" t="s">
        <v>3632</v>
      </c>
      <c r="E68" s="1021">
        <f>'DCA Underwriting Assumptions'!R80</f>
        <v>20000</v>
      </c>
      <c r="F68" s="1022" t="str">
        <f>IF(G68&gt;E68,"CHECK!!!","")</f>
        <v/>
      </c>
      <c r="G68" s="3758">
        <v>20000</v>
      </c>
      <c r="H68" s="3759"/>
      <c r="J68" s="3758">
        <v>20000</v>
      </c>
      <c r="K68" s="3759"/>
      <c r="L68" s="2365"/>
      <c r="M68" s="3758"/>
      <c r="N68" s="3759"/>
      <c r="P68" s="3758"/>
      <c r="Q68" s="3759"/>
      <c r="S68" s="3758"/>
      <c r="T68" s="3759"/>
      <c r="V68" s="3821"/>
      <c r="W68" s="3822"/>
      <c r="X68" s="3823"/>
    </row>
    <row r="69" spans="1:24" s="293" customFormat="1" ht="12" customHeight="1">
      <c r="B69" s="293" t="s">
        <v>1106</v>
      </c>
      <c r="G69" s="3758">
        <v>15000</v>
      </c>
      <c r="H69" s="3759"/>
      <c r="J69" s="3758">
        <v>15000</v>
      </c>
      <c r="K69" s="3759"/>
      <c r="L69" s="2365"/>
      <c r="M69" s="3758"/>
      <c r="N69" s="3759"/>
      <c r="P69" s="3758"/>
      <c r="Q69" s="3759"/>
      <c r="S69" s="3758"/>
      <c r="T69" s="3759"/>
      <c r="V69" s="3821"/>
      <c r="W69" s="3822"/>
      <c r="X69" s="3823"/>
    </row>
    <row r="70" spans="1:24" s="293" customFormat="1" ht="12" customHeight="1">
      <c r="B70" s="293" t="s">
        <v>1107</v>
      </c>
      <c r="G70" s="3758">
        <v>25000</v>
      </c>
      <c r="H70" s="3759"/>
      <c r="J70" s="3758">
        <v>25000</v>
      </c>
      <c r="K70" s="3759"/>
      <c r="L70" s="2365"/>
      <c r="M70" s="3758"/>
      <c r="N70" s="3759"/>
      <c r="P70" s="3758"/>
      <c r="Q70" s="3759"/>
      <c r="S70" s="3758"/>
      <c r="T70" s="3759"/>
      <c r="V70" s="3821"/>
      <c r="W70" s="3822"/>
      <c r="X70" s="3823"/>
    </row>
    <row r="71" spans="1:24" s="293" customFormat="1" ht="12" customHeight="1">
      <c r="B71" s="293" t="s">
        <v>1108</v>
      </c>
      <c r="G71" s="3758">
        <v>25000</v>
      </c>
      <c r="H71" s="3759"/>
      <c r="J71" s="3758">
        <v>25000</v>
      </c>
      <c r="K71" s="3759"/>
      <c r="L71" s="2365"/>
      <c r="M71" s="3758"/>
      <c r="N71" s="3759"/>
      <c r="P71" s="3758"/>
      <c r="Q71" s="3759"/>
      <c r="S71" s="3758"/>
      <c r="T71" s="3759"/>
      <c r="V71" s="3821"/>
      <c r="W71" s="3822"/>
      <c r="X71" s="3823"/>
    </row>
    <row r="72" spans="1:24" s="293" customFormat="1" ht="12" customHeight="1">
      <c r="B72" s="293" t="s">
        <v>470</v>
      </c>
      <c r="G72" s="3758">
        <v>80000</v>
      </c>
      <c r="H72" s="3759"/>
      <c r="J72" s="3758">
        <v>80000</v>
      </c>
      <c r="K72" s="3759"/>
      <c r="L72" s="2365"/>
      <c r="M72" s="3758"/>
      <c r="N72" s="3759"/>
      <c r="P72" s="3758"/>
      <c r="Q72" s="3759"/>
      <c r="S72" s="3758"/>
      <c r="T72" s="3759"/>
      <c r="V72" s="3821"/>
      <c r="W72" s="3822"/>
      <c r="X72" s="3823"/>
    </row>
    <row r="73" spans="1:24" s="293" customFormat="1" ht="12" customHeight="1">
      <c r="B73" s="293" t="s">
        <v>471</v>
      </c>
      <c r="G73" s="3758">
        <v>25000</v>
      </c>
      <c r="H73" s="3759"/>
      <c r="J73" s="3758">
        <v>12500</v>
      </c>
      <c r="K73" s="3759"/>
      <c r="L73" s="2365"/>
      <c r="M73" s="3758"/>
      <c r="N73" s="3759"/>
      <c r="P73" s="3758"/>
      <c r="Q73" s="3759"/>
      <c r="S73" s="3758">
        <v>12500</v>
      </c>
      <c r="T73" s="3759"/>
      <c r="V73" s="3821"/>
      <c r="W73" s="3822"/>
      <c r="X73" s="3823"/>
    </row>
    <row r="74" spans="1:24" s="293" customFormat="1" ht="12" customHeight="1">
      <c r="B74" s="293" t="s">
        <v>2000</v>
      </c>
      <c r="G74" s="3758">
        <v>15000</v>
      </c>
      <c r="H74" s="3759"/>
      <c r="J74" s="3758">
        <v>15000</v>
      </c>
      <c r="K74" s="3759"/>
      <c r="L74" s="2365"/>
      <c r="M74" s="3758"/>
      <c r="N74" s="3759"/>
      <c r="P74" s="3758"/>
      <c r="Q74" s="3759"/>
      <c r="S74" s="3758"/>
      <c r="T74" s="3759"/>
      <c r="V74" s="3821"/>
      <c r="W74" s="3822"/>
      <c r="X74" s="3823"/>
    </row>
    <row r="75" spans="1:24" s="293" customFormat="1" ht="12" customHeight="1">
      <c r="B75" s="293" t="s">
        <v>1251</v>
      </c>
      <c r="G75" s="3758">
        <v>10000</v>
      </c>
      <c r="H75" s="3759"/>
      <c r="J75" s="3758">
        <v>10000</v>
      </c>
      <c r="K75" s="3759"/>
      <c r="L75" s="2365"/>
      <c r="M75" s="3758"/>
      <c r="N75" s="3759"/>
      <c r="P75" s="3758"/>
      <c r="Q75" s="3759"/>
      <c r="S75" s="3758"/>
      <c r="T75" s="3759"/>
      <c r="V75" s="3821"/>
      <c r="W75" s="3822"/>
      <c r="X75" s="3823"/>
    </row>
    <row r="76" spans="1:24" s="293" customFormat="1" ht="12" customHeight="1" thickBot="1">
      <c r="A76" s="370" t="str">
        <f>IF(AND(G76&gt;0,OR(C76="",C76="&lt;Enter detailed description here; use Comments section if needed&gt;")),"X","")</f>
        <v/>
      </c>
      <c r="B76" s="293" t="s">
        <v>723</v>
      </c>
      <c r="C76" s="3824" t="s">
        <v>3531</v>
      </c>
      <c r="D76" s="3824"/>
      <c r="E76" s="3824"/>
      <c r="F76" s="3825"/>
      <c r="G76" s="3767"/>
      <c r="H76" s="3768"/>
      <c r="J76" s="3767"/>
      <c r="K76" s="3768"/>
      <c r="L76" s="2365"/>
      <c r="M76" s="3767"/>
      <c r="N76" s="3768"/>
      <c r="P76" s="3767"/>
      <c r="Q76" s="3768"/>
      <c r="S76" s="3767"/>
      <c r="T76" s="3768"/>
      <c r="U76" s="369" t="str">
        <f>IF(AND(G76&gt;0,OR(C76="",C76="&lt;Enter detailed description here; use Comments section if needed&gt;")),"NO DESCRIPTION PROVIDED - please enter detailed description in Other box at left; use Comments section below if needed.","")</f>
        <v/>
      </c>
      <c r="V76" s="3821"/>
      <c r="W76" s="3829"/>
      <c r="X76" s="3830"/>
    </row>
    <row r="77" spans="1:24" s="293" customFormat="1" ht="12" customHeight="1" thickTop="1">
      <c r="F77" s="344" t="s">
        <v>187</v>
      </c>
      <c r="G77" s="2565">
        <f>SUM(G66:H76)</f>
        <v>365000</v>
      </c>
      <c r="H77" s="2566"/>
      <c r="J77" s="2565">
        <f>SUM(J66:K76)</f>
        <v>352500</v>
      </c>
      <c r="K77" s="2566"/>
      <c r="L77" s="346"/>
      <c r="M77" s="2565">
        <f>SUM(M66:N76)</f>
        <v>0</v>
      </c>
      <c r="N77" s="2566"/>
      <c r="P77" s="2565">
        <f>SUM(P66:Q76)</f>
        <v>0</v>
      </c>
      <c r="Q77" s="2566"/>
      <c r="S77" s="2565">
        <f>SUM(S66:T76)</f>
        <v>12500</v>
      </c>
      <c r="T77" s="2566"/>
      <c r="V77" s="3831">
        <f>SUM(V66:V76)</f>
        <v>0</v>
      </c>
      <c r="W77" s="3832"/>
      <c r="X77" s="3833"/>
    </row>
    <row r="78" spans="1:24" ht="12" customHeight="1">
      <c r="A78" s="293"/>
      <c r="B78" s="295" t="s">
        <v>1243</v>
      </c>
      <c r="C78" s="293"/>
      <c r="D78" s="866" t="s">
        <v>3551</v>
      </c>
      <c r="E78" s="943">
        <f>G83/'Part VI-Revenues &amp; Expenses'!$P$67</f>
        <v>1095.6400000000001</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49">
        <v>36282</v>
      </c>
      <c r="H79" s="3750"/>
      <c r="J79" s="3749">
        <v>36282</v>
      </c>
      <c r="K79" s="3750"/>
      <c r="L79" s="2365"/>
      <c r="M79" s="3749"/>
      <c r="N79" s="3750"/>
      <c r="P79" s="3749"/>
      <c r="Q79" s="3750"/>
      <c r="S79" s="3749"/>
      <c r="T79" s="3750"/>
      <c r="V79" s="3821"/>
      <c r="W79" s="3822"/>
      <c r="X79" s="3823"/>
    </row>
    <row r="80" spans="1:24" s="293" customFormat="1" ht="12" customHeight="1">
      <c r="B80" s="293" t="s">
        <v>1245</v>
      </c>
      <c r="G80" s="3758"/>
      <c r="H80" s="3759"/>
      <c r="J80" s="3758"/>
      <c r="K80" s="3759"/>
      <c r="L80" s="2365"/>
      <c r="M80" s="3758"/>
      <c r="N80" s="3759"/>
      <c r="P80" s="3758"/>
      <c r="Q80" s="3759"/>
      <c r="S80" s="3758"/>
      <c r="T80" s="3759"/>
      <c r="V80" s="3821"/>
      <c r="W80" s="3822"/>
      <c r="X80" s="3823"/>
    </row>
    <row r="81" spans="1:24" s="293" customFormat="1" ht="12" customHeight="1">
      <c r="B81" s="293" t="s">
        <v>1246</v>
      </c>
      <c r="D81" s="352" t="s">
        <v>1376</v>
      </c>
      <c r="E81" s="3852" t="s">
        <v>2887</v>
      </c>
      <c r="G81" s="3758">
        <v>16000</v>
      </c>
      <c r="H81" s="3759"/>
      <c r="I81" s="311"/>
      <c r="J81" s="3758">
        <v>16000</v>
      </c>
      <c r="K81" s="3759"/>
      <c r="L81" s="2365"/>
      <c r="M81" s="3758"/>
      <c r="N81" s="3759"/>
      <c r="P81" s="3758"/>
      <c r="Q81" s="3759"/>
      <c r="S81" s="3758"/>
      <c r="T81" s="3759"/>
      <c r="V81" s="3821"/>
      <c r="W81" s="3822"/>
      <c r="X81" s="3823"/>
    </row>
    <row r="82" spans="1:24" s="293" customFormat="1" ht="12" customHeight="1" thickBot="1">
      <c r="B82" s="293" t="s">
        <v>1247</v>
      </c>
      <c r="D82" s="352" t="s">
        <v>1376</v>
      </c>
      <c r="E82" s="3853" t="s">
        <v>2887</v>
      </c>
      <c r="G82" s="3767">
        <v>2500</v>
      </c>
      <c r="H82" s="3768"/>
      <c r="I82" s="311"/>
      <c r="J82" s="3767">
        <v>2500</v>
      </c>
      <c r="K82" s="3768"/>
      <c r="L82" s="2365"/>
      <c r="M82" s="3767"/>
      <c r="N82" s="3768"/>
      <c r="P82" s="3767"/>
      <c r="Q82" s="3768"/>
      <c r="S82" s="3767"/>
      <c r="T82" s="3768"/>
      <c r="V82" s="3821"/>
      <c r="W82" s="3829"/>
      <c r="X82" s="3830"/>
    </row>
    <row r="83" spans="1:24" s="293" customFormat="1" ht="12" customHeight="1" thickTop="1">
      <c r="F83" s="344" t="s">
        <v>187</v>
      </c>
      <c r="G83" s="2565">
        <f>SUM(G79:H82)</f>
        <v>54782</v>
      </c>
      <c r="H83" s="2566"/>
      <c r="J83" s="2565">
        <f>SUM(J79:K82)</f>
        <v>54782</v>
      </c>
      <c r="K83" s="2566"/>
      <c r="L83" s="346"/>
      <c r="M83" s="2565">
        <f>SUM(M79:N82)</f>
        <v>0</v>
      </c>
      <c r="N83" s="2566"/>
      <c r="P83" s="2565">
        <f>SUM(P79:Q82)</f>
        <v>0</v>
      </c>
      <c r="Q83" s="2566"/>
      <c r="S83" s="2565">
        <f>SUM(S79:T82)</f>
        <v>0</v>
      </c>
      <c r="T83" s="2566"/>
      <c r="V83" s="3831">
        <f>SUM(V79:V82)</f>
        <v>0</v>
      </c>
      <c r="W83" s="3832"/>
      <c r="X83" s="3833"/>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49"/>
      <c r="H85" s="3750"/>
      <c r="J85" s="2581"/>
      <c r="K85" s="2581"/>
      <c r="L85" s="2365"/>
      <c r="M85" s="2581"/>
      <c r="N85" s="2581"/>
      <c r="P85" s="2581"/>
      <c r="Q85" s="2581"/>
      <c r="S85" s="3749"/>
      <c r="T85" s="3750"/>
      <c r="V85" s="3821"/>
      <c r="W85" s="3822"/>
      <c r="X85" s="3823"/>
    </row>
    <row r="86" spans="1:24" s="293" customFormat="1" ht="12" customHeight="1">
      <c r="B86" s="293" t="s">
        <v>1249</v>
      </c>
      <c r="G86" s="3758"/>
      <c r="H86" s="3759"/>
      <c r="J86" s="2581"/>
      <c r="K86" s="2581"/>
      <c r="L86" s="2365"/>
      <c r="M86" s="2581"/>
      <c r="N86" s="2581"/>
      <c r="P86" s="2581"/>
      <c r="Q86" s="2581"/>
      <c r="S86" s="3758"/>
      <c r="T86" s="3759"/>
      <c r="V86" s="3821"/>
      <c r="W86" s="3822"/>
      <c r="X86" s="3823"/>
    </row>
    <row r="87" spans="1:24" s="293" customFormat="1" ht="12" customHeight="1">
      <c r="B87" s="293" t="s">
        <v>1250</v>
      </c>
      <c r="G87" s="3758"/>
      <c r="H87" s="3759"/>
      <c r="J87" s="2581"/>
      <c r="K87" s="2581"/>
      <c r="L87" s="2365"/>
      <c r="M87" s="2581"/>
      <c r="N87" s="2581"/>
      <c r="P87" s="2581"/>
      <c r="Q87" s="2581"/>
      <c r="S87" s="3758"/>
      <c r="T87" s="3759"/>
      <c r="V87" s="3821"/>
      <c r="W87" s="3822"/>
      <c r="X87" s="3823"/>
    </row>
    <row r="88" spans="1:24" s="293" customFormat="1" ht="12" customHeight="1">
      <c r="B88" s="293" t="s">
        <v>1252</v>
      </c>
      <c r="G88" s="3758"/>
      <c r="H88" s="3759"/>
      <c r="J88" s="2581"/>
      <c r="K88" s="2581"/>
      <c r="L88" s="2365"/>
      <c r="M88" s="2581"/>
      <c r="N88" s="2581"/>
      <c r="P88" s="2581"/>
      <c r="Q88" s="2581"/>
      <c r="S88" s="3758"/>
      <c r="T88" s="3759"/>
      <c r="V88" s="3821"/>
      <c r="W88" s="3822"/>
      <c r="X88" s="3823"/>
    </row>
    <row r="89" spans="1:24" s="293" customFormat="1" ht="12" customHeight="1">
      <c r="B89" s="293" t="s">
        <v>2239</v>
      </c>
      <c r="G89" s="3758"/>
      <c r="H89" s="3759"/>
      <c r="J89" s="2581"/>
      <c r="K89" s="2581"/>
      <c r="L89" s="2365"/>
      <c r="M89" s="2581"/>
      <c r="N89" s="2581"/>
      <c r="P89" s="2581"/>
      <c r="Q89" s="2581"/>
      <c r="S89" s="3758"/>
      <c r="T89" s="3759"/>
      <c r="V89" s="3821"/>
      <c r="W89" s="3822"/>
      <c r="X89" s="3823"/>
    </row>
    <row r="90" spans="1:24" s="293" customFormat="1" ht="12" customHeight="1" thickBot="1">
      <c r="A90" s="370" t="str">
        <f>IF(AND(G90&gt;0,OR(C90="",C90="&lt;Enter detailed description here; use Comments section if needed&gt;")),"X","")</f>
        <v/>
      </c>
      <c r="B90" s="293" t="s">
        <v>723</v>
      </c>
      <c r="C90" s="3824" t="s">
        <v>3531</v>
      </c>
      <c r="D90" s="3824"/>
      <c r="E90" s="3824"/>
      <c r="F90" s="3825"/>
      <c r="G90" s="3767"/>
      <c r="H90" s="3768"/>
      <c r="J90" s="2581"/>
      <c r="K90" s="2581"/>
      <c r="L90" s="2365"/>
      <c r="M90" s="2581"/>
      <c r="N90" s="2581"/>
      <c r="P90" s="2581"/>
      <c r="Q90" s="2581"/>
      <c r="S90" s="3767"/>
      <c r="T90" s="3768"/>
      <c r="U90" s="369" t="str">
        <f>IF(AND(G90&gt;0,OR(C90="",C90="&lt;Enter detailed description here; use Comments section if needed&gt;")),"NO DESCRIPTION PROVIDED - please enter detailed description in Other box at left; use Comments section below if needed.","")</f>
        <v/>
      </c>
      <c r="V90" s="3821"/>
      <c r="W90" s="3829"/>
      <c r="X90" s="3830"/>
    </row>
    <row r="91" spans="1:24" s="293" customFormat="1" ht="12" customHeight="1" thickTop="1">
      <c r="F91" s="344" t="s">
        <v>187</v>
      </c>
      <c r="G91" s="2565">
        <f>SUM(G85:H90)</f>
        <v>0</v>
      </c>
      <c r="H91" s="2566"/>
      <c r="J91" s="2581"/>
      <c r="K91" s="2581"/>
      <c r="L91" s="346"/>
      <c r="M91" s="2581"/>
      <c r="N91" s="2581"/>
      <c r="P91" s="2581"/>
      <c r="Q91" s="2581"/>
      <c r="S91" s="2565">
        <f>SUM(S85:T90)</f>
        <v>0</v>
      </c>
      <c r="T91" s="2566"/>
      <c r="V91" s="3831">
        <f>SUM(V85:V90)</f>
        <v>0</v>
      </c>
      <c r="W91" s="3832"/>
      <c r="X91" s="3833"/>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2742</v>
      </c>
      <c r="H93" s="2353"/>
      <c r="I93" s="2353"/>
      <c r="J93" s="2555" t="s">
        <v>266</v>
      </c>
      <c r="K93" s="2556"/>
      <c r="L93" s="343"/>
      <c r="M93" s="2559" t="s">
        <v>479</v>
      </c>
      <c r="N93" s="2560"/>
      <c r="P93" s="2555" t="s">
        <v>267</v>
      </c>
      <c r="Q93" s="2556"/>
      <c r="S93" s="2555" t="s">
        <v>268</v>
      </c>
      <c r="T93" s="2556"/>
      <c r="V93" s="419" t="str">
        <f>B93</f>
        <v>DEVELOPMENT BUDGET  (cont'd)</v>
      </c>
    </row>
    <row r="94" spans="1:24" s="293" customFormat="1" ht="18" customHeight="1" thickBot="1">
      <c r="G94" s="2563" t="s">
        <v>98</v>
      </c>
      <c r="H94" s="2564"/>
      <c r="J94" s="2557"/>
      <c r="K94" s="2558"/>
      <c r="L94" s="343"/>
      <c r="M94" s="2561"/>
      <c r="N94" s="2562"/>
      <c r="P94" s="2557"/>
      <c r="Q94" s="2558"/>
      <c r="S94" s="2557"/>
      <c r="T94" s="2558"/>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49"/>
      <c r="H96" s="3750"/>
      <c r="J96" s="346"/>
      <c r="K96" s="346"/>
      <c r="L96" s="2365"/>
      <c r="M96" s="346"/>
      <c r="N96" s="346"/>
      <c r="P96" s="346"/>
      <c r="Q96" s="346"/>
      <c r="S96" s="3749"/>
      <c r="T96" s="3750"/>
      <c r="V96" s="3821"/>
      <c r="W96" s="3822"/>
      <c r="X96" s="3823"/>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58">
        <v>6500</v>
      </c>
      <c r="H97" s="3759"/>
      <c r="J97" s="346"/>
      <c r="K97" s="346"/>
      <c r="L97" s="353"/>
      <c r="M97" s="346"/>
      <c r="N97" s="346"/>
      <c r="P97" s="346"/>
      <c r="Q97" s="346"/>
      <c r="S97" s="3758">
        <v>6500</v>
      </c>
      <c r="T97" s="3759"/>
      <c r="V97" s="3821"/>
      <c r="W97" s="3822"/>
      <c r="X97" s="3823"/>
    </row>
    <row r="98" spans="1:37" s="293" customFormat="1" ht="12.6" customHeight="1">
      <c r="B98" s="293" t="s">
        <v>3699</v>
      </c>
      <c r="G98" s="3758">
        <v>1000</v>
      </c>
      <c r="H98" s="3759"/>
      <c r="J98" s="346"/>
      <c r="K98" s="346"/>
      <c r="L98" s="353"/>
      <c r="M98" s="346"/>
      <c r="N98" s="346"/>
      <c r="O98" s="2353"/>
      <c r="P98" s="346"/>
      <c r="Q98" s="346"/>
      <c r="S98" s="3758">
        <v>1000</v>
      </c>
      <c r="T98" s="3759"/>
      <c r="V98" s="3821"/>
      <c r="W98" s="3822"/>
      <c r="X98" s="3823"/>
    </row>
    <row r="99" spans="1:37" s="293" customFormat="1" ht="12.6" customHeight="1">
      <c r="B99" s="293" t="s">
        <v>505</v>
      </c>
      <c r="E99" s="2582">
        <f>ROUNDUP('DCA Underwriting Assumptions'!$Q$92*J184,0)</f>
        <v>72000</v>
      </c>
      <c r="F99" s="2583"/>
      <c r="G99" s="3758">
        <v>72000</v>
      </c>
      <c r="H99" s="3759"/>
      <c r="J99" s="944" t="str">
        <f>IF(E99&gt;G99,"WARNING!  LIHTC Allocation Fee proposed is below minimum required.","")</f>
        <v/>
      </c>
      <c r="K99" s="346"/>
      <c r="L99" s="2365"/>
      <c r="M99" s="346"/>
      <c r="N99" s="346"/>
      <c r="O99" s="2353"/>
      <c r="P99" s="346"/>
      <c r="Q99" s="346"/>
      <c r="S99" s="3758">
        <v>72000</v>
      </c>
      <c r="T99" s="3759"/>
      <c r="V99" s="3821"/>
      <c r="W99" s="3822"/>
      <c r="X99" s="3823"/>
    </row>
    <row r="100" spans="1:37" s="293" customFormat="1" ht="12.6" customHeight="1">
      <c r="B100" s="293" t="s">
        <v>735</v>
      </c>
      <c r="E100" s="258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50000</v>
      </c>
      <c r="F100" s="2583"/>
      <c r="G100" s="3758">
        <v>50000</v>
      </c>
      <c r="H100" s="3759"/>
      <c r="J100" s="944" t="str">
        <f>IF(E100&gt;G100,"WARNING!  LIHTC Compliance Fee proposed is below minimum required.","")</f>
        <v/>
      </c>
      <c r="K100" s="270"/>
      <c r="L100" s="270"/>
      <c r="M100" s="270"/>
      <c r="N100" s="270"/>
      <c r="O100" s="270"/>
      <c r="P100" s="270"/>
      <c r="Q100" s="270"/>
      <c r="S100" s="3758">
        <v>50000</v>
      </c>
      <c r="T100" s="3759"/>
      <c r="V100" s="3821"/>
      <c r="W100" s="3822"/>
      <c r="X100" s="3823"/>
    </row>
    <row r="101" spans="1:37" s="293" customFormat="1" ht="12.6" customHeight="1">
      <c r="B101" s="293" t="s">
        <v>3878</v>
      </c>
      <c r="F101" s="1164">
        <f>ROUNDUP('DCA Underwriting Assumptions'!$Q$94,0)</f>
        <v>3000</v>
      </c>
      <c r="G101" s="3758">
        <v>3000</v>
      </c>
      <c r="H101" s="3759"/>
      <c r="J101" s="270"/>
      <c r="K101" s="270"/>
      <c r="L101" s="270"/>
      <c r="M101" s="270"/>
      <c r="N101" s="270"/>
      <c r="O101" s="270"/>
      <c r="P101" s="270"/>
      <c r="Q101" s="270"/>
      <c r="S101" s="3758">
        <v>3000</v>
      </c>
      <c r="T101" s="3759"/>
      <c r="V101" s="3821"/>
      <c r="W101" s="3822"/>
      <c r="X101" s="3823"/>
    </row>
    <row r="102" spans="1:37" s="293" customFormat="1" ht="12.6" customHeight="1">
      <c r="B102" s="293" t="s">
        <v>3879</v>
      </c>
      <c r="F102" s="1164">
        <f>ROUNDUP('DCA Underwriting Assumptions'!$Q$128,0)</f>
        <v>3000</v>
      </c>
      <c r="G102" s="3758">
        <v>3000</v>
      </c>
      <c r="H102" s="3759"/>
      <c r="J102" s="270"/>
      <c r="K102" s="270"/>
      <c r="L102" s="270"/>
      <c r="M102" s="270"/>
      <c r="N102" s="270"/>
      <c r="O102" s="270"/>
      <c r="P102" s="270"/>
      <c r="Q102" s="270"/>
      <c r="S102" s="3758">
        <v>3000</v>
      </c>
      <c r="T102" s="3759"/>
      <c r="V102" s="3821"/>
      <c r="W102" s="3822"/>
      <c r="X102" s="3823"/>
    </row>
    <row r="103" spans="1:37" s="293" customFormat="1" ht="12.6" customHeight="1">
      <c r="A103" s="370" t="str">
        <f>IF(AND(G103&gt;0,OR(C103="",C103="&lt;Enter detailed description here; use Comments section if needed&gt;")),"X","")</f>
        <v/>
      </c>
      <c r="B103" s="293" t="s">
        <v>723</v>
      </c>
      <c r="C103" s="3847" t="s">
        <v>3531</v>
      </c>
      <c r="D103" s="3847"/>
      <c r="E103" s="3847"/>
      <c r="F103" s="3848"/>
      <c r="G103" s="3758"/>
      <c r="H103" s="3759"/>
      <c r="J103" s="270"/>
      <c r="K103" s="270"/>
      <c r="L103" s="270"/>
      <c r="M103" s="270"/>
      <c r="N103" s="270"/>
      <c r="O103" s="270"/>
      <c r="P103" s="270"/>
      <c r="Q103" s="270"/>
      <c r="S103" s="3758"/>
      <c r="T103" s="3759"/>
      <c r="U103" s="369" t="str">
        <f>IF(AND(G103&gt;0,OR(C103="",C103="&lt;Enter detailed description here; use Comments section if needed&gt;")),"NO DESCRIPTION PROVIDED - please enter detailed description in Other box at left; use Comments section below if needed.","")</f>
        <v/>
      </c>
      <c r="V103" s="3821"/>
      <c r="W103" s="3822"/>
      <c r="X103" s="3823"/>
    </row>
    <row r="104" spans="1:37" s="293" customFormat="1" ht="12.6" customHeight="1" thickBot="1">
      <c r="A104" s="370" t="str">
        <f>IF(AND(G104&gt;0,OR(C104="",C104="&lt;Enter detailed description here; use Comments section if needed&gt;")),"X","")</f>
        <v/>
      </c>
      <c r="B104" s="293" t="s">
        <v>723</v>
      </c>
      <c r="C104" s="3849" t="s">
        <v>3531</v>
      </c>
      <c r="D104" s="3849"/>
      <c r="E104" s="3849"/>
      <c r="F104" s="3850"/>
      <c r="G104" s="3767"/>
      <c r="H104" s="3768"/>
      <c r="J104" s="270"/>
      <c r="K104" s="270"/>
      <c r="L104" s="270"/>
      <c r="M104" s="270"/>
      <c r="N104" s="270"/>
      <c r="O104" s="270"/>
      <c r="P104" s="270"/>
      <c r="Q104" s="270"/>
      <c r="S104" s="3767"/>
      <c r="T104" s="3768"/>
      <c r="U104" s="369" t="str">
        <f>IF(AND(G104&gt;0,OR(C104="",C104="&lt;Enter detailed description here; use Comments section if needed&gt;")),"NO DESCRIPTION PROVIDED - please enter detailed description in Other box at left; use Comments section below if needed.","")</f>
        <v/>
      </c>
      <c r="V104" s="3821"/>
      <c r="W104" s="3829"/>
      <c r="X104" s="3830"/>
    </row>
    <row r="105" spans="1:37" s="293" customFormat="1" ht="12.6" customHeight="1" thickTop="1">
      <c r="F105" s="344" t="s">
        <v>187</v>
      </c>
      <c r="G105" s="2565">
        <f>SUM(G96:H104)</f>
        <v>135500</v>
      </c>
      <c r="H105" s="2566"/>
      <c r="J105" s="346"/>
      <c r="K105" s="346"/>
      <c r="L105" s="2365"/>
      <c r="M105" s="346"/>
      <c r="N105" s="346"/>
      <c r="P105" s="346"/>
      <c r="Q105" s="346"/>
      <c r="S105" s="2565">
        <f>SUM(S96:T104)</f>
        <v>135500</v>
      </c>
      <c r="T105" s="2566"/>
      <c r="V105" s="3831">
        <f>SUM(V96:V104)</f>
        <v>0</v>
      </c>
      <c r="W105" s="3854"/>
      <c r="X105" s="3855"/>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49">
        <v>2500</v>
      </c>
      <c r="H107" s="3750"/>
      <c r="J107" s="2581"/>
      <c r="K107" s="2581"/>
      <c r="L107" s="2365"/>
      <c r="M107" s="2581"/>
      <c r="N107" s="2581"/>
      <c r="O107" s="2353"/>
      <c r="P107" s="2581"/>
      <c r="Q107" s="2581"/>
      <c r="S107" s="3749">
        <v>2500</v>
      </c>
      <c r="T107" s="3750"/>
      <c r="V107" s="3821"/>
      <c r="W107" s="3822"/>
      <c r="X107" s="3823"/>
    </row>
    <row r="108" spans="1:37" s="293" customFormat="1" ht="12.6" customHeight="1">
      <c r="B108" s="293" t="s">
        <v>275</v>
      </c>
      <c r="G108" s="3758"/>
      <c r="H108" s="3759"/>
      <c r="J108" s="2581"/>
      <c r="K108" s="2581"/>
      <c r="L108" s="2365"/>
      <c r="M108" s="2581"/>
      <c r="N108" s="2581"/>
      <c r="O108" s="2353"/>
      <c r="P108" s="2581"/>
      <c r="Q108" s="2581"/>
      <c r="S108" s="3758"/>
      <c r="T108" s="3759"/>
      <c r="V108" s="3821"/>
      <c r="W108" s="3822"/>
      <c r="X108" s="3823"/>
    </row>
    <row r="109" spans="1:37" s="293" customFormat="1" ht="12.6" customHeight="1">
      <c r="B109" s="293" t="s">
        <v>2323</v>
      </c>
      <c r="G109" s="3758"/>
      <c r="H109" s="3759"/>
      <c r="J109" s="2581"/>
      <c r="K109" s="2581"/>
      <c r="L109" s="2365"/>
      <c r="M109" s="2581"/>
      <c r="N109" s="2581"/>
      <c r="O109" s="2353"/>
      <c r="P109" s="2581"/>
      <c r="Q109" s="2581"/>
      <c r="S109" s="3758"/>
      <c r="T109" s="3759"/>
      <c r="V109" s="3821"/>
      <c r="W109" s="3822"/>
      <c r="X109" s="3823"/>
    </row>
    <row r="110" spans="1:37" s="293" customFormat="1" ht="12.6" customHeight="1" thickBot="1">
      <c r="A110" s="370" t="str">
        <f>IF(AND(G110&gt;0,OR(C110="",C110="&lt;Enter detailed description here; use Comments section if needed&gt;")),"X","")</f>
        <v/>
      </c>
      <c r="B110" s="293" t="s">
        <v>723</v>
      </c>
      <c r="C110" s="3824" t="s">
        <v>3531</v>
      </c>
      <c r="D110" s="3824"/>
      <c r="E110" s="3824"/>
      <c r="F110" s="3825"/>
      <c r="G110" s="3767"/>
      <c r="H110" s="3768"/>
      <c r="J110" s="2581"/>
      <c r="K110" s="2581"/>
      <c r="L110" s="2365"/>
      <c r="M110" s="2581"/>
      <c r="N110" s="2581"/>
      <c r="O110" s="2353"/>
      <c r="P110" s="2581"/>
      <c r="Q110" s="2581"/>
      <c r="S110" s="3767"/>
      <c r="T110" s="3768"/>
      <c r="U110" s="369" t="str">
        <f>IF(AND(G110&gt;0,OR(C110="",C110="&lt;Enter detailed description here; use Comments section if needed&gt;")),"NO DESCRIPTION PROVIDED - please enter detailed description in Other box at left; use Comments section below if needed.","")</f>
        <v/>
      </c>
      <c r="V110" s="3821"/>
      <c r="W110" s="3829"/>
      <c r="X110" s="3830"/>
    </row>
    <row r="111" spans="1:37" s="293" customFormat="1" ht="12.6" customHeight="1" thickTop="1">
      <c r="F111" s="344" t="s">
        <v>187</v>
      </c>
      <c r="G111" s="2565">
        <f>SUM(G107:H110)</f>
        <v>2500</v>
      </c>
      <c r="H111" s="2566"/>
      <c r="J111" s="2581"/>
      <c r="K111" s="2581"/>
      <c r="L111" s="2365"/>
      <c r="M111" s="2581"/>
      <c r="N111" s="2581"/>
      <c r="O111" s="2353"/>
      <c r="P111" s="2581"/>
      <c r="Q111" s="2581"/>
      <c r="S111" s="2565">
        <f>SUM(S107:T110)</f>
        <v>2500</v>
      </c>
      <c r="T111" s="2566"/>
      <c r="V111" s="3831">
        <f>SUM(V107:V110)</f>
        <v>0</v>
      </c>
      <c r="W111" s="3832"/>
      <c r="X111" s="3833"/>
      <c r="AC111" s="3856" t="s">
        <v>4507</v>
      </c>
      <c r="AD111" s="3856" t="s">
        <v>4508</v>
      </c>
      <c r="AE111" s="3857" t="s">
        <v>4513</v>
      </c>
      <c r="AF111" s="2550" t="s">
        <v>4509</v>
      </c>
    </row>
    <row r="112" spans="1:37" s="293" customFormat="1" ht="13.35" customHeight="1">
      <c r="B112" s="295" t="s">
        <v>276</v>
      </c>
      <c r="D112" s="582" t="s">
        <v>4510</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58" t="s">
        <v>4495</v>
      </c>
      <c r="Z112" s="1566"/>
      <c r="AA112" s="277" t="s">
        <v>4504</v>
      </c>
      <c r="AB112" s="277" t="s">
        <v>4505</v>
      </c>
      <c r="AC112" s="3859"/>
      <c r="AD112" s="3859"/>
      <c r="AE112" s="3860"/>
      <c r="AF112" s="2551"/>
      <c r="AI112" s="27"/>
      <c r="AK112" s="427"/>
    </row>
    <row r="113" spans="1:37" s="293" customFormat="1" ht="12.6" customHeight="1">
      <c r="B113" s="293" t="s">
        <v>1813</v>
      </c>
      <c r="F113" s="396">
        <f>IF($G$118=0,0,G113/$G$118)</f>
        <v>0.2</v>
      </c>
      <c r="G113" s="3861">
        <v>250000</v>
      </c>
      <c r="H113" s="3861"/>
      <c r="J113" s="3862">
        <v>250000</v>
      </c>
      <c r="K113" s="3863"/>
      <c r="L113" s="345"/>
      <c r="M113" s="3862"/>
      <c r="N113" s="3863"/>
      <c r="P113" s="3862"/>
      <c r="Q113" s="3863"/>
      <c r="S113" s="3862"/>
      <c r="T113" s="3863"/>
      <c r="V113" s="3821"/>
      <c r="W113" s="3822"/>
      <c r="X113" s="3823"/>
      <c r="Y113" s="158"/>
      <c r="Z113" s="3864">
        <v>0.09</v>
      </c>
      <c r="AA113" s="3865">
        <f>'DCA Underwriting Assumptions'!$J$104</f>
        <v>1</v>
      </c>
      <c r="AB113" s="3865">
        <f>'DCA Underwriting Assumptions'!$K$104</f>
        <v>50</v>
      </c>
      <c r="AC113" s="3866">
        <f>'DCA Underwriting Assumptions'!$Q$104</f>
        <v>25000</v>
      </c>
      <c r="AD113" s="3866">
        <f>AB113*AC113</f>
        <v>1250000</v>
      </c>
      <c r="AE113" s="3866">
        <f>IF('Part VI-Revenues &amp; Expenses'!$P$67&lt;AA114,'Part VI-Revenues &amp; Expenses'!$P$67*'Part IV-A-Uses of Funds'!AC113,AB113*AC113)</f>
        <v>1250000</v>
      </c>
      <c r="AF113" s="3867">
        <f>SUM(AE113:AE115)</f>
        <v>1250000</v>
      </c>
      <c r="AI113" s="27"/>
    </row>
    <row r="114" spans="1:37" s="293" customFormat="1" ht="12.6" customHeight="1">
      <c r="B114" s="293" t="s">
        <v>3839</v>
      </c>
      <c r="F114" s="3868">
        <v>250000</v>
      </c>
      <c r="V114" s="3821"/>
      <c r="W114" s="3822"/>
      <c r="X114" s="3823"/>
      <c r="Y114" s="158"/>
      <c r="Z114" s="120"/>
      <c r="AA114" s="3869">
        <f>'DCA Underwriting Assumptions'!$J$105</f>
        <v>51</v>
      </c>
      <c r="AB114" s="3869">
        <f>'DCA Underwriting Assumptions'!$K$105</f>
        <v>70</v>
      </c>
      <c r="AC114" s="3870">
        <f>'DCA Underwriting Assumptions'!$Q$105</f>
        <v>20000</v>
      </c>
      <c r="AD114" s="3870">
        <f>(AB114-AB113)*AC114</f>
        <v>400000</v>
      </c>
      <c r="AE114" s="3870">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871"/>
      <c r="AI114" s="27"/>
    </row>
    <row r="115" spans="1:37" s="293" customFormat="1" ht="12.6" customHeight="1">
      <c r="B115" s="293" t="s">
        <v>1814</v>
      </c>
      <c r="F115" s="396">
        <f>IF($G$118=0,0,G115/$G$118)</f>
        <v>0</v>
      </c>
      <c r="G115" s="3749"/>
      <c r="H115" s="3750"/>
      <c r="J115" s="3749"/>
      <c r="K115" s="3750"/>
      <c r="L115" s="2365"/>
      <c r="M115" s="3749"/>
      <c r="N115" s="3750"/>
      <c r="P115" s="3749"/>
      <c r="Q115" s="3750"/>
      <c r="S115" s="3749"/>
      <c r="T115" s="3750"/>
      <c r="V115" s="3821"/>
      <c r="W115" s="3822"/>
      <c r="X115" s="3823"/>
      <c r="Y115" s="158"/>
      <c r="Z115" s="120"/>
      <c r="AA115" s="3872">
        <f>'DCA Underwriting Assumptions'!$J$106</f>
        <v>71</v>
      </c>
      <c r="AB115" s="3873"/>
      <c r="AC115" s="3874">
        <f>'DCA Underwriting Assumptions'!$Q$106</f>
        <v>15000</v>
      </c>
      <c r="AD115" s="3874">
        <f>AF121-AD114-AD113</f>
        <v>350000</v>
      </c>
      <c r="AE115" s="3874">
        <f>MIN(AD115,IF('Part VI-Revenues &amp; Expenses'!$P$67&gt;AB114,('Part VI-Revenues &amp; Expenses'!$P$67-AB114)*AC115,0))</f>
        <v>0</v>
      </c>
      <c r="AF115" s="3875"/>
      <c r="AI115" s="27"/>
    </row>
    <row r="116" spans="1:37" s="293" customFormat="1" ht="12.6" customHeight="1">
      <c r="B116" s="293" t="s">
        <v>3466</v>
      </c>
      <c r="F116" s="396">
        <f>IF($G$118=0,0,G116/$G$118)</f>
        <v>0</v>
      </c>
      <c r="G116" s="3758"/>
      <c r="H116" s="3759"/>
      <c r="J116" s="3758"/>
      <c r="K116" s="3759"/>
      <c r="L116" s="2365"/>
      <c r="M116" s="3758"/>
      <c r="N116" s="3759"/>
      <c r="P116" s="3758"/>
      <c r="Q116" s="3759"/>
      <c r="S116" s="3758"/>
      <c r="T116" s="3759"/>
      <c r="V116" s="3821"/>
      <c r="W116" s="3822"/>
      <c r="X116" s="3823"/>
      <c r="Y116" s="27"/>
      <c r="Z116" s="3864">
        <v>0.04</v>
      </c>
      <c r="AA116" s="3876">
        <f>'DCA Underwriting Assumptions'!$J$107</f>
        <v>1</v>
      </c>
      <c r="AB116" s="3876">
        <f>'DCA Underwriting Assumptions'!$K$107</f>
        <v>100</v>
      </c>
      <c r="AC116" s="3866">
        <f>'DCA Underwriting Assumptions'!$Q$107</f>
        <v>18000</v>
      </c>
      <c r="AD116" s="3866">
        <f>AB116*AC116</f>
        <v>1800000</v>
      </c>
      <c r="AE116" s="3866">
        <f>IF('Part VI-Revenues &amp; Expenses'!$P$67&lt;AA117,'Part VI-Revenues &amp; Expenses'!$P$67*'Part IV-A-Uses of Funds'!AC116,AB116*AC116)</f>
        <v>900000</v>
      </c>
      <c r="AF116" s="3867">
        <f>SUM(AE116:AE118)</f>
        <v>900000</v>
      </c>
      <c r="AG116" s="825">
        <f>51*AC116</f>
        <v>918000</v>
      </c>
      <c r="AI116" s="27"/>
    </row>
    <row r="117" spans="1:37" s="293" customFormat="1" ht="12.6" customHeight="1" thickBot="1">
      <c r="B117" s="293" t="s">
        <v>1806</v>
      </c>
      <c r="F117" s="396">
        <f>IF($G$118=0,0,G117/$G$118)</f>
        <v>0.8</v>
      </c>
      <c r="G117" s="3767">
        <v>1000000</v>
      </c>
      <c r="H117" s="3768"/>
      <c r="J117" s="3767">
        <v>1000000</v>
      </c>
      <c r="K117" s="3768"/>
      <c r="L117" s="2365"/>
      <c r="M117" s="3767"/>
      <c r="N117" s="3768"/>
      <c r="P117" s="3767"/>
      <c r="Q117" s="3768"/>
      <c r="S117" s="3767"/>
      <c r="T117" s="3768"/>
      <c r="V117" s="3821"/>
      <c r="W117" s="3829"/>
      <c r="X117" s="3830"/>
      <c r="Y117" s="27"/>
      <c r="Z117" s="80"/>
      <c r="AA117" s="3869">
        <f>'DCA Underwriting Assumptions'!$J$108</f>
        <v>101</v>
      </c>
      <c r="AB117" s="3869">
        <f>'DCA Underwriting Assumptions'!$K$108</f>
        <v>130</v>
      </c>
      <c r="AC117" s="3870">
        <f>'DCA Underwriting Assumptions'!$Q$108</f>
        <v>15500</v>
      </c>
      <c r="AD117" s="3870">
        <f>(AB117-AB116)*AC117</f>
        <v>465000</v>
      </c>
      <c r="AE117" s="387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1"/>
      <c r="AG117" s="825"/>
      <c r="AI117" s="27"/>
    </row>
    <row r="118" spans="1:37" s="293" customFormat="1" ht="12.6" customHeight="1" thickTop="1">
      <c r="A118" s="1587" t="str">
        <f>IF(G118&gt;E118,"DF over limit!  Round down/Enter nbr.","")</f>
        <v/>
      </c>
      <c r="B118" s="1586"/>
      <c r="D118" s="582" t="s">
        <v>4506</v>
      </c>
      <c r="E118" s="1588">
        <f>IF(E112="9%",AF113,IF(E112="4%",AF116,"Enter app type!"))</f>
        <v>1250000</v>
      </c>
      <c r="F118" s="344" t="s">
        <v>187</v>
      </c>
      <c r="G118" s="2584">
        <f>SUM(G113:H117)</f>
        <v>1250000</v>
      </c>
      <c r="H118" s="2585"/>
      <c r="J118" s="2565">
        <f>SUM(J113:K117)</f>
        <v>1250000</v>
      </c>
      <c r="K118" s="2566"/>
      <c r="L118" s="2365"/>
      <c r="M118" s="2565">
        <f>SUM(M113:N117)</f>
        <v>0</v>
      </c>
      <c r="N118" s="2566"/>
      <c r="P118" s="2565">
        <f>SUM(P113:Q117)</f>
        <v>0</v>
      </c>
      <c r="Q118" s="2566"/>
      <c r="S118" s="2565">
        <f>SUM(S113:T117)</f>
        <v>0</v>
      </c>
      <c r="T118" s="2566"/>
      <c r="V118" s="3831">
        <f>SUM(V113:V117)</f>
        <v>0</v>
      </c>
      <c r="W118" s="3832"/>
      <c r="X118" s="3833"/>
      <c r="Y118" s="27"/>
      <c r="Z118" s="80"/>
      <c r="AA118" s="3872">
        <f>'DCA Underwriting Assumptions'!$J$109</f>
        <v>131</v>
      </c>
      <c r="AB118" s="3873"/>
      <c r="AC118" s="3874">
        <f>'DCA Underwriting Assumptions'!$Q$109</f>
        <v>13000</v>
      </c>
      <c r="AD118" s="3874">
        <f>AF122-AD117-AD116</f>
        <v>1235000</v>
      </c>
      <c r="AE118" s="3874">
        <f>MIN(AD118,IF('Part VI-Revenues &amp; Expenses'!$P$67&gt;AB117,('Part VI-Revenues &amp; Expenses'!$P$67-AB117)*AC118,0))</f>
        <v>0</v>
      </c>
      <c r="AF118" s="3875"/>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49">
        <v>40000</v>
      </c>
      <c r="H120" s="3750"/>
      <c r="J120" s="354"/>
      <c r="K120" s="354"/>
      <c r="L120" s="354"/>
      <c r="M120" s="354"/>
      <c r="N120" s="354"/>
      <c r="P120" s="354"/>
      <c r="Q120" s="354"/>
      <c r="S120" s="3749">
        <v>40000</v>
      </c>
      <c r="T120" s="3750"/>
      <c r="V120" s="3821"/>
      <c r="W120" s="3822"/>
      <c r="X120" s="3823"/>
      <c r="Y120" s="1566" t="s">
        <v>4497</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57829.5</v>
      </c>
      <c r="G121" s="3758">
        <v>57830</v>
      </c>
      <c r="H121" s="3759"/>
      <c r="J121" s="946" t="str">
        <f>IF(E121&gt;G121,"WARNING! Rent-Up Reserves proposed is below minimum - add comment.","")</f>
        <v/>
      </c>
      <c r="K121" s="946"/>
      <c r="L121" s="2365"/>
      <c r="M121" s="920"/>
      <c r="N121" s="920"/>
      <c r="O121" s="2353"/>
      <c r="P121" s="920"/>
      <c r="Q121" s="920"/>
      <c r="R121" s="2353"/>
      <c r="S121" s="3758">
        <v>57830</v>
      </c>
      <c r="T121" s="3759"/>
      <c r="V121" s="3821"/>
      <c r="W121" s="3822"/>
      <c r="X121" s="3823"/>
      <c r="Y121" s="27"/>
      <c r="Z121" s="3877">
        <v>0.09</v>
      </c>
      <c r="AB121" s="1566"/>
      <c r="AD121" s="27"/>
      <c r="AF121" s="3878">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115659</v>
      </c>
      <c r="G122" s="3758">
        <v>115659</v>
      </c>
      <c r="H122" s="3759"/>
      <c r="J122" s="946" t="str">
        <f>IF(E122&gt;G122,"WARNING! ODR proposed is below minimum - add comment.","")</f>
        <v/>
      </c>
      <c r="K122" s="353"/>
      <c r="L122" s="353"/>
      <c r="M122" s="353"/>
      <c r="N122" s="353"/>
      <c r="O122" s="2353"/>
      <c r="P122" s="353"/>
      <c r="Q122" s="353"/>
      <c r="R122" s="2353"/>
      <c r="S122" s="3758">
        <v>115659</v>
      </c>
      <c r="T122" s="3759"/>
      <c r="V122" s="3821"/>
      <c r="W122" s="3822"/>
      <c r="X122" s="3823"/>
      <c r="Y122" s="27"/>
      <c r="Z122" s="3877">
        <v>0.04</v>
      </c>
      <c r="AB122" s="1566"/>
      <c r="AD122" s="27"/>
      <c r="AF122" s="3878">
        <f>'DCA Underwriting Assumptions'!$Q$113</f>
        <v>3500000</v>
      </c>
      <c r="AG122" s="27"/>
      <c r="AH122" s="27"/>
      <c r="AI122" s="27"/>
    </row>
    <row r="123" spans="1:37" s="293" customFormat="1" ht="12.6" customHeight="1">
      <c r="B123" s="293" t="s">
        <v>1218</v>
      </c>
      <c r="G123" s="3758"/>
      <c r="H123" s="3759"/>
      <c r="J123" s="354"/>
      <c r="K123" s="354"/>
      <c r="L123" s="354"/>
      <c r="M123" s="354"/>
      <c r="N123" s="354"/>
      <c r="P123" s="354"/>
      <c r="Q123" s="354"/>
      <c r="S123" s="3758"/>
      <c r="T123" s="3759"/>
      <c r="V123" s="3821"/>
      <c r="W123" s="3822"/>
      <c r="X123" s="3823"/>
    </row>
    <row r="124" spans="1:37" s="293" customFormat="1" ht="12.6" customHeight="1">
      <c r="B124" s="293" t="s">
        <v>1219</v>
      </c>
      <c r="E124" s="821" t="s">
        <v>3434</v>
      </c>
      <c r="F124" s="452">
        <f>IF('Part VI-Revenues &amp; Expenses'!$P$67=0,0,G124/'Part VI-Revenues &amp; Expenses'!$P$67)</f>
        <v>800</v>
      </c>
      <c r="G124" s="3758">
        <v>40000</v>
      </c>
      <c r="H124" s="3759"/>
      <c r="J124" s="3749">
        <v>40000</v>
      </c>
      <c r="K124" s="3750"/>
      <c r="L124" s="2365"/>
      <c r="M124" s="3749"/>
      <c r="N124" s="3750"/>
      <c r="P124" s="3749"/>
      <c r="Q124" s="3750"/>
      <c r="S124" s="3758"/>
      <c r="T124" s="3759"/>
      <c r="V124" s="3821"/>
      <c r="W124" s="3822"/>
      <c r="X124" s="3823"/>
    </row>
    <row r="125" spans="1:37" s="293" customFormat="1" ht="12.6" customHeight="1" thickBot="1">
      <c r="A125" s="370" t="str">
        <f>IF(AND(G125&gt;0,OR(C125="",C125="&lt;Enter detailed description here; use Comments section if needed&gt;")),"X","")</f>
        <v/>
      </c>
      <c r="B125" s="293" t="s">
        <v>723</v>
      </c>
      <c r="C125" s="3824" t="s">
        <v>3531</v>
      </c>
      <c r="D125" s="3824"/>
      <c r="E125" s="3824"/>
      <c r="F125" s="3825"/>
      <c r="G125" s="3767"/>
      <c r="H125" s="3768"/>
      <c r="J125" s="3827"/>
      <c r="K125" s="3828"/>
      <c r="L125" s="2365"/>
      <c r="M125" s="3767"/>
      <c r="N125" s="3768"/>
      <c r="P125" s="3767"/>
      <c r="Q125" s="3768"/>
      <c r="S125" s="3767"/>
      <c r="T125" s="3768"/>
      <c r="U125" s="369" t="str">
        <f>IF(AND(G125&gt;0,OR(C125="",C125="&lt;Enter detailed description here; use Comments section if needed&gt;")),"NO DESCRIPTION PROVIDED - please enter detailed description in Other box at left; use Comments section below if needed.","")</f>
        <v/>
      </c>
      <c r="V125" s="3821"/>
      <c r="W125" s="3829"/>
      <c r="X125" s="3830"/>
    </row>
    <row r="126" spans="1:37" s="293" customFormat="1" ht="12.6" customHeight="1" thickTop="1">
      <c r="B126" s="355"/>
      <c r="F126" s="344" t="s">
        <v>187</v>
      </c>
      <c r="G126" s="2565">
        <f>SUM(G120:H125)</f>
        <v>253489</v>
      </c>
      <c r="H126" s="2566"/>
      <c r="J126" s="2565">
        <f>SUM(J124:K125)</f>
        <v>40000</v>
      </c>
      <c r="K126" s="2566"/>
      <c r="L126" s="2365"/>
      <c r="M126" s="2565">
        <f>SUM(M124:N125)</f>
        <v>0</v>
      </c>
      <c r="N126" s="2566"/>
      <c r="P126" s="2565">
        <f>SUM(P124:Q125)</f>
        <v>0</v>
      </c>
      <c r="Q126" s="2566"/>
      <c r="S126" s="2565">
        <f>SUM(S120:T125)</f>
        <v>213489</v>
      </c>
      <c r="T126" s="2566"/>
      <c r="V126" s="3831">
        <f>SUM(V120:V125)</f>
        <v>0</v>
      </c>
      <c r="W126" s="3832"/>
      <c r="X126" s="3833"/>
    </row>
    <row r="127" spans="1:37" s="293" customFormat="1" ht="13.35" customHeight="1">
      <c r="B127" s="295" t="s">
        <v>593</v>
      </c>
      <c r="C127" s="2348"/>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8"/>
      <c r="G128" s="3749"/>
      <c r="H128" s="3750"/>
      <c r="J128" s="3749"/>
      <c r="K128" s="3750"/>
      <c r="L128" s="345"/>
      <c r="M128" s="3749"/>
      <c r="N128" s="3750"/>
      <c r="P128" s="3749"/>
      <c r="Q128" s="3750"/>
      <c r="S128" s="3749"/>
      <c r="T128" s="3750"/>
      <c r="V128" s="3821"/>
      <c r="W128" s="3822"/>
      <c r="X128" s="3823"/>
    </row>
    <row r="129" spans="1:24" s="293" customFormat="1" ht="12.6" customHeight="1" thickBot="1">
      <c r="A129" s="370" t="str">
        <f>IF(AND(G129&gt;0,OR(C129="",C129="&lt;Enter detailed description here; use Comments section if needed&gt;")),"X","")</f>
        <v/>
      </c>
      <c r="B129" s="293" t="s">
        <v>723</v>
      </c>
      <c r="C129" s="3824" t="s">
        <v>3531</v>
      </c>
      <c r="D129" s="3824"/>
      <c r="E129" s="3824"/>
      <c r="F129" s="3825"/>
      <c r="G129" s="3767"/>
      <c r="H129" s="3768"/>
      <c r="J129" s="3767"/>
      <c r="K129" s="3768"/>
      <c r="L129" s="2365"/>
      <c r="M129" s="3767"/>
      <c r="N129" s="3768"/>
      <c r="P129" s="3767"/>
      <c r="Q129" s="3768"/>
      <c r="S129" s="3767"/>
      <c r="T129" s="3768"/>
      <c r="U129" s="369" t="str">
        <f>IF(AND(G129&gt;0,OR(C129="",C129="&lt;Enter detailed description here; use Comments section if needed&gt;")),"NO DESCRIPTION PROVIDED - please enter detailed description in Other box at left; use Comments section below if needed.","")</f>
        <v/>
      </c>
      <c r="V129" s="3821"/>
      <c r="W129" s="3829"/>
      <c r="X129" s="3830"/>
    </row>
    <row r="130" spans="1:24" s="293" customFormat="1" ht="12.6" customHeight="1" thickTop="1">
      <c r="C130" s="2348"/>
      <c r="F130" s="344" t="s">
        <v>187</v>
      </c>
      <c r="G130" s="2565">
        <f>SUM(G128:H129)</f>
        <v>0</v>
      </c>
      <c r="H130" s="2566"/>
      <c r="J130" s="2565">
        <f>SUM(J128:K129)</f>
        <v>0</v>
      </c>
      <c r="K130" s="2566"/>
      <c r="L130" s="2365"/>
      <c r="M130" s="2565">
        <f>SUM(M128:N129)</f>
        <v>0</v>
      </c>
      <c r="N130" s="2566"/>
      <c r="P130" s="2565">
        <f>SUM(P128:Q129)</f>
        <v>0</v>
      </c>
      <c r="Q130" s="2566"/>
      <c r="S130" s="2565">
        <f>SUM(S128:T129)</f>
        <v>0</v>
      </c>
      <c r="T130" s="2566"/>
      <c r="V130" s="3831">
        <f>SUM(V128:V129)</f>
        <v>0</v>
      </c>
      <c r="W130" s="3832"/>
      <c r="X130" s="3833"/>
    </row>
    <row r="131" spans="1:24" s="293" customFormat="1" ht="3" customHeight="1" thickBot="1">
      <c r="C131" s="2348"/>
      <c r="H131" s="351"/>
      <c r="I131" s="351"/>
      <c r="L131" s="2353"/>
      <c r="V131" s="1029"/>
      <c r="W131" s="3879"/>
      <c r="X131" s="3880"/>
    </row>
    <row r="132" spans="1:24" s="293" customFormat="1" ht="14.1" customHeight="1" thickBot="1">
      <c r="B132" s="298" t="s">
        <v>2677</v>
      </c>
      <c r="E132" s="821"/>
      <c r="F132" s="1589"/>
      <c r="G132" s="2586">
        <f>G17+G23+G27+G33+G38+G41+G47+G64+G77+G83+G91+G105+G111+G118+G126+G130</f>
        <v>10856073</v>
      </c>
      <c r="H132" s="2587"/>
      <c r="J132" s="2586">
        <f>J17+J23+J27+J33+J38+J41+J47+J64+J77+J83+J91+J105+J111+J118+J126+J130</f>
        <v>9950834</v>
      </c>
      <c r="K132" s="2587"/>
      <c r="M132" s="2586">
        <f>M17+M23+M27+M33+M38+M41+M47+M64+M77+M83+M91+M105+M111+M118+M126+M130</f>
        <v>0</v>
      </c>
      <c r="N132" s="2587"/>
      <c r="P132" s="2586">
        <f>P17+P23+P27+P33+P38+P41+P47+P64+P77+P83+P91+P105+P111+P118+P126+P130</f>
        <v>0</v>
      </c>
      <c r="Q132" s="2587"/>
      <c r="S132" s="2586">
        <f>S17+S23+S27+S33+S38+S41+S47+S64+S77+S83+S91+S105+S111+S118+S126+S130</f>
        <v>905239</v>
      </c>
      <c r="T132" s="2587"/>
      <c r="V132" s="3881">
        <f>V17+V23+V27+V33+V38+V41+V47+V64+V77+V83+V91+V105+V111+V118+V126+V130</f>
        <v>0</v>
      </c>
      <c r="W132" s="3882"/>
      <c r="X132" s="3833"/>
    </row>
    <row r="133" spans="1:24" s="293" customFormat="1" ht="3" customHeight="1">
      <c r="C133" s="2348"/>
      <c r="H133" s="351"/>
      <c r="I133" s="351"/>
      <c r="L133" s="2353"/>
      <c r="V133" s="1029"/>
    </row>
    <row r="134" spans="1:24" s="293" customFormat="1" ht="14.1" customHeight="1">
      <c r="B134" s="490" t="s">
        <v>2674</v>
      </c>
      <c r="C134" s="488"/>
      <c r="D134" s="2588">
        <f>IF('Part VI-Revenues &amp; Expenses'!$P$67=0,0,G132/'Part VI-Revenues &amp; Expenses'!$P$67)</f>
        <v>217121.46</v>
      </c>
      <c r="E134" s="2588"/>
      <c r="F134" s="489" t="s">
        <v>2673</v>
      </c>
      <c r="G134" s="2589">
        <f>IF('Part I-Project Information'!$P$75=0,0,G132/'Part I-Project Information'!$P$75)</f>
        <v>196.81774176003481</v>
      </c>
      <c r="H134" s="2590"/>
      <c r="I134" s="356"/>
      <c r="V134" s="1029"/>
    </row>
    <row r="135" spans="1:24" s="293" customFormat="1" ht="3" customHeight="1">
      <c r="I135" s="356"/>
      <c r="L135" s="356"/>
      <c r="V135" s="1029"/>
    </row>
    <row r="136" spans="1:24" s="293" customFormat="1" ht="3.6" customHeight="1" thickBot="1">
      <c r="D136" s="2348"/>
      <c r="E136" s="2348"/>
      <c r="I136" s="351"/>
      <c r="J136" s="351"/>
      <c r="K136" s="357"/>
      <c r="L136" s="2345"/>
      <c r="P136" s="2353"/>
      <c r="V136" s="1029"/>
    </row>
    <row r="137" spans="1:24" s="293" customFormat="1" ht="26.1" customHeight="1">
      <c r="A137" s="418" t="s">
        <v>722</v>
      </c>
      <c r="B137" s="420" t="s">
        <v>1398</v>
      </c>
      <c r="C137" s="841"/>
      <c r="D137" s="2365"/>
      <c r="E137" s="2365"/>
      <c r="F137" s="2365"/>
      <c r="G137" s="2353"/>
      <c r="H137" s="2353"/>
      <c r="I137" s="358"/>
      <c r="J137" s="2555" t="s">
        <v>266</v>
      </c>
      <c r="K137" s="2556"/>
      <c r="M137" s="2555" t="s">
        <v>97</v>
      </c>
      <c r="N137" s="2556"/>
      <c r="P137" s="2555" t="s">
        <v>267</v>
      </c>
      <c r="Q137" s="2556"/>
      <c r="V137" s="1029"/>
      <c r="W137" s="419" t="str">
        <f>B137</f>
        <v>TAX CREDIT CALCULATION - BASIS METHOD</v>
      </c>
    </row>
    <row r="138" spans="1:24" s="293" customFormat="1" ht="15" customHeight="1" thickBot="1">
      <c r="B138" s="298" t="s">
        <v>1995</v>
      </c>
      <c r="D138" s="2365"/>
      <c r="E138" s="2365"/>
      <c r="I138" s="358"/>
      <c r="J138" s="2557"/>
      <c r="K138" s="2558"/>
      <c r="L138" s="841"/>
      <c r="M138" s="2557"/>
      <c r="N138" s="2558"/>
      <c r="P138" s="2557"/>
      <c r="Q138" s="2558"/>
      <c r="V138" s="1029"/>
      <c r="W138" s="293" t="str">
        <f>B138</f>
        <v>Subtractions From Eligible Basis</v>
      </c>
      <c r="X138" s="330"/>
    </row>
    <row r="139" spans="1:24" s="293" customFormat="1" ht="6" customHeight="1">
      <c r="D139" s="2348"/>
      <c r="E139" s="2348"/>
      <c r="I139" s="351"/>
      <c r="J139" s="351"/>
      <c r="K139" s="357"/>
      <c r="L139" s="2345"/>
      <c r="P139" s="2353"/>
      <c r="V139" s="1029"/>
    </row>
    <row r="140" spans="1:24" s="293" customFormat="1" ht="14.1" customHeight="1">
      <c r="B140" s="2348" t="s">
        <v>141</v>
      </c>
      <c r="D140" s="2353"/>
      <c r="E140" s="2353"/>
      <c r="F140" s="2353"/>
      <c r="G140" s="2353"/>
      <c r="H140" s="2353"/>
      <c r="I140" s="358"/>
      <c r="J140" s="3883"/>
      <c r="K140" s="3884"/>
      <c r="P140" s="3883"/>
      <c r="Q140" s="3884"/>
      <c r="V140" s="3821"/>
      <c r="W140" s="3822"/>
      <c r="X140" s="3823"/>
    </row>
    <row r="141" spans="1:24" s="293" customFormat="1" ht="14.1" customHeight="1">
      <c r="B141" s="2353" t="s">
        <v>2101</v>
      </c>
      <c r="D141" s="2353"/>
      <c r="E141" s="2353"/>
      <c r="F141" s="2353"/>
      <c r="G141" s="2353"/>
      <c r="H141" s="2353"/>
      <c r="I141" s="358"/>
      <c r="J141" s="3885"/>
      <c r="K141" s="3886"/>
      <c r="P141" s="3885"/>
      <c r="Q141" s="3886"/>
      <c r="V141" s="3821"/>
      <c r="W141" s="3822"/>
      <c r="X141" s="3823"/>
    </row>
    <row r="142" spans="1:24" s="293" customFormat="1" ht="14.1" customHeight="1">
      <c r="B142" s="2353" t="s">
        <v>1816</v>
      </c>
      <c r="D142" s="2353"/>
      <c r="E142" s="2353"/>
      <c r="I142" s="358"/>
      <c r="J142" s="3885"/>
      <c r="K142" s="3886"/>
      <c r="P142" s="3885"/>
      <c r="Q142" s="3886"/>
      <c r="V142" s="3821"/>
      <c r="W142" s="3822"/>
      <c r="X142" s="3823"/>
    </row>
    <row r="143" spans="1:24" s="293" customFormat="1" ht="14.1" customHeight="1">
      <c r="B143" s="2353" t="s">
        <v>1817</v>
      </c>
      <c r="D143" s="2353"/>
      <c r="E143" s="2353"/>
      <c r="I143" s="358"/>
      <c r="J143" s="3885"/>
      <c r="K143" s="3886"/>
      <c r="P143" s="3885"/>
      <c r="Q143" s="3886"/>
      <c r="V143" s="3821"/>
      <c r="W143" s="3822"/>
      <c r="X143" s="3823"/>
    </row>
    <row r="144" spans="1:24" s="293" customFormat="1" ht="14.1" customHeight="1">
      <c r="B144" s="2353" t="s">
        <v>249</v>
      </c>
      <c r="D144" s="2353"/>
      <c r="E144" s="2353"/>
      <c r="I144" s="358"/>
      <c r="J144" s="3885"/>
      <c r="K144" s="3886"/>
      <c r="P144" s="3885"/>
      <c r="Q144" s="3886"/>
      <c r="V144" s="3821"/>
      <c r="W144" s="3822"/>
      <c r="X144" s="3823"/>
    </row>
    <row r="145" spans="1:24" s="293" customFormat="1" ht="14.1" customHeight="1" thickBot="1">
      <c r="B145" s="2353" t="s">
        <v>1568</v>
      </c>
      <c r="C145" s="3887" t="s">
        <v>2352</v>
      </c>
      <c r="D145" s="3887"/>
      <c r="E145" s="3887"/>
      <c r="F145" s="3887"/>
      <c r="G145" s="3887"/>
      <c r="H145" s="3887"/>
      <c r="I145" s="3888"/>
      <c r="J145" s="3889"/>
      <c r="K145" s="3890"/>
      <c r="P145" s="3889"/>
      <c r="Q145" s="3890"/>
      <c r="V145" s="3821"/>
      <c r="W145" s="3829"/>
      <c r="X145" s="3830"/>
    </row>
    <row r="146" spans="1:24" s="293" customFormat="1" ht="14.1" customHeight="1" thickBot="1">
      <c r="B146" s="303" t="s">
        <v>1818</v>
      </c>
      <c r="C146" s="306"/>
      <c r="J146" s="2524">
        <f>SUM(J140:K145)</f>
        <v>0</v>
      </c>
      <c r="K146" s="2525"/>
      <c r="P146" s="2524">
        <f>SUM(P140:Q145)</f>
        <v>0</v>
      </c>
      <c r="Q146" s="2525"/>
      <c r="V146" s="3831">
        <f>SUM(V140:V145)</f>
        <v>0</v>
      </c>
      <c r="W146" s="3832"/>
      <c r="X146" s="3833"/>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542">
        <f>J132</f>
        <v>9950834</v>
      </c>
      <c r="K149" s="2543"/>
      <c r="M149" s="2544">
        <f>M132</f>
        <v>0</v>
      </c>
      <c r="N149" s="2545"/>
      <c r="P149" s="2542">
        <f>P132</f>
        <v>0</v>
      </c>
      <c r="Q149" s="2543"/>
      <c r="R149" s="2620" t="s">
        <v>4228</v>
      </c>
      <c r="S149" s="2621"/>
      <c r="T149" s="2621"/>
      <c r="V149" s="3821"/>
      <c r="W149" s="3822"/>
      <c r="X149" s="3823"/>
    </row>
    <row r="150" spans="1:24" s="293" customFormat="1" ht="14.1" customHeight="1">
      <c r="B150" s="293" t="s">
        <v>2163</v>
      </c>
      <c r="J150" s="2547">
        <f>J146</f>
        <v>0</v>
      </c>
      <c r="K150" s="2548"/>
      <c r="M150" s="2549"/>
      <c r="N150" s="2549"/>
      <c r="P150" s="2547">
        <f>P146</f>
        <v>0</v>
      </c>
      <c r="Q150" s="2548"/>
      <c r="R150" s="2620"/>
      <c r="S150" s="2621"/>
      <c r="T150" s="2621"/>
      <c r="U150" s="1405"/>
      <c r="V150" s="3821"/>
      <c r="W150" s="3822"/>
      <c r="X150" s="3823"/>
    </row>
    <row r="151" spans="1:24" s="293" customFormat="1" ht="14.1" customHeight="1">
      <c r="B151" s="293" t="s">
        <v>2164</v>
      </c>
      <c r="J151" s="2547">
        <f>J149-J150</f>
        <v>9950834</v>
      </c>
      <c r="K151" s="2548"/>
      <c r="M151" s="2547">
        <f>M149</f>
        <v>0</v>
      </c>
      <c r="N151" s="2548"/>
      <c r="P151" s="2547">
        <f>P149-P150</f>
        <v>0</v>
      </c>
      <c r="Q151" s="2548"/>
      <c r="R151" s="2620"/>
      <c r="S151" s="2621"/>
      <c r="T151" s="2621"/>
      <c r="U151" s="1405"/>
      <c r="V151" s="3821"/>
      <c r="W151" s="3822"/>
      <c r="X151" s="3823"/>
    </row>
    <row r="152" spans="1:24" s="293" customFormat="1" ht="14.1" customHeight="1">
      <c r="B152" s="293" t="s">
        <v>1454</v>
      </c>
      <c r="G152" s="2362" t="s">
        <v>1672</v>
      </c>
      <c r="H152" s="3466" t="s">
        <v>7072</v>
      </c>
      <c r="I152" s="3467"/>
      <c r="J152" s="3891">
        <v>1.3</v>
      </c>
      <c r="K152" s="3892"/>
      <c r="M152" s="2591"/>
      <c r="N152" s="2591"/>
      <c r="P152" s="3891"/>
      <c r="Q152" s="3892"/>
      <c r="R152" s="3893" t="s">
        <v>3521</v>
      </c>
      <c r="S152" s="3894"/>
      <c r="T152" s="3895"/>
      <c r="U152" s="1406"/>
      <c r="V152" s="3821"/>
      <c r="W152" s="3822"/>
      <c r="X152" s="3823"/>
    </row>
    <row r="153" spans="1:24" s="293" customFormat="1" ht="14.1" customHeight="1">
      <c r="B153" s="293" t="s">
        <v>2005</v>
      </c>
      <c r="J153" s="2547">
        <f>J151*J152</f>
        <v>12936084.200000001</v>
      </c>
      <c r="K153" s="2548"/>
      <c r="M153" s="2547">
        <f>+M151</f>
        <v>0</v>
      </c>
      <c r="N153" s="2548"/>
      <c r="P153" s="2547">
        <f>P151*P152</f>
        <v>0</v>
      </c>
      <c r="Q153" s="2548"/>
      <c r="R153" s="3896"/>
      <c r="S153" s="3897"/>
      <c r="T153" s="3898"/>
      <c r="U153" s="1406"/>
      <c r="V153" s="3821"/>
      <c r="W153" s="3822"/>
      <c r="X153" s="3823"/>
    </row>
    <row r="154" spans="1:24" s="293" customFormat="1" ht="14.1" customHeight="1">
      <c r="B154" s="293" t="s">
        <v>2474</v>
      </c>
      <c r="J154" s="2592">
        <f>MIN('Part VI-Revenues &amp; Expenses'!$P$63/'Part VI-Revenues &amp; Expenses'!$P$65,'Part VI-Revenues &amp; Expenses'!$P$166/'Part VI-Revenues &amp; Expenses'!$P$168)</f>
        <v>1</v>
      </c>
      <c r="K154" s="2593"/>
      <c r="M154" s="2592">
        <f>MIN('Part VI-Revenues &amp; Expenses'!$P$63/'Part VI-Revenues &amp; Expenses'!$P$65,'Part VI-Revenues &amp; Expenses'!$P$166/'Part VI-Revenues &amp; Expenses'!$P$168)</f>
        <v>1</v>
      </c>
      <c r="N154" s="2593"/>
      <c r="P154" s="2592">
        <f>MIN('Part VI-Revenues &amp; Expenses'!$P$63/'Part VI-Revenues &amp; Expenses'!$P$65,'Part VI-Revenues &amp; Expenses'!$P$166/'Part VI-Revenues &amp; Expenses'!$P$168)</f>
        <v>1</v>
      </c>
      <c r="Q154" s="2593"/>
      <c r="R154" s="3899"/>
      <c r="S154" s="3900"/>
      <c r="T154" s="3901"/>
      <c r="V154" s="3821"/>
      <c r="W154" s="3822"/>
      <c r="X154" s="3823"/>
    </row>
    <row r="155" spans="1:24" s="293" customFormat="1" ht="14.1" customHeight="1">
      <c r="B155" s="293" t="s">
        <v>1996</v>
      </c>
      <c r="J155" s="2547">
        <f>J153*J154</f>
        <v>12936084.200000001</v>
      </c>
      <c r="K155" s="2548"/>
      <c r="M155" s="2547">
        <f>M153*M154</f>
        <v>0</v>
      </c>
      <c r="N155" s="2548"/>
      <c r="P155" s="2547">
        <f>P153*P154</f>
        <v>0</v>
      </c>
      <c r="Q155" s="2548"/>
      <c r="V155" s="3821"/>
      <c r="W155" s="3822"/>
      <c r="X155" s="3823"/>
    </row>
    <row r="156" spans="1:24" s="293" customFormat="1" ht="14.1" customHeight="1">
      <c r="B156" s="293" t="s">
        <v>1997</v>
      </c>
      <c r="J156" s="3891">
        <v>0.09</v>
      </c>
      <c r="K156" s="3892"/>
      <c r="M156" s="3891"/>
      <c r="N156" s="3892"/>
      <c r="P156" s="3891"/>
      <c r="Q156" s="3892"/>
      <c r="V156" s="3821"/>
      <c r="W156" s="3822"/>
      <c r="X156" s="3823"/>
    </row>
    <row r="157" spans="1:24" s="293" customFormat="1" ht="14.1" customHeight="1" thickBot="1">
      <c r="B157" s="293" t="s">
        <v>2475</v>
      </c>
      <c r="J157" s="2594">
        <f>J155*J156</f>
        <v>1164247.578</v>
      </c>
      <c r="K157" s="2595"/>
      <c r="M157" s="2594">
        <f>M155*M156</f>
        <v>0</v>
      </c>
      <c r="N157" s="2595"/>
      <c r="P157" s="2594">
        <f>P155*P156</f>
        <v>0</v>
      </c>
      <c r="Q157" s="2595"/>
      <c r="V157" s="3902"/>
      <c r="W157" s="3829"/>
      <c r="X157" s="3830"/>
    </row>
    <row r="158" spans="1:24" s="293" customFormat="1" ht="14.1" customHeight="1" thickBot="1">
      <c r="B158" s="295" t="s">
        <v>1396</v>
      </c>
      <c r="J158" s="2524">
        <f>ROUNDDOWN(J157+M157+P157,0)</f>
        <v>1164247</v>
      </c>
      <c r="K158" s="2546"/>
      <c r="L158" s="2546"/>
      <c r="M158" s="2546"/>
      <c r="N158" s="2546"/>
      <c r="O158" s="2546"/>
      <c r="P158" s="2546"/>
      <c r="Q158" s="2525"/>
      <c r="V158" s="3831"/>
      <c r="W158" s="3854"/>
      <c r="X158" s="3855"/>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3"/>
      <c r="M160" s="467"/>
      <c r="N160" s="2353"/>
      <c r="O160" s="2353"/>
      <c r="P160" s="2353"/>
      <c r="Q160" s="2353"/>
      <c r="R160" s="2353"/>
      <c r="S160" s="2353"/>
      <c r="T160" s="2353"/>
      <c r="V160" s="1029"/>
    </row>
    <row r="161" spans="2:24" s="168" customFormat="1" ht="3" customHeight="1">
      <c r="H161" s="3903"/>
      <c r="I161" s="3903"/>
      <c r="M161" s="535"/>
      <c r="O161" s="3904"/>
      <c r="P161" s="3904"/>
      <c r="Q161" s="3904"/>
      <c r="R161" s="3904"/>
      <c r="S161" s="3904"/>
      <c r="T161" s="3904"/>
      <c r="U161" s="3904"/>
      <c r="V161" s="3904"/>
    </row>
    <row r="162" spans="2:24" s="168" customFormat="1" ht="14.1" customHeight="1">
      <c r="B162" s="3905" t="s">
        <v>4522</v>
      </c>
      <c r="H162" s="3903"/>
      <c r="I162" s="3903"/>
      <c r="M162" s="535"/>
      <c r="O162" s="3906"/>
      <c r="P162" s="3906"/>
      <c r="Q162" s="3906"/>
      <c r="R162" s="3906"/>
      <c r="S162" s="3906"/>
      <c r="T162" s="3906"/>
      <c r="U162" s="3906"/>
      <c r="V162" s="3906"/>
    </row>
    <row r="163" spans="2:24" s="168" customFormat="1" ht="15" customHeight="1">
      <c r="B163" s="168" t="s">
        <v>4524</v>
      </c>
      <c r="J163" s="3907">
        <f>G132</f>
        <v>10856073</v>
      </c>
      <c r="K163" s="3908"/>
      <c r="L163" s="3909"/>
      <c r="V163" s="3910"/>
      <c r="W163" s="3911"/>
    </row>
    <row r="164" spans="2:24" s="168" customFormat="1" ht="13.5" customHeight="1">
      <c r="B164" s="168" t="s">
        <v>4526</v>
      </c>
      <c r="J164" s="3907">
        <f>'Part IV-A-Uses of Funds'!$G$83+'Part IV-A-Uses of Funds'!$G$105+SUM('Part IV-A-Uses of Funds'!$G$121:$H$123)</f>
        <v>363771</v>
      </c>
      <c r="K164" s="3908"/>
      <c r="L164" s="3909"/>
      <c r="V164" s="3910"/>
      <c r="W164" s="3911"/>
    </row>
    <row r="165" spans="2:24" s="168" customFormat="1" ht="13.5" customHeight="1">
      <c r="B165" s="3912" t="s">
        <v>4525</v>
      </c>
      <c r="J165" s="3907">
        <f>J163-J164</f>
        <v>10492302</v>
      </c>
      <c r="K165" s="3908"/>
      <c r="L165" s="3909"/>
      <c r="M165" s="2618" t="str">
        <f>IF(J165&lt;=J166, "","Exceeds Project Cost Limit!   Needs Cost Limit waiver.")</f>
        <v/>
      </c>
      <c r="N165" s="2618"/>
      <c r="O165" s="2618"/>
      <c r="P165" s="2618"/>
      <c r="Q165" s="2618"/>
      <c r="R165" s="2618"/>
      <c r="S165" s="2618"/>
      <c r="T165" s="2618"/>
      <c r="V165" s="3910"/>
      <c r="W165" s="3911"/>
    </row>
    <row r="166" spans="2:24" s="168" customFormat="1" ht="13.5" customHeight="1">
      <c r="B166" s="3913" t="s">
        <v>2678</v>
      </c>
      <c r="C166" s="3912"/>
      <c r="D166" s="3912"/>
      <c r="J166" s="3907">
        <f>'Part VIII-Threshold Criteria'!$P$63</f>
        <v>11601485.5</v>
      </c>
      <c r="K166" s="3908"/>
      <c r="L166" s="3909"/>
      <c r="V166" s="3910"/>
      <c r="W166" s="3911"/>
    </row>
    <row r="167" spans="2:24" s="168" customFormat="1" ht="3" customHeight="1">
      <c r="B167" s="3913"/>
      <c r="C167" s="3912"/>
      <c r="D167" s="3912"/>
      <c r="J167" s="3914"/>
      <c r="K167" s="3914"/>
      <c r="L167" s="3914"/>
      <c r="V167" s="3910"/>
      <c r="W167" s="3911"/>
    </row>
    <row r="168" spans="2:24" s="293" customFormat="1" ht="15" customHeight="1" thickBot="1">
      <c r="B168" s="295" t="s">
        <v>170</v>
      </c>
      <c r="O168" s="2353"/>
      <c r="P168" s="2353"/>
      <c r="Q168" s="2353"/>
      <c r="R168" s="2353"/>
      <c r="S168" s="2353"/>
      <c r="T168" s="2353"/>
      <c r="V168" s="1029"/>
      <c r="W168" s="419" t="str">
        <f>B160</f>
        <v>TAX CREDIT CALCULATION - GAP METHOD</v>
      </c>
    </row>
    <row r="169" spans="2:24" s="293" customFormat="1" ht="15" customHeight="1">
      <c r="B169" s="168" t="s">
        <v>4527</v>
      </c>
      <c r="J169" s="3915">
        <f>MIN(J163,J166+J164)</f>
        <v>10856073</v>
      </c>
      <c r="K169" s="3916"/>
      <c r="L169" s="3917"/>
      <c r="M169" s="2602" t="s">
        <v>4550</v>
      </c>
      <c r="N169" s="2615"/>
      <c r="O169" s="2615"/>
      <c r="P169" s="2615"/>
      <c r="Q169" s="2615"/>
      <c r="R169" s="2603"/>
      <c r="S169" s="2602" t="s">
        <v>3499</v>
      </c>
      <c r="T169" s="2603"/>
      <c r="V169" s="3821"/>
      <c r="W169" s="3822"/>
      <c r="X169" s="3823"/>
    </row>
    <row r="170" spans="2:24" s="293" customFormat="1" ht="14.1" customHeight="1">
      <c r="B170" s="293" t="s">
        <v>258</v>
      </c>
      <c r="J170" s="2547">
        <f>'Part III-Sources of Funds'!$I$58-'Part III-Sources of Funds'!$I$42-'Part III-Sources of Funds'!$I$43-'Part III-Sources of Funds'!$I$49-'Part III-Sources of Funds'!$I$50</f>
        <v>110</v>
      </c>
      <c r="K170" s="2549"/>
      <c r="L170" s="2606"/>
      <c r="M170" s="2604"/>
      <c r="N170" s="2616"/>
      <c r="O170" s="2616"/>
      <c r="P170" s="2616"/>
      <c r="Q170" s="2616"/>
      <c r="R170" s="2605"/>
      <c r="S170" s="2604"/>
      <c r="T170" s="2605"/>
      <c r="V170" s="3821"/>
      <c r="W170" s="3822"/>
      <c r="X170" s="3823"/>
    </row>
    <row r="171" spans="2:24" s="293" customFormat="1" ht="14.1" customHeight="1">
      <c r="B171" s="293" t="s">
        <v>2175</v>
      </c>
      <c r="J171" s="2547">
        <f>+J169-J170</f>
        <v>10855963</v>
      </c>
      <c r="K171" s="2549"/>
      <c r="L171" s="2606"/>
      <c r="M171" s="2604"/>
      <c r="N171" s="2616"/>
      <c r="O171" s="2616"/>
      <c r="P171" s="2616"/>
      <c r="Q171" s="2616"/>
      <c r="R171" s="2605"/>
      <c r="S171" s="2604"/>
      <c r="T171" s="2605"/>
      <c r="V171" s="3821"/>
      <c r="W171" s="3822"/>
      <c r="X171" s="3823"/>
    </row>
    <row r="172" spans="2:24" s="293" customFormat="1" ht="14.1" customHeight="1" thickBot="1">
      <c r="B172" s="293" t="s">
        <v>1260</v>
      </c>
      <c r="J172" s="2611" t="str">
        <f>"/ 10"</f>
        <v>/ 10</v>
      </c>
      <c r="K172" s="2611"/>
      <c r="L172" s="2611"/>
      <c r="M172" s="2607" t="s">
        <v>2660</v>
      </c>
      <c r="N172" s="2608"/>
      <c r="O172" s="2609">
        <f>'Part III-Sources of Funds'!$I$42</f>
        <v>0</v>
      </c>
      <c r="P172" s="2609"/>
      <c r="Q172" s="2609"/>
      <c r="R172" s="2610"/>
      <c r="S172" s="406" t="s">
        <v>1623</v>
      </c>
      <c r="T172" s="3918"/>
      <c r="V172" s="3821"/>
      <c r="W172" s="3822"/>
      <c r="X172" s="3823"/>
    </row>
    <row r="173" spans="2:24" s="293" customFormat="1" ht="14.1" customHeight="1">
      <c r="B173" s="293" t="s">
        <v>1261</v>
      </c>
      <c r="J173" s="2547">
        <f>J171/10</f>
        <v>1085596.3</v>
      </c>
      <c r="K173" s="2549"/>
      <c r="L173" s="2548"/>
      <c r="M173" s="2353"/>
      <c r="N173" s="464"/>
      <c r="O173" s="464"/>
      <c r="P173" s="464"/>
      <c r="Q173" s="464"/>
      <c r="R173" s="464"/>
      <c r="V173" s="1029"/>
      <c r="W173" s="3822"/>
      <c r="X173" s="3823"/>
    </row>
    <row r="174" spans="2:24" s="293" customFormat="1" ht="14.1" customHeight="1">
      <c r="M174" s="311"/>
      <c r="N174" s="2409" t="s">
        <v>1262</v>
      </c>
      <c r="O174" s="2409"/>
      <c r="Q174" s="2409" t="s">
        <v>1754</v>
      </c>
      <c r="R174" s="2409"/>
      <c r="V174" s="3821"/>
      <c r="W174" s="3822"/>
      <c r="X174" s="3823"/>
    </row>
    <row r="175" spans="2:24" s="293" customFormat="1" ht="14.1" customHeight="1" thickBot="1">
      <c r="B175" s="293" t="s">
        <v>1453</v>
      </c>
      <c r="J175" s="2596">
        <f>N175+Q175</f>
        <v>1.2</v>
      </c>
      <c r="K175" s="2597"/>
      <c r="L175" s="2598"/>
      <c r="M175" s="2362" t="s">
        <v>1263</v>
      </c>
      <c r="N175" s="3919">
        <v>0.83</v>
      </c>
      <c r="O175" s="3920"/>
      <c r="P175" s="2362" t="s">
        <v>595</v>
      </c>
      <c r="Q175" s="3919">
        <v>0.37</v>
      </c>
      <c r="R175" s="3920"/>
      <c r="V175" s="3821"/>
      <c r="W175" s="3822"/>
      <c r="X175" s="3823"/>
    </row>
    <row r="176" spans="2:24" s="293" customFormat="1" ht="14.1" customHeight="1" thickBot="1">
      <c r="B176" s="295" t="s">
        <v>1397</v>
      </c>
      <c r="J176" s="2524">
        <f>ROUNDDOWN(IF(J175=0,"",J173/J175),0)</f>
        <v>904663</v>
      </c>
      <c r="K176" s="2546"/>
      <c r="L176" s="2525"/>
      <c r="M176" s="311"/>
      <c r="N176" s="2353"/>
      <c r="O176" s="2353"/>
      <c r="V176" s="3821"/>
      <c r="W176" s="3822"/>
      <c r="X176" s="3823"/>
    </row>
    <row r="177" spans="1:24" s="293" customFormat="1" ht="6" customHeight="1">
      <c r="J177" s="361"/>
      <c r="K177" s="361"/>
      <c r="L177" s="361"/>
      <c r="M177" s="311"/>
      <c r="N177" s="2356"/>
      <c r="O177" s="2356"/>
      <c r="V177" s="1029"/>
      <c r="W177" s="3822"/>
      <c r="X177" s="3823"/>
    </row>
    <row r="178" spans="1:24" s="293" customFormat="1" ht="14.1" customHeight="1">
      <c r="A178" s="419" t="s">
        <v>1748</v>
      </c>
      <c r="B178" s="419" t="s">
        <v>4523</v>
      </c>
      <c r="H178" s="351"/>
      <c r="I178" s="351"/>
      <c r="L178" s="2353"/>
      <c r="M178" s="467"/>
      <c r="N178" s="2353"/>
      <c r="O178" s="2353"/>
      <c r="P178" s="2353"/>
      <c r="Q178" s="2353"/>
      <c r="R178" s="2353"/>
      <c r="S178" s="2353"/>
      <c r="T178" s="2353"/>
      <c r="V178" s="1029"/>
    </row>
    <row r="179" spans="1:24" s="168" customFormat="1" ht="3" customHeight="1">
      <c r="H179" s="3903"/>
      <c r="I179" s="3903"/>
      <c r="M179" s="535"/>
      <c r="O179" s="3904"/>
      <c r="P179" s="3904"/>
      <c r="Q179" s="3904"/>
      <c r="R179" s="3904"/>
      <c r="S179" s="3904"/>
      <c r="T179" s="3904"/>
      <c r="U179" s="3904"/>
      <c r="V179" s="3904"/>
    </row>
    <row r="180" spans="1:24" s="293" customFormat="1" ht="16.350000000000001" customHeight="1">
      <c r="B180" s="295" t="s">
        <v>4801</v>
      </c>
      <c r="J180" s="259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900000</v>
      </c>
      <c r="K180" s="2600"/>
      <c r="L180" s="2601"/>
      <c r="M180" s="311"/>
      <c r="N180" s="2356"/>
      <c r="O180" s="2356"/>
      <c r="V180" s="3821"/>
      <c r="W180" s="3822"/>
      <c r="X180" s="3823"/>
    </row>
    <row r="181" spans="1:24" s="293" customFormat="1" ht="3" customHeight="1">
      <c r="J181" s="361"/>
      <c r="K181" s="361"/>
      <c r="L181" s="361"/>
      <c r="M181" s="311"/>
      <c r="N181" s="2356"/>
      <c r="O181" s="2356"/>
      <c r="V181" s="1029"/>
      <c r="W181" s="3879"/>
      <c r="X181" s="3880"/>
    </row>
    <row r="182" spans="1:24" s="293" customFormat="1" ht="16.350000000000001" customHeight="1">
      <c r="B182" s="295" t="s">
        <v>4802</v>
      </c>
      <c r="J182" s="3921">
        <v>900000</v>
      </c>
      <c r="K182" s="3922"/>
      <c r="L182" s="3923"/>
      <c r="M182" s="362" t="str">
        <f>IF(J180=0,"",IF(J182&gt;J180,"ALLOCATION CANNOT EXCEED MAXIMUM - REVISE REQUEST (Try Round Down)!",""))</f>
        <v/>
      </c>
      <c r="N182" s="2356"/>
      <c r="O182" s="2356"/>
      <c r="V182" s="3821"/>
      <c r="W182" s="3822"/>
      <c r="X182" s="3823"/>
    </row>
    <row r="183" spans="1:24" s="293" customFormat="1" ht="3" customHeight="1">
      <c r="J183" s="361"/>
      <c r="K183" s="361"/>
      <c r="L183" s="361"/>
      <c r="M183" s="311"/>
      <c r="N183" s="2356"/>
      <c r="O183" s="2356"/>
      <c r="V183" s="1029"/>
      <c r="W183" s="3879"/>
      <c r="X183" s="3880"/>
    </row>
    <row r="184" spans="1:24" s="293" customFormat="1" ht="16.350000000000001" customHeight="1">
      <c r="A184" s="419"/>
      <c r="B184" s="419" t="s">
        <v>4803</v>
      </c>
      <c r="D184" s="311"/>
      <c r="E184" s="311"/>
      <c r="F184" s="2345"/>
      <c r="J184" s="2612">
        <f>IF(J182="",0,+MIN(J180,J182))</f>
        <v>900000</v>
      </c>
      <c r="K184" s="2613"/>
      <c r="L184" s="2614"/>
      <c r="N184" s="3924"/>
      <c r="O184" s="3924"/>
      <c r="P184" s="3924"/>
      <c r="Q184" s="3924"/>
      <c r="R184" s="3924"/>
      <c r="S184" s="3924"/>
      <c r="T184" s="3924"/>
      <c r="V184" s="3821"/>
      <c r="W184" s="3822"/>
      <c r="X184" s="3823"/>
    </row>
    <row r="185" spans="1:24" ht="3" customHeight="1"/>
    <row r="186" spans="1:24" ht="6" customHeight="1"/>
    <row r="187" spans="1:24" ht="12" customHeight="1">
      <c r="A187" s="295" t="s">
        <v>1750</v>
      </c>
      <c r="B187" s="319" t="s">
        <v>555</v>
      </c>
      <c r="N187" s="295" t="s">
        <v>516</v>
      </c>
      <c r="O187" s="295" t="s">
        <v>77</v>
      </c>
    </row>
    <row r="188" spans="1:24" ht="352.5" customHeight="1">
      <c r="A188" s="3819" t="s">
        <v>7088</v>
      </c>
      <c r="B188" s="3819"/>
      <c r="C188" s="3819"/>
      <c r="D188" s="3819"/>
      <c r="E188" s="3819"/>
      <c r="F188" s="3819"/>
      <c r="G188" s="3819"/>
      <c r="H188" s="3819"/>
      <c r="I188" s="3819"/>
      <c r="J188" s="3819"/>
      <c r="K188" s="3819"/>
      <c r="L188" s="3819"/>
      <c r="M188" s="3819"/>
      <c r="N188" s="3925"/>
      <c r="O188" s="3925"/>
      <c r="P188" s="3925"/>
      <c r="Q188" s="3925"/>
      <c r="R188" s="3925"/>
      <c r="S188" s="3925"/>
      <c r="T188" s="3925"/>
      <c r="V188" s="924"/>
      <c r="W188" s="2514" t="s">
        <v>2613</v>
      </c>
      <c r="X188" s="2514"/>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Yv2eNcP0eKVviTK8PC7LZB/+TqlT1XxAHirh0mb8oag/coeswsErnMlxh1M1EgSBFZXK38El1+rz/Q52GKU8NQ==" saltValue="yHU4Z9oPC+CHVT17q8G+Dg=="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22" t="str">
        <f>CONCATENATE("PART FOUR (b) -  OTHER COSTS","  -  ",'Part I-Project Information'!$O$6," - ",'Part I-Project Information'!$F$34,"  -  ",'Part I-Project Information'!$F$38,"  -  ",'Part I-Project Information'!$J$39,",  ","County")</f>
        <v>PART FOUR (b) -  OTHER COSTS  -  2020-079 - Spring Creek Crossing  -  Montezuma  -  Macon,  County</v>
      </c>
      <c r="B1" s="2623"/>
      <c r="C1" s="2623"/>
      <c r="D1" s="2623"/>
      <c r="E1" s="2623"/>
      <c r="F1" s="2623"/>
      <c r="G1" s="2623"/>
      <c r="H1" s="2623"/>
      <c r="I1" s="900"/>
      <c r="J1" s="900"/>
      <c r="K1" s="900"/>
      <c r="L1" s="900"/>
      <c r="M1" s="900"/>
      <c r="N1" s="900"/>
    </row>
    <row r="2" spans="1:14" ht="9" customHeight="1"/>
    <row r="3" spans="1:14" ht="57" customHeight="1">
      <c r="A3" s="3926" t="s">
        <v>3533</v>
      </c>
      <c r="B3" s="3927"/>
      <c r="C3" s="3927"/>
      <c r="D3" s="3927"/>
      <c r="E3" s="3927"/>
      <c r="F3" s="3927"/>
      <c r="G3" s="3927"/>
      <c r="H3" s="3928"/>
    </row>
    <row r="4" spans="1:14" ht="6" customHeight="1"/>
    <row r="5" spans="1:14" ht="38.25" customHeight="1">
      <c r="A5" s="2624" t="s">
        <v>3623</v>
      </c>
      <c r="B5" s="2624"/>
      <c r="C5" s="2624"/>
      <c r="D5" s="2624"/>
      <c r="F5" s="901" t="s">
        <v>3524</v>
      </c>
      <c r="G5" s="537"/>
      <c r="H5" s="901" t="s">
        <v>3525</v>
      </c>
    </row>
    <row r="6" spans="1:14" ht="6.75" customHeight="1">
      <c r="A6" s="537"/>
      <c r="B6" s="537"/>
      <c r="C6" s="537"/>
      <c r="D6" s="537"/>
    </row>
    <row r="7" spans="1:14" s="3929" customFormat="1" ht="4.5" customHeight="1">
      <c r="A7" s="902"/>
      <c r="B7" s="902"/>
      <c r="C7" s="902"/>
      <c r="D7" s="902"/>
      <c r="E7" s="902"/>
      <c r="F7" s="902"/>
      <c r="G7" s="902"/>
    </row>
    <row r="8" spans="1:14" s="3929" customFormat="1">
      <c r="A8" s="911" t="s">
        <v>99</v>
      </c>
      <c r="B8" s="903"/>
      <c r="C8" s="903"/>
      <c r="D8" s="903"/>
      <c r="E8" s="903"/>
      <c r="F8" s="903"/>
      <c r="G8" s="903"/>
      <c r="H8" s="903"/>
    </row>
    <row r="9" spans="1:14" s="3929" customFormat="1" ht="41.25" customHeight="1">
      <c r="A9" s="2625" t="str">
        <f>'Part IV-A-Uses of Funds'!$C$14</f>
        <v>&lt;&lt; Enter description here; provide detail &amp; justification in tab Part IV-b &gt;&gt;</v>
      </c>
      <c r="B9" s="2626"/>
      <c r="C9" s="2626"/>
      <c r="D9" s="2627"/>
      <c r="F9" s="3930"/>
      <c r="G9" s="903"/>
      <c r="H9" s="3930"/>
    </row>
    <row r="10" spans="1:14" s="3929" customFormat="1" ht="41.25" customHeight="1">
      <c r="A10" s="2628"/>
      <c r="B10" s="2629"/>
      <c r="C10" s="2629"/>
      <c r="D10" s="2630"/>
      <c r="F10" s="3931"/>
      <c r="G10" s="903"/>
      <c r="H10" s="3931"/>
    </row>
    <row r="11" spans="1:14" s="3929" customFormat="1" ht="4.5" customHeight="1">
      <c r="F11" s="3931"/>
      <c r="G11" s="903"/>
      <c r="H11" s="3931"/>
    </row>
    <row r="12" spans="1:14" s="3929" customFormat="1" ht="15" customHeight="1">
      <c r="A12" s="910" t="s">
        <v>3527</v>
      </c>
      <c r="B12" s="909">
        <f>'Part IV-A-Uses of Funds'!$G$14</f>
        <v>0</v>
      </c>
      <c r="C12" s="910" t="s">
        <v>1746</v>
      </c>
      <c r="D12" s="909">
        <f>'Part IV-A-Uses of Funds'!$J$14+'Part IV-A-Uses of Funds'!$M$14+'Part IV-A-Uses of Funds'!$P$14</f>
        <v>0</v>
      </c>
      <c r="F12" s="3931"/>
      <c r="G12" s="903"/>
      <c r="H12" s="3931"/>
    </row>
    <row r="13" spans="1:14" s="3929" customFormat="1" ht="6" customHeight="1">
      <c r="A13" s="903"/>
      <c r="B13" s="904"/>
      <c r="C13" s="903"/>
      <c r="D13" s="903"/>
      <c r="F13" s="3931"/>
      <c r="G13" s="905"/>
      <c r="H13" s="3931"/>
    </row>
    <row r="14" spans="1:14" s="3929" customFormat="1" ht="41.25" customHeight="1">
      <c r="A14" s="2625" t="str">
        <f>'Part IV-A-Uses of Funds'!$C$15</f>
        <v>&lt;&lt; Enter description here; provide detail &amp; justification in tab Part IV-b &gt;&gt;</v>
      </c>
      <c r="B14" s="2626"/>
      <c r="C14" s="2626"/>
      <c r="D14" s="2627"/>
      <c r="F14" s="3931"/>
      <c r="G14" s="903"/>
      <c r="H14" s="3931"/>
    </row>
    <row r="15" spans="1:14" s="3929" customFormat="1" ht="41.25" customHeight="1">
      <c r="A15" s="2628"/>
      <c r="B15" s="2629"/>
      <c r="C15" s="2629"/>
      <c r="D15" s="2630"/>
      <c r="F15" s="3931"/>
      <c r="G15" s="903"/>
      <c r="H15" s="3931"/>
    </row>
    <row r="16" spans="1:14" s="3929" customFormat="1" ht="4.5" customHeight="1">
      <c r="F16" s="3931"/>
      <c r="G16" s="903"/>
      <c r="H16" s="3931"/>
    </row>
    <row r="17" spans="1:8" s="3929" customFormat="1" ht="15" customHeight="1">
      <c r="A17" s="910" t="s">
        <v>3527</v>
      </c>
      <c r="B17" s="909">
        <f>'Part IV-A-Uses of Funds'!$G$15</f>
        <v>0</v>
      </c>
      <c r="C17" s="910" t="s">
        <v>1746</v>
      </c>
      <c r="D17" s="909">
        <f>'Part IV-A-Uses of Funds'!$J$15+'Part IV-A-Uses of Funds'!$M$15+'Part IV-A-Uses of Funds'!$P$15</f>
        <v>0</v>
      </c>
      <c r="F17" s="3931"/>
      <c r="G17" s="903"/>
      <c r="H17" s="3931"/>
    </row>
    <row r="18" spans="1:8" s="3929" customFormat="1" ht="6" customHeight="1">
      <c r="A18" s="903"/>
      <c r="B18" s="904"/>
      <c r="C18" s="903"/>
      <c r="D18" s="903"/>
      <c r="F18" s="3931"/>
      <c r="G18" s="905"/>
      <c r="H18" s="3931"/>
    </row>
    <row r="19" spans="1:8" s="3929" customFormat="1" ht="41.25" customHeight="1">
      <c r="A19" s="2625" t="str">
        <f>'Part IV-A-Uses of Funds'!$C$16</f>
        <v>&lt;&lt; Enter description here; provide detail &amp; justification in tab Part IV-b &gt;&gt;</v>
      </c>
      <c r="B19" s="2626"/>
      <c r="C19" s="2626"/>
      <c r="D19" s="2627"/>
      <c r="F19" s="3931"/>
      <c r="G19" s="903"/>
      <c r="H19" s="3931"/>
    </row>
    <row r="20" spans="1:8" s="3929" customFormat="1" ht="41.25" customHeight="1">
      <c r="A20" s="2628"/>
      <c r="B20" s="2629"/>
      <c r="C20" s="2629"/>
      <c r="D20" s="2630"/>
      <c r="F20" s="3931"/>
      <c r="G20" s="903"/>
      <c r="H20" s="3931"/>
    </row>
    <row r="21" spans="1:8" s="3929" customFormat="1" ht="4.5" customHeight="1">
      <c r="F21" s="3931"/>
      <c r="G21" s="903"/>
      <c r="H21" s="3931"/>
    </row>
    <row r="22" spans="1:8" s="3929" customFormat="1" ht="15" customHeight="1">
      <c r="A22" s="910" t="s">
        <v>3527</v>
      </c>
      <c r="B22" s="909">
        <f>'Part IV-A-Uses of Funds'!$G$16</f>
        <v>0</v>
      </c>
      <c r="C22" s="910" t="s">
        <v>1746</v>
      </c>
      <c r="D22" s="909">
        <f>'Part IV-A-Uses of Funds'!$J$16+'Part IV-A-Uses of Funds'!$M$16+'Part IV-A-Uses of Funds'!$P$16</f>
        <v>0</v>
      </c>
      <c r="F22" s="3931"/>
      <c r="G22" s="903"/>
      <c r="H22" s="3931"/>
    </row>
    <row r="23" spans="1:8" s="3929" customFormat="1" ht="6" customHeight="1">
      <c r="A23" s="903"/>
      <c r="B23" s="904"/>
      <c r="C23" s="903"/>
      <c r="D23" s="903"/>
      <c r="F23" s="3932"/>
      <c r="G23" s="905"/>
      <c r="H23" s="3932"/>
    </row>
    <row r="24" spans="1:8" s="3929" customFormat="1">
      <c r="A24" s="911" t="s">
        <v>3526</v>
      </c>
      <c r="B24" s="903"/>
      <c r="C24" s="903"/>
      <c r="D24" s="903"/>
      <c r="E24" s="903"/>
      <c r="F24" s="903"/>
      <c r="G24" s="903"/>
    </row>
    <row r="25" spans="1:8" s="3929" customFormat="1" ht="41.25" customHeight="1">
      <c r="A25" s="2625" t="str">
        <f>'Part IV-A-Uses of Funds'!$C$41</f>
        <v>&lt;&lt; Enter description here; provide detail &amp; justification in tab Part IV-b &gt;&gt;</v>
      </c>
      <c r="B25" s="2626"/>
      <c r="C25" s="2626"/>
      <c r="D25" s="2627"/>
      <c r="E25" s="903"/>
      <c r="F25" s="3933"/>
      <c r="G25" s="903"/>
      <c r="H25" s="3933"/>
    </row>
    <row r="26" spans="1:8" s="3929" customFormat="1" ht="41.25" customHeight="1">
      <c r="A26" s="2628"/>
      <c r="B26" s="2629"/>
      <c r="C26" s="2629"/>
      <c r="D26" s="2630"/>
      <c r="E26" s="903"/>
      <c r="F26" s="3934"/>
      <c r="G26" s="903"/>
      <c r="H26" s="3934"/>
    </row>
    <row r="27" spans="1:8" s="3929" customFormat="1" ht="4.5" customHeight="1">
      <c r="A27" s="903"/>
      <c r="B27" s="903"/>
      <c r="C27" s="903"/>
      <c r="D27" s="903"/>
      <c r="E27" s="903"/>
      <c r="F27" s="3934"/>
      <c r="G27" s="903"/>
      <c r="H27" s="3934"/>
    </row>
    <row r="28" spans="1:8" s="3929" customFormat="1" ht="10.199999999999999">
      <c r="A28" s="910" t="s">
        <v>3527</v>
      </c>
      <c r="B28" s="909">
        <f>'Part IV-A-Uses of Funds'!$G$41</f>
        <v>0</v>
      </c>
      <c r="C28" s="910" t="s">
        <v>1746</v>
      </c>
      <c r="D28" s="909">
        <f>'Part IV-A-Uses of Funds'!$J$41+'Part IV-A-Uses of Funds'!$M$41+'Part IV-A-Uses of Funds'!$P$41</f>
        <v>0</v>
      </c>
      <c r="E28" s="903"/>
      <c r="F28" s="3934"/>
      <c r="G28" s="903"/>
      <c r="H28" s="3934"/>
    </row>
    <row r="29" spans="1:8" s="3929" customFormat="1" ht="6" customHeight="1">
      <c r="A29" s="903"/>
      <c r="B29" s="904"/>
      <c r="C29" s="903"/>
      <c r="D29" s="903"/>
      <c r="E29" s="903"/>
      <c r="F29" s="3935"/>
      <c r="G29" s="905"/>
      <c r="H29" s="3935"/>
    </row>
    <row r="30" spans="1:8" s="3929" customFormat="1">
      <c r="A30" s="911" t="s">
        <v>704</v>
      </c>
      <c r="B30" s="903"/>
      <c r="C30" s="903"/>
      <c r="D30" s="903"/>
      <c r="E30" s="903"/>
      <c r="F30" s="903"/>
      <c r="G30" s="903"/>
    </row>
    <row r="31" spans="1:8" s="3929" customFormat="1" ht="41.25" customHeight="1">
      <c r="A31" s="2631" t="str">
        <f>'Part IV-A-Uses of Funds'!$C$62</f>
        <v>&lt;&lt; Enter description here; provide detail &amp; justification in tab Part IV-b &gt;&gt;</v>
      </c>
      <c r="B31" s="2632"/>
      <c r="C31" s="2632"/>
      <c r="D31" s="2633"/>
      <c r="E31" s="903"/>
      <c r="F31" s="3930"/>
      <c r="G31" s="903"/>
      <c r="H31" s="3930"/>
    </row>
    <row r="32" spans="1:8" s="3929" customFormat="1" ht="41.25" customHeight="1">
      <c r="A32" s="2628"/>
      <c r="B32" s="2629"/>
      <c r="C32" s="2629"/>
      <c r="D32" s="2630"/>
      <c r="E32" s="903"/>
      <c r="F32" s="3931"/>
      <c r="G32" s="903"/>
      <c r="H32" s="3931"/>
    </row>
    <row r="33" spans="1:8" s="3929" customFormat="1" ht="4.5" customHeight="1">
      <c r="A33" s="903"/>
      <c r="B33" s="903"/>
      <c r="C33" s="903"/>
      <c r="D33" s="903"/>
      <c r="E33" s="903"/>
      <c r="F33" s="3931"/>
      <c r="G33" s="903"/>
      <c r="H33" s="3931"/>
    </row>
    <row r="34" spans="1:8" s="3929" customFormat="1" ht="14.25" customHeight="1">
      <c r="A34" s="910" t="s">
        <v>3527</v>
      </c>
      <c r="B34" s="909">
        <f>'Part IV-A-Uses of Funds'!$G$62</f>
        <v>0</v>
      </c>
      <c r="C34" s="910" t="s">
        <v>1746</v>
      </c>
      <c r="D34" s="909">
        <f>'Part IV-A-Uses of Funds'!$J$62+'Part IV-A-Uses of Funds'!$M$62+'Part IV-A-Uses of Funds'!$P$62</f>
        <v>0</v>
      </c>
      <c r="E34" s="903"/>
      <c r="F34" s="3931"/>
      <c r="G34" s="903"/>
      <c r="H34" s="3931"/>
    </row>
    <row r="35" spans="1:8" s="3929" customFormat="1" ht="6" customHeight="1">
      <c r="D35" s="903"/>
      <c r="E35" s="903"/>
      <c r="F35" s="3931"/>
      <c r="G35" s="905"/>
      <c r="H35" s="3931"/>
    </row>
    <row r="36" spans="1:8" s="3929" customFormat="1" ht="41.25" customHeight="1">
      <c r="A36" s="2631" t="str">
        <f>'Part IV-A-Uses of Funds'!$C$63</f>
        <v>&lt;&lt; Enter description here; provide detail &amp; justification in tab Part IV-b &gt;&gt;</v>
      </c>
      <c r="B36" s="2632"/>
      <c r="C36" s="2632"/>
      <c r="D36" s="2633"/>
      <c r="E36" s="903"/>
      <c r="F36" s="3931"/>
      <c r="G36" s="903"/>
      <c r="H36" s="3931"/>
    </row>
    <row r="37" spans="1:8" s="3929" customFormat="1" ht="41.25" customHeight="1">
      <c r="A37" s="2628"/>
      <c r="B37" s="2629"/>
      <c r="C37" s="2629"/>
      <c r="D37" s="2630"/>
      <c r="E37" s="903"/>
      <c r="F37" s="3931"/>
      <c r="G37" s="903"/>
      <c r="H37" s="3931"/>
    </row>
    <row r="38" spans="1:8" s="3929" customFormat="1" ht="4.5" customHeight="1">
      <c r="A38" s="903"/>
      <c r="B38" s="903"/>
      <c r="C38" s="903"/>
      <c r="D38" s="903"/>
      <c r="E38" s="903"/>
      <c r="F38" s="3931"/>
      <c r="G38" s="903"/>
      <c r="H38" s="3931"/>
    </row>
    <row r="39" spans="1:8" s="3929" customFormat="1" ht="14.25" customHeight="1">
      <c r="A39" s="910" t="s">
        <v>3527</v>
      </c>
      <c r="B39" s="909">
        <f>'Part IV-A-Uses of Funds'!$G$63</f>
        <v>0</v>
      </c>
      <c r="C39" s="910" t="s">
        <v>1746</v>
      </c>
      <c r="D39" s="909">
        <f>'Part IV-A-Uses of Funds'!$J$63+'Part IV-A-Uses of Funds'!$M$63+'Part IV-A-Uses of Funds'!$P$63</f>
        <v>0</v>
      </c>
      <c r="E39" s="903"/>
      <c r="F39" s="3931"/>
      <c r="G39" s="903"/>
      <c r="H39" s="3931"/>
    </row>
    <row r="40" spans="1:8" s="3929" customFormat="1" ht="6" customHeight="1">
      <c r="D40" s="903"/>
      <c r="E40" s="903"/>
      <c r="F40" s="3932"/>
      <c r="G40" s="905"/>
      <c r="H40" s="3932"/>
    </row>
    <row r="41" spans="1:8" s="3929" customFormat="1">
      <c r="A41" s="911" t="s">
        <v>467</v>
      </c>
      <c r="B41" s="903"/>
      <c r="C41" s="903"/>
      <c r="D41" s="903"/>
      <c r="E41" s="907"/>
      <c r="F41" s="907"/>
      <c r="G41" s="903"/>
    </row>
    <row r="42" spans="1:8" s="3929" customFormat="1" ht="41.25" customHeight="1">
      <c r="A42" s="2631" t="str">
        <f>'Part IV-A-Uses of Funds'!$C$76</f>
        <v>&lt;&lt; Enter description here; provide detail &amp; justification in tab Part IV-b &gt;&gt;</v>
      </c>
      <c r="B42" s="2632"/>
      <c r="C42" s="2632"/>
      <c r="D42" s="2633"/>
      <c r="F42" s="3933"/>
      <c r="G42" s="903"/>
      <c r="H42" s="3933"/>
    </row>
    <row r="43" spans="1:8" s="3929" customFormat="1" ht="41.25" customHeight="1">
      <c r="A43" s="2628"/>
      <c r="B43" s="2629"/>
      <c r="C43" s="2629"/>
      <c r="D43" s="2630"/>
      <c r="E43" s="903"/>
      <c r="F43" s="3934"/>
      <c r="G43" s="903"/>
      <c r="H43" s="3934"/>
    </row>
    <row r="44" spans="1:8" s="3929" customFormat="1" ht="4.5" customHeight="1">
      <c r="A44" s="903"/>
      <c r="B44" s="903"/>
      <c r="C44" s="903"/>
      <c r="D44" s="903"/>
      <c r="E44" s="903"/>
      <c r="F44" s="3934"/>
      <c r="G44" s="903"/>
      <c r="H44" s="3934"/>
    </row>
    <row r="45" spans="1:8" s="3929" customFormat="1" ht="13.5" customHeight="1">
      <c r="A45" s="910" t="s">
        <v>3527</v>
      </c>
      <c r="B45" s="909">
        <f>'Part IV-A-Uses of Funds'!$G$76</f>
        <v>0</v>
      </c>
      <c r="C45" s="910" t="s">
        <v>1746</v>
      </c>
      <c r="D45" s="909">
        <f>'Part IV-A-Uses of Funds'!$J$76+'Part IV-A-Uses of Funds'!$M$76+'Part IV-A-Uses of Funds'!$P$76</f>
        <v>0</v>
      </c>
      <c r="E45" s="903"/>
      <c r="F45" s="3934"/>
      <c r="G45" s="903"/>
      <c r="H45" s="3934"/>
    </row>
    <row r="46" spans="1:8" s="3929" customFormat="1" ht="6" customHeight="1">
      <c r="A46" s="903"/>
      <c r="B46" s="904"/>
      <c r="C46" s="903"/>
      <c r="D46" s="903"/>
      <c r="E46" s="903"/>
      <c r="F46" s="3935"/>
      <c r="G46" s="905"/>
      <c r="H46" s="3935"/>
    </row>
    <row r="47" spans="1:8" s="3929" customFormat="1">
      <c r="A47" s="911" t="s">
        <v>706</v>
      </c>
      <c r="B47" s="903"/>
      <c r="C47" s="903"/>
      <c r="D47" s="903"/>
      <c r="E47" s="903"/>
      <c r="F47" s="903"/>
      <c r="G47" s="903"/>
    </row>
    <row r="48" spans="1:8" s="3929" customFormat="1" ht="41.25" customHeight="1">
      <c r="A48" s="2631" t="str">
        <f>'Part IV-A-Uses of Funds'!$C$90</f>
        <v>&lt;&lt; Enter description here; provide detail &amp; justification in tab Part IV-b &gt;&gt;</v>
      </c>
      <c r="B48" s="2632"/>
      <c r="C48" s="2632"/>
      <c r="D48" s="2633"/>
      <c r="F48" s="3933"/>
      <c r="G48" s="903"/>
    </row>
    <row r="49" spans="1:7" s="3929" customFormat="1" ht="41.25" customHeight="1">
      <c r="A49" s="2628"/>
      <c r="B49" s="2629"/>
      <c r="C49" s="2629"/>
      <c r="D49" s="2630"/>
      <c r="E49" s="903"/>
      <c r="F49" s="3934"/>
      <c r="G49" s="903"/>
    </row>
    <row r="50" spans="1:7" s="3929" customFormat="1" ht="3" customHeight="1">
      <c r="A50" s="903"/>
      <c r="B50" s="903"/>
      <c r="C50" s="903"/>
      <c r="D50" s="903"/>
      <c r="E50" s="903"/>
      <c r="F50" s="3934"/>
      <c r="G50" s="903"/>
    </row>
    <row r="51" spans="1:7" s="3929" customFormat="1" ht="13.5" customHeight="1">
      <c r="A51" s="910" t="s">
        <v>3527</v>
      </c>
      <c r="B51" s="909">
        <f>'Part IV-A-Uses of Funds'!$G$90</f>
        <v>0</v>
      </c>
      <c r="C51" s="906"/>
      <c r="D51" s="906"/>
      <c r="E51" s="903"/>
      <c r="F51" s="3934"/>
      <c r="G51" s="903"/>
    </row>
    <row r="52" spans="1:7" s="3929" customFormat="1" ht="3.75" customHeight="1">
      <c r="A52" s="903"/>
      <c r="B52" s="903"/>
      <c r="C52" s="903"/>
      <c r="D52" s="903"/>
      <c r="E52" s="903"/>
      <c r="F52" s="3935"/>
      <c r="G52" s="905"/>
    </row>
    <row r="53" spans="1:7" s="3929" customFormat="1">
      <c r="A53" s="911" t="s">
        <v>3528</v>
      </c>
      <c r="B53" s="903"/>
      <c r="C53" s="903"/>
      <c r="D53" s="903"/>
      <c r="E53" s="903"/>
      <c r="F53" s="903"/>
      <c r="G53" s="903"/>
    </row>
    <row r="54" spans="1:7" s="3929" customFormat="1" ht="41.25" customHeight="1">
      <c r="A54" s="2631" t="str">
        <f>'Part IV-A-Uses of Funds'!$C$103</f>
        <v>&lt;&lt; Enter description here; provide detail &amp; justification in tab Part IV-b &gt;&gt;</v>
      </c>
      <c r="B54" s="2632"/>
      <c r="C54" s="2632"/>
      <c r="D54" s="2633"/>
      <c r="F54" s="3930"/>
      <c r="G54" s="903"/>
    </row>
    <row r="55" spans="1:7" s="3929" customFormat="1" ht="41.25" customHeight="1">
      <c r="A55" s="2628"/>
      <c r="B55" s="2629"/>
      <c r="C55" s="2629"/>
      <c r="D55" s="2630"/>
      <c r="E55" s="903"/>
      <c r="F55" s="3931"/>
      <c r="G55" s="903"/>
    </row>
    <row r="56" spans="1:7" s="3929" customFormat="1" ht="3" customHeight="1">
      <c r="A56" s="903"/>
      <c r="B56" s="903"/>
      <c r="C56" s="903"/>
      <c r="D56" s="903"/>
      <c r="E56" s="903"/>
      <c r="F56" s="3931"/>
      <c r="G56" s="903"/>
    </row>
    <row r="57" spans="1:7" s="3929" customFormat="1" ht="10.199999999999999">
      <c r="A57" s="910" t="s">
        <v>3527</v>
      </c>
      <c r="B57" s="909">
        <f>'Part IV-A-Uses of Funds'!$G$103</f>
        <v>0</v>
      </c>
      <c r="C57" s="906"/>
      <c r="D57" s="906"/>
      <c r="E57" s="903"/>
      <c r="F57" s="3931"/>
      <c r="G57" s="903"/>
    </row>
    <row r="58" spans="1:7" s="3929" customFormat="1" ht="3.75" customHeight="1">
      <c r="A58" s="902"/>
      <c r="B58" s="902"/>
      <c r="C58" s="902"/>
      <c r="D58" s="902"/>
      <c r="E58" s="902"/>
      <c r="F58" s="3931"/>
      <c r="G58" s="905"/>
    </row>
    <row r="59" spans="1:7" s="3929" customFormat="1" ht="41.25" customHeight="1">
      <c r="A59" s="2631" t="str">
        <f>'Part IV-A-Uses of Funds'!$C$104</f>
        <v>&lt;&lt; Enter description here; provide detail &amp; justification in tab Part IV-b &gt;&gt;</v>
      </c>
      <c r="B59" s="2632"/>
      <c r="C59" s="2632"/>
      <c r="D59" s="2633"/>
      <c r="F59" s="3931"/>
      <c r="G59" s="903"/>
    </row>
    <row r="60" spans="1:7" s="3929" customFormat="1" ht="41.25" customHeight="1">
      <c r="A60" s="2628"/>
      <c r="B60" s="2629"/>
      <c r="C60" s="2629"/>
      <c r="D60" s="2630"/>
      <c r="E60" s="903"/>
      <c r="F60" s="3931"/>
      <c r="G60" s="903"/>
    </row>
    <row r="61" spans="1:7" s="3929" customFormat="1" ht="3" customHeight="1">
      <c r="A61" s="903"/>
      <c r="B61" s="903"/>
      <c r="C61" s="903"/>
      <c r="D61" s="903"/>
      <c r="E61" s="903"/>
      <c r="F61" s="3931"/>
      <c r="G61" s="903"/>
    </row>
    <row r="62" spans="1:7" s="3929" customFormat="1" ht="10.199999999999999">
      <c r="A62" s="910" t="s">
        <v>3527</v>
      </c>
      <c r="B62" s="909">
        <f>'Part IV-A-Uses of Funds'!$G$104</f>
        <v>0</v>
      </c>
      <c r="C62" s="906"/>
      <c r="D62" s="906"/>
      <c r="E62" s="903"/>
      <c r="F62" s="3931"/>
      <c r="G62" s="903"/>
    </row>
    <row r="63" spans="1:7" s="3929" customFormat="1" ht="3.75" customHeight="1">
      <c r="A63" s="902"/>
      <c r="B63" s="902"/>
      <c r="C63" s="902"/>
      <c r="D63" s="902"/>
      <c r="E63" s="902"/>
      <c r="F63" s="3932"/>
      <c r="G63" s="905"/>
    </row>
    <row r="64" spans="1:7" s="3929" customFormat="1">
      <c r="A64" s="911" t="s">
        <v>3529</v>
      </c>
      <c r="B64" s="903"/>
      <c r="C64" s="903"/>
      <c r="D64" s="903"/>
      <c r="E64" s="903"/>
      <c r="F64" s="903"/>
      <c r="G64" s="903"/>
    </row>
    <row r="65" spans="1:8" s="3929" customFormat="1" ht="41.25" customHeight="1">
      <c r="A65" s="2631" t="str">
        <f>'Part IV-A-Uses of Funds'!$C$110</f>
        <v>&lt;&lt; Enter description here; provide detail &amp; justification in tab Part IV-b &gt;&gt;</v>
      </c>
      <c r="B65" s="2632"/>
      <c r="C65" s="2632"/>
      <c r="D65" s="2633"/>
      <c r="F65" s="3933"/>
      <c r="G65" s="903"/>
    </row>
    <row r="66" spans="1:8" s="3929" customFormat="1" ht="41.25" customHeight="1">
      <c r="A66" s="2628"/>
      <c r="B66" s="2629"/>
      <c r="C66" s="2629"/>
      <c r="D66" s="2630"/>
      <c r="E66" s="903"/>
      <c r="F66" s="3934"/>
      <c r="G66" s="903"/>
    </row>
    <row r="67" spans="1:8" s="3929" customFormat="1" ht="3" customHeight="1">
      <c r="A67" s="903"/>
      <c r="B67" s="903"/>
      <c r="C67" s="903"/>
      <c r="D67" s="903"/>
      <c r="E67" s="903"/>
      <c r="F67" s="3934"/>
      <c r="G67" s="903"/>
    </row>
    <row r="68" spans="1:8" s="3929" customFormat="1" ht="10.199999999999999">
      <c r="A68" s="910" t="s">
        <v>3527</v>
      </c>
      <c r="B68" s="909">
        <f>'Part IV-A-Uses of Funds'!$G$110</f>
        <v>0</v>
      </c>
      <c r="C68" s="906"/>
      <c r="D68" s="906"/>
      <c r="E68" s="903"/>
      <c r="F68" s="3934"/>
      <c r="G68" s="903"/>
    </row>
    <row r="69" spans="1:8" s="3929" customFormat="1" ht="3.75" customHeight="1">
      <c r="A69" s="903"/>
      <c r="B69" s="904"/>
      <c r="C69" s="903"/>
      <c r="D69" s="903"/>
      <c r="E69" s="903"/>
      <c r="F69" s="3935"/>
      <c r="G69" s="905"/>
    </row>
    <row r="70" spans="1:8" s="3929" customFormat="1">
      <c r="A70" s="911" t="s">
        <v>1282</v>
      </c>
      <c r="B70" s="903"/>
      <c r="C70" s="903"/>
      <c r="D70" s="903"/>
      <c r="E70" s="903"/>
      <c r="F70" s="903"/>
      <c r="G70" s="903"/>
    </row>
    <row r="71" spans="1:8" s="3929" customFormat="1" ht="41.25" customHeight="1">
      <c r="A71" s="2631" t="str">
        <f>'Part IV-A-Uses of Funds'!$C$125</f>
        <v>&lt;&lt; Enter description here; provide detail &amp; justification in tab Part IV-b &gt;&gt;</v>
      </c>
      <c r="B71" s="2632"/>
      <c r="C71" s="2632"/>
      <c r="D71" s="2633"/>
      <c r="F71" s="3933"/>
      <c r="G71" s="903"/>
      <c r="H71" s="3933"/>
    </row>
    <row r="72" spans="1:8" s="3929" customFormat="1" ht="41.25" customHeight="1">
      <c r="A72" s="2628"/>
      <c r="B72" s="2629"/>
      <c r="C72" s="2629"/>
      <c r="D72" s="2630"/>
      <c r="E72" s="903"/>
      <c r="F72" s="3934"/>
      <c r="G72" s="903"/>
      <c r="H72" s="3934"/>
    </row>
    <row r="73" spans="1:8" s="3929" customFormat="1" ht="4.5" customHeight="1">
      <c r="A73" s="903"/>
      <c r="B73" s="903"/>
      <c r="C73" s="903"/>
      <c r="D73" s="903"/>
      <c r="E73" s="903"/>
      <c r="F73" s="3934"/>
      <c r="G73" s="903"/>
      <c r="H73" s="3934"/>
    </row>
    <row r="74" spans="1:8" s="3929" customFormat="1" ht="12.75" customHeight="1">
      <c r="A74" s="910" t="s">
        <v>3527</v>
      </c>
      <c r="B74" s="909">
        <f>'Part IV-A-Uses of Funds'!$G$125</f>
        <v>0</v>
      </c>
      <c r="C74" s="910" t="s">
        <v>1746</v>
      </c>
      <c r="D74" s="909">
        <f>'Part IV-A-Uses of Funds'!$J$125+'Part IV-A-Uses of Funds'!$M$125+'Part IV-A-Uses of Funds'!$P$125</f>
        <v>0</v>
      </c>
      <c r="E74" s="903"/>
      <c r="F74" s="3934"/>
      <c r="G74" s="903"/>
      <c r="H74" s="3934"/>
    </row>
    <row r="75" spans="1:8" s="3929" customFormat="1" ht="6" customHeight="1">
      <c r="A75" s="903"/>
      <c r="B75" s="904"/>
      <c r="C75" s="903"/>
      <c r="D75" s="903"/>
      <c r="E75" s="903"/>
      <c r="F75" s="3935"/>
      <c r="G75" s="905"/>
      <c r="H75" s="3935"/>
    </row>
    <row r="76" spans="1:8" s="3929" customFormat="1">
      <c r="A76" s="911" t="s">
        <v>3530</v>
      </c>
      <c r="B76" s="904"/>
      <c r="C76" s="903"/>
      <c r="D76" s="903"/>
      <c r="E76" s="903"/>
      <c r="F76" s="903"/>
      <c r="G76" s="905"/>
    </row>
    <row r="77" spans="1:8" s="3929" customFormat="1" ht="41.25" customHeight="1">
      <c r="A77" s="2631" t="str">
        <f>'Part IV-A-Uses of Funds'!$C$129</f>
        <v>&lt;&lt; Enter description here; provide detail &amp; justification in tab Part IV-b &gt;&gt;</v>
      </c>
      <c r="B77" s="2632"/>
      <c r="C77" s="2632"/>
      <c r="D77" s="2633"/>
      <c r="F77" s="3933"/>
      <c r="G77" s="903"/>
      <c r="H77" s="3933"/>
    </row>
    <row r="78" spans="1:8" s="3929" customFormat="1" ht="41.25" customHeight="1">
      <c r="A78" s="2628"/>
      <c r="B78" s="2629"/>
      <c r="C78" s="2629"/>
      <c r="D78" s="2630"/>
      <c r="E78" s="903"/>
      <c r="F78" s="3934"/>
      <c r="G78" s="903"/>
      <c r="H78" s="3934"/>
    </row>
    <row r="79" spans="1:8" s="3929" customFormat="1" ht="4.5" customHeight="1">
      <c r="A79" s="903"/>
      <c r="B79" s="903"/>
      <c r="C79" s="903"/>
      <c r="D79" s="903"/>
      <c r="E79" s="903"/>
      <c r="F79" s="3934"/>
      <c r="G79" s="903"/>
      <c r="H79" s="3934"/>
    </row>
    <row r="80" spans="1:8" s="3929" customFormat="1" ht="12.75" customHeight="1">
      <c r="A80" s="910" t="s">
        <v>3527</v>
      </c>
      <c r="B80" s="909">
        <f>'Part IV-A-Uses of Funds'!$G$129</f>
        <v>0</v>
      </c>
      <c r="C80" s="910" t="s">
        <v>1746</v>
      </c>
      <c r="D80" s="909">
        <f>'Part IV-A-Uses of Funds'!$J$129+'Part IV-A-Uses of Funds'!$M$129+'Part IV-A-Uses of Funds'!$P$129</f>
        <v>0</v>
      </c>
      <c r="E80" s="908"/>
      <c r="F80" s="3934"/>
      <c r="G80" s="903"/>
      <c r="H80" s="3934"/>
    </row>
    <row r="81" spans="4:8" s="3929" customFormat="1" ht="6" customHeight="1">
      <c r="D81" s="3936"/>
      <c r="E81" s="3937"/>
      <c r="F81" s="3935"/>
      <c r="G81" s="905"/>
      <c r="H81" s="3935"/>
    </row>
    <row r="82" spans="4:8" s="3929" customFormat="1" ht="10.199999999999999"/>
    <row r="83" spans="4:8" s="3929" customFormat="1" ht="10.199999999999999"/>
    <row r="84" spans="4:8" s="3929" customFormat="1" ht="10.199999999999999"/>
    <row r="85" spans="4:8" s="3929" customFormat="1" ht="10.199999999999999"/>
    <row r="86" spans="4:8" s="3929" customFormat="1" ht="10.199999999999999"/>
    <row r="87" spans="4:8" s="3929" customFormat="1" ht="10.199999999999999"/>
    <row r="88" spans="4:8" s="3929" customFormat="1" ht="10.199999999999999"/>
    <row r="89" spans="4:8" s="3929" customFormat="1" ht="10.199999999999999"/>
    <row r="90" spans="4:8" s="3929" customFormat="1" ht="10.199999999999999"/>
    <row r="91" spans="4:8" s="3929" customFormat="1" ht="10.199999999999999"/>
    <row r="92" spans="4:8" s="3929" customFormat="1" ht="10.199999999999999"/>
  </sheetData>
  <sheetProtection algorithmName="SHA-512" hashValue="l5bQvRoGG0uijBHgN0L2lnnfo/gnDfI5DaUVs1+ktXh2fUPoFQnh4/aNV0PMqkrEJXog1ZMPSNDE2xJ2ScQ6LA==" saltValue="oCDy3dhAYh0g/riU9qPqE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4" t="str">
        <f>CONCATENATE("PART FIVE - UTILITY ALLOWANCES","  -  ",'Part I-Project Information'!$O$6," ",'Part I-Project Information'!$F$34,", ",'Part I-Project Information'!F38,", ",'Part I-Project Information'!J39," County")</f>
        <v>PART FIVE - UTILITY ALLOWANCES  -  2020-079 Spring Creek Crossing, Montezuma, Macon County</v>
      </c>
      <c r="B1" s="2635"/>
      <c r="C1" s="2635"/>
      <c r="D1" s="2635"/>
      <c r="E1" s="2635"/>
      <c r="F1" s="2635"/>
      <c r="G1" s="2635"/>
      <c r="H1" s="2635"/>
      <c r="I1" s="2635"/>
      <c r="J1" s="2635"/>
      <c r="K1" s="2635"/>
      <c r="L1" s="2635"/>
      <c r="M1" s="2635"/>
      <c r="N1" s="10"/>
      <c r="O1" s="10"/>
      <c r="P1" s="10"/>
      <c r="Q1" s="10"/>
      <c r="R1" s="16"/>
      <c r="S1" s="16"/>
      <c r="T1" s="16"/>
    </row>
    <row r="2" spans="1:20" s="8" customFormat="1" ht="7.5" customHeight="1"/>
    <row r="3" spans="1:20" s="8" customFormat="1" ht="12.75" customHeight="1">
      <c r="B3" s="2638" t="str">
        <f>'Part I-Project Information'!$B$6</f>
        <v>May 26, 2020 Version</v>
      </c>
      <c r="C3" s="2638"/>
      <c r="D3" s="2638"/>
      <c r="E3" s="2638"/>
      <c r="F3" s="4" t="s">
        <v>4115</v>
      </c>
      <c r="I3" s="2371" t="str">
        <f>VLOOKUP('Part I-Project Information'!$J$39,'DCA Underwriting Assumptions'!$G$173:$H$332,2)</f>
        <v>South</v>
      </c>
    </row>
    <row r="4" spans="1:20" s="8" customFormat="1" ht="6" customHeight="1"/>
    <row r="5" spans="1:20">
      <c r="A5" s="251" t="s">
        <v>3610</v>
      </c>
    </row>
    <row r="6" spans="1:20" ht="6" customHeight="1">
      <c r="A6" s="8"/>
    </row>
    <row r="7" spans="1:20" s="8" customFormat="1">
      <c r="A7" s="13" t="s">
        <v>598</v>
      </c>
      <c r="B7" s="13" t="s">
        <v>2170</v>
      </c>
      <c r="F7" s="1" t="s">
        <v>2452</v>
      </c>
      <c r="G7" s="1"/>
      <c r="H7" s="1"/>
      <c r="I7" s="3938" t="s">
        <v>7060</v>
      </c>
      <c r="J7" s="3939"/>
      <c r="K7" s="3939"/>
      <c r="L7" s="3939"/>
      <c r="M7" s="3940"/>
    </row>
    <row r="8" spans="1:20" s="8" customFormat="1" ht="13.35" customHeight="1">
      <c r="A8" s="13"/>
      <c r="F8" s="1" t="s">
        <v>618</v>
      </c>
      <c r="G8" s="1"/>
      <c r="H8" s="33"/>
      <c r="I8" s="3941" t="s">
        <v>7053</v>
      </c>
      <c r="J8" s="3942"/>
      <c r="K8" s="6" t="s">
        <v>525</v>
      </c>
      <c r="L8" s="3943" t="s">
        <v>39</v>
      </c>
      <c r="M8" s="3944"/>
    </row>
    <row r="9" spans="1:20" s="8" customFormat="1" ht="4.5" customHeight="1">
      <c r="A9" s="13"/>
    </row>
    <row r="10" spans="1:20" s="13" customFormat="1">
      <c r="B10" s="245"/>
      <c r="C10" s="245"/>
      <c r="D10" s="245"/>
      <c r="E10" s="245"/>
      <c r="F10" s="2636" t="s">
        <v>592</v>
      </c>
      <c r="G10" s="2636"/>
      <c r="I10" s="2637" t="s">
        <v>196</v>
      </c>
      <c r="J10" s="2637"/>
      <c r="K10" s="2637"/>
      <c r="L10" s="2637"/>
      <c r="M10" s="2637"/>
    </row>
    <row r="11" spans="1:20" s="13" customFormat="1">
      <c r="B11" s="245" t="s">
        <v>778</v>
      </c>
      <c r="D11" s="245" t="s">
        <v>1566</v>
      </c>
      <c r="F11" s="2370" t="s">
        <v>624</v>
      </c>
      <c r="G11" s="2370" t="s">
        <v>1803</v>
      </c>
      <c r="I11" s="246" t="s">
        <v>551</v>
      </c>
      <c r="J11" s="247">
        <v>1</v>
      </c>
      <c r="K11" s="247">
        <v>2</v>
      </c>
      <c r="L11" s="247">
        <v>3</v>
      </c>
      <c r="M11" s="247">
        <v>4</v>
      </c>
    </row>
    <row r="12" spans="1:20" s="8" customFormat="1" ht="12" customHeight="1">
      <c r="B12" s="1539" t="s">
        <v>1805</v>
      </c>
      <c r="C12" s="1540"/>
      <c r="D12" s="3945" t="s">
        <v>7054</v>
      </c>
      <c r="E12" s="3946"/>
      <c r="F12" s="3947" t="s">
        <v>433</v>
      </c>
      <c r="G12" s="3947"/>
      <c r="H12" s="993"/>
      <c r="I12" s="3948"/>
      <c r="J12" s="3948">
        <v>4</v>
      </c>
      <c r="K12" s="3948">
        <v>5</v>
      </c>
      <c r="L12" s="3948">
        <v>6</v>
      </c>
      <c r="M12" s="3948"/>
      <c r="O12" s="2639" t="s">
        <v>3622</v>
      </c>
      <c r="P12" s="2639"/>
    </row>
    <row r="13" spans="1:20" s="8" customFormat="1" ht="12" customHeight="1">
      <c r="B13" s="1541" t="s">
        <v>1564</v>
      </c>
      <c r="C13" s="1542"/>
      <c r="D13" s="3949" t="s">
        <v>1563</v>
      </c>
      <c r="E13" s="3950"/>
      <c r="F13" s="3951" t="s">
        <v>433</v>
      </c>
      <c r="G13" s="3951"/>
      <c r="H13" s="992"/>
      <c r="I13" s="3952"/>
      <c r="J13" s="3952">
        <v>7</v>
      </c>
      <c r="K13" s="3952">
        <v>9</v>
      </c>
      <c r="L13" s="3953">
        <v>11</v>
      </c>
      <c r="M13" s="3953"/>
      <c r="O13" s="2639"/>
      <c r="P13" s="2639"/>
    </row>
    <row r="14" spans="1:20" s="8" customFormat="1" ht="12" customHeight="1">
      <c r="B14" s="1543" t="s">
        <v>1565</v>
      </c>
      <c r="C14" s="1544"/>
      <c r="D14" s="3949" t="s">
        <v>1563</v>
      </c>
      <c r="E14" s="3950"/>
      <c r="F14" s="3951" t="s">
        <v>433</v>
      </c>
      <c r="G14" s="3951"/>
      <c r="H14" s="248"/>
      <c r="I14" s="3952"/>
      <c r="J14" s="3952">
        <v>14</v>
      </c>
      <c r="K14" s="3952">
        <v>18</v>
      </c>
      <c r="L14" s="3953">
        <v>23</v>
      </c>
      <c r="M14" s="3953"/>
      <c r="O14" s="2639"/>
      <c r="P14" s="2639"/>
    </row>
    <row r="15" spans="1:20" s="8" customFormat="1" ht="12" customHeight="1">
      <c r="B15" s="1545" t="s">
        <v>458</v>
      </c>
      <c r="C15" s="1546"/>
      <c r="D15" s="1545" t="s">
        <v>1563</v>
      </c>
      <c r="E15" s="249"/>
      <c r="F15" s="3951" t="s">
        <v>433</v>
      </c>
      <c r="G15" s="3951"/>
      <c r="H15" s="991"/>
      <c r="I15" s="3952"/>
      <c r="J15" s="3952">
        <v>12</v>
      </c>
      <c r="K15" s="3952">
        <v>15</v>
      </c>
      <c r="L15" s="3953">
        <v>18</v>
      </c>
      <c r="M15" s="3953"/>
      <c r="O15" s="2639"/>
      <c r="P15" s="2639"/>
    </row>
    <row r="16" spans="1:20" s="8" customFormat="1" ht="12" customHeight="1">
      <c r="B16" s="1547" t="s">
        <v>3607</v>
      </c>
      <c r="C16" s="1542"/>
      <c r="D16" s="1541" t="s">
        <v>1563</v>
      </c>
      <c r="E16" s="990"/>
      <c r="F16" s="3951"/>
      <c r="G16" s="3951" t="s">
        <v>433</v>
      </c>
      <c r="H16" s="992"/>
      <c r="I16" s="3952"/>
      <c r="J16" s="3952"/>
      <c r="K16" s="3952"/>
      <c r="L16" s="3953"/>
      <c r="M16" s="3953"/>
      <c r="O16" s="2639"/>
      <c r="P16" s="2639"/>
    </row>
    <row r="17" spans="1:19" s="8" customFormat="1" ht="12" customHeight="1">
      <c r="B17" s="1547" t="s">
        <v>3608</v>
      </c>
      <c r="C17" s="1542"/>
      <c r="D17" s="1541" t="s">
        <v>1563</v>
      </c>
      <c r="E17" s="990"/>
      <c r="F17" s="3951"/>
      <c r="G17" s="3951" t="s">
        <v>433</v>
      </c>
      <c r="H17" s="992"/>
      <c r="I17" s="3952"/>
      <c r="J17" s="3952"/>
      <c r="K17" s="3952"/>
      <c r="L17" s="3953"/>
      <c r="M17" s="3953"/>
      <c r="O17" s="2639"/>
      <c r="P17" s="2639"/>
    </row>
    <row r="18" spans="1:19" s="8" customFormat="1" ht="12" customHeight="1">
      <c r="B18" s="1548" t="s">
        <v>3609</v>
      </c>
      <c r="C18" s="1544"/>
      <c r="D18" s="1543" t="s">
        <v>1563</v>
      </c>
      <c r="E18" s="990"/>
      <c r="F18" s="3951" t="s">
        <v>433</v>
      </c>
      <c r="G18" s="3951"/>
      <c r="H18" s="248"/>
      <c r="I18" s="3952"/>
      <c r="J18" s="3952">
        <v>21</v>
      </c>
      <c r="K18" s="3952">
        <v>27</v>
      </c>
      <c r="L18" s="3953">
        <v>33</v>
      </c>
      <c r="M18" s="3953"/>
      <c r="O18" s="2639"/>
      <c r="P18" s="2639"/>
    </row>
    <row r="19" spans="1:19" s="8" customFormat="1" ht="12" customHeight="1">
      <c r="B19" s="1545" t="s">
        <v>1343</v>
      </c>
      <c r="C19" s="1546"/>
      <c r="D19" s="1551" t="s">
        <v>3349</v>
      </c>
      <c r="E19" s="3954" t="s">
        <v>2884</v>
      </c>
      <c r="F19" s="3951" t="s">
        <v>433</v>
      </c>
      <c r="G19" s="3951"/>
      <c r="H19" s="991"/>
      <c r="I19" s="3952"/>
      <c r="J19" s="3952">
        <v>39</v>
      </c>
      <c r="K19" s="3952">
        <v>49</v>
      </c>
      <c r="L19" s="3953">
        <v>59</v>
      </c>
      <c r="M19" s="3953"/>
      <c r="O19" s="2639"/>
      <c r="P19" s="2639"/>
    </row>
    <row r="20" spans="1:19" s="8" customFormat="1" ht="12" customHeight="1">
      <c r="B20" s="1549" t="s">
        <v>1804</v>
      </c>
      <c r="C20" s="1550"/>
      <c r="D20" s="250"/>
      <c r="E20" s="222"/>
      <c r="F20" s="3951"/>
      <c r="G20" s="3951" t="s">
        <v>433</v>
      </c>
      <c r="H20" s="992"/>
      <c r="I20" s="3952"/>
      <c r="J20" s="3952"/>
      <c r="K20" s="3952"/>
      <c r="L20" s="3953"/>
      <c r="M20" s="3953"/>
      <c r="O20" s="2639"/>
      <c r="P20" s="2639"/>
    </row>
    <row r="21" spans="1:19" s="8" customFormat="1" ht="12" customHeight="1">
      <c r="B21" s="1549" t="s">
        <v>723</v>
      </c>
      <c r="C21" s="3085"/>
      <c r="D21" s="3086"/>
      <c r="E21" s="3087"/>
      <c r="F21" s="3955"/>
      <c r="G21" s="3955"/>
      <c r="H21" s="994"/>
      <c r="I21" s="3956"/>
      <c r="J21" s="3956"/>
      <c r="K21" s="3956"/>
      <c r="L21" s="3957"/>
      <c r="M21" s="3957"/>
      <c r="O21" s="2639"/>
      <c r="P21" s="2639"/>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97</v>
      </c>
      <c r="K22" s="150">
        <f>IF(SUM(K12:K21)=0,0,IF(OR($D12="&lt;&lt;Select Fuel &gt;&gt;",$D13="&lt;&lt;Select Fuel &gt;&gt;",$D14="&lt;&lt;Select Fuel &gt;&gt;"),"Select Fuel",IF($E19="&lt;Select&gt;","Submeter?",SUM(K12:K21))))</f>
        <v>123</v>
      </c>
      <c r="L22" s="150">
        <f>IF(SUM(L12:L21)=0,0,IF(OR($D12="&lt;&lt;Select Fuel &gt;&gt;",$D13="&lt;&lt;Select Fuel &gt;&gt;",$D14="&lt;&lt;Select Fuel &gt;&gt;"),"Select Fuel",IF($E19="&lt;Select&gt;","Submeter?",SUM(L12:L21))))</f>
        <v>150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58"/>
      <c r="J24" s="3939"/>
      <c r="K24" s="3939"/>
      <c r="L24" s="3939"/>
      <c r="M24" s="3940"/>
    </row>
    <row r="25" spans="1:19" s="8" customFormat="1" ht="13.35" customHeight="1">
      <c r="A25" s="13"/>
      <c r="B25" s="13"/>
      <c r="F25" s="1" t="s">
        <v>618</v>
      </c>
      <c r="G25" s="1"/>
      <c r="H25" s="33"/>
      <c r="I25" s="3959"/>
      <c r="J25" s="3942"/>
      <c r="K25" s="6" t="s">
        <v>525</v>
      </c>
      <c r="L25" s="3943"/>
      <c r="M25" s="3944"/>
    </row>
    <row r="26" spans="1:19" s="8" customFormat="1" ht="4.5" customHeight="1">
      <c r="A26" s="13"/>
    </row>
    <row r="27" spans="1:19" s="13" customFormat="1">
      <c r="B27" s="245"/>
      <c r="C27" s="245"/>
      <c r="D27" s="245"/>
      <c r="E27" s="245"/>
      <c r="F27" s="2636" t="s">
        <v>592</v>
      </c>
      <c r="G27" s="2636"/>
      <c r="I27" s="2637" t="s">
        <v>196</v>
      </c>
      <c r="J27" s="2637"/>
      <c r="K27" s="2637"/>
      <c r="L27" s="2637"/>
      <c r="M27" s="2637"/>
    </row>
    <row r="28" spans="1:19" s="13" customFormat="1">
      <c r="B28" s="245" t="s">
        <v>778</v>
      </c>
      <c r="D28" s="245" t="s">
        <v>1566</v>
      </c>
      <c r="F28" s="2370" t="s">
        <v>624</v>
      </c>
      <c r="G28" s="2370" t="s">
        <v>1803</v>
      </c>
      <c r="I28" s="246" t="s">
        <v>551</v>
      </c>
      <c r="J28" s="247">
        <v>1</v>
      </c>
      <c r="K28" s="247">
        <v>2</v>
      </c>
      <c r="L28" s="247">
        <v>3</v>
      </c>
      <c r="M28" s="247">
        <v>4</v>
      </c>
    </row>
    <row r="29" spans="1:19" s="8" customFormat="1" ht="12" customHeight="1">
      <c r="B29" s="1539" t="s">
        <v>1805</v>
      </c>
      <c r="C29" s="1540"/>
      <c r="D29" s="3945" t="s">
        <v>1774</v>
      </c>
      <c r="E29" s="3946"/>
      <c r="F29" s="3947"/>
      <c r="G29" s="3947"/>
      <c r="H29" s="993"/>
      <c r="I29" s="3948"/>
      <c r="J29" s="3948"/>
      <c r="K29" s="3948"/>
      <c r="L29" s="3948"/>
      <c r="M29" s="3948"/>
      <c r="O29" s="2639" t="s">
        <v>3622</v>
      </c>
      <c r="P29" s="2639"/>
    </row>
    <row r="30" spans="1:19" s="8" customFormat="1" ht="12" customHeight="1">
      <c r="B30" s="1541" t="s">
        <v>1564</v>
      </c>
      <c r="C30" s="1542"/>
      <c r="D30" s="3949" t="s">
        <v>1774</v>
      </c>
      <c r="E30" s="3950"/>
      <c r="F30" s="3951"/>
      <c r="G30" s="3951"/>
      <c r="H30" s="992"/>
      <c r="I30" s="3952"/>
      <c r="J30" s="3952"/>
      <c r="K30" s="3952"/>
      <c r="L30" s="3953"/>
      <c r="M30" s="3953"/>
      <c r="O30" s="2639"/>
      <c r="P30" s="2639"/>
    </row>
    <row r="31" spans="1:19" s="8" customFormat="1" ht="12" customHeight="1">
      <c r="B31" s="1543" t="s">
        <v>1565</v>
      </c>
      <c r="C31" s="1544"/>
      <c r="D31" s="3949" t="s">
        <v>1774</v>
      </c>
      <c r="E31" s="3950"/>
      <c r="F31" s="3951"/>
      <c r="G31" s="3951"/>
      <c r="H31" s="248"/>
      <c r="I31" s="3952"/>
      <c r="J31" s="3952"/>
      <c r="K31" s="3952"/>
      <c r="L31" s="3953"/>
      <c r="M31" s="3953"/>
      <c r="O31" s="2639"/>
      <c r="P31" s="2639"/>
    </row>
    <row r="32" spans="1:19" s="8" customFormat="1" ht="12" customHeight="1">
      <c r="B32" s="1545" t="s">
        <v>458</v>
      </c>
      <c r="C32" s="1546"/>
      <c r="D32" s="1545" t="s">
        <v>1563</v>
      </c>
      <c r="E32" s="249"/>
      <c r="F32" s="3951"/>
      <c r="G32" s="3951"/>
      <c r="H32" s="991"/>
      <c r="I32" s="3952"/>
      <c r="J32" s="3952"/>
      <c r="K32" s="3952"/>
      <c r="L32" s="3953"/>
      <c r="M32" s="3953"/>
      <c r="O32" s="2639"/>
      <c r="P32" s="2639"/>
    </row>
    <row r="33" spans="1:19" s="8" customFormat="1" ht="12" customHeight="1">
      <c r="B33" s="1547" t="s">
        <v>3607</v>
      </c>
      <c r="C33" s="1542"/>
      <c r="D33" s="1541" t="s">
        <v>1563</v>
      </c>
      <c r="E33" s="990"/>
      <c r="F33" s="3951"/>
      <c r="G33" s="3951"/>
      <c r="H33" s="992"/>
      <c r="I33" s="3952"/>
      <c r="J33" s="3952"/>
      <c r="K33" s="3952"/>
      <c r="L33" s="3953"/>
      <c r="M33" s="3953"/>
      <c r="O33" s="2639"/>
      <c r="P33" s="2639"/>
    </row>
    <row r="34" spans="1:19" s="8" customFormat="1" ht="12" customHeight="1">
      <c r="B34" s="1547" t="s">
        <v>3608</v>
      </c>
      <c r="C34" s="1542"/>
      <c r="D34" s="1541" t="s">
        <v>1563</v>
      </c>
      <c r="E34" s="990"/>
      <c r="F34" s="3951"/>
      <c r="G34" s="3951"/>
      <c r="H34" s="992"/>
      <c r="I34" s="3952"/>
      <c r="J34" s="3952"/>
      <c r="K34" s="3952"/>
      <c r="L34" s="3953"/>
      <c r="M34" s="3953"/>
      <c r="O34" s="2639"/>
      <c r="P34" s="2639"/>
    </row>
    <row r="35" spans="1:19" s="8" customFormat="1" ht="12" customHeight="1">
      <c r="B35" s="1548" t="s">
        <v>3609</v>
      </c>
      <c r="C35" s="1544"/>
      <c r="D35" s="1543" t="s">
        <v>1563</v>
      </c>
      <c r="E35" s="990"/>
      <c r="F35" s="3951"/>
      <c r="G35" s="3951"/>
      <c r="H35" s="248"/>
      <c r="I35" s="3952"/>
      <c r="J35" s="3952"/>
      <c r="K35" s="3952"/>
      <c r="L35" s="3953"/>
      <c r="M35" s="3953"/>
      <c r="O35" s="2639"/>
      <c r="P35" s="2639"/>
    </row>
    <row r="36" spans="1:19" s="8" customFormat="1" ht="12" customHeight="1">
      <c r="B36" s="1545" t="s">
        <v>1343</v>
      </c>
      <c r="C36" s="1546"/>
      <c r="D36" s="1551" t="s">
        <v>3349</v>
      </c>
      <c r="E36" s="3954" t="s">
        <v>197</v>
      </c>
      <c r="F36" s="3951"/>
      <c r="G36" s="3951"/>
      <c r="H36" s="991"/>
      <c r="I36" s="3952"/>
      <c r="J36" s="3952"/>
      <c r="K36" s="3952"/>
      <c r="L36" s="3953"/>
      <c r="M36" s="3953"/>
      <c r="O36" s="2639"/>
      <c r="P36" s="2639"/>
    </row>
    <row r="37" spans="1:19" s="8" customFormat="1" ht="12" customHeight="1">
      <c r="B37" s="1549" t="s">
        <v>1804</v>
      </c>
      <c r="C37" s="1550"/>
      <c r="D37" s="250"/>
      <c r="E37" s="222"/>
      <c r="F37" s="3951"/>
      <c r="G37" s="3951"/>
      <c r="H37" s="992"/>
      <c r="I37" s="3952"/>
      <c r="J37" s="3952"/>
      <c r="K37" s="3952"/>
      <c r="L37" s="3953"/>
      <c r="M37" s="3953"/>
      <c r="O37" s="2639"/>
      <c r="P37" s="2639"/>
    </row>
    <row r="38" spans="1:19" s="8" customFormat="1" ht="12" customHeight="1">
      <c r="B38" s="1549" t="s">
        <v>723</v>
      </c>
      <c r="C38" s="3085"/>
      <c r="D38" s="3086"/>
      <c r="E38" s="3087"/>
      <c r="F38" s="3955"/>
      <c r="G38" s="3955"/>
      <c r="H38" s="994"/>
      <c r="I38" s="3956"/>
      <c r="J38" s="3956"/>
      <c r="K38" s="3956"/>
      <c r="L38" s="3957"/>
      <c r="M38" s="3957"/>
      <c r="O38" s="2639"/>
      <c r="P38" s="2639"/>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3960" t="s">
        <v>7061</v>
      </c>
      <c r="C43" s="3961"/>
      <c r="D43" s="3961"/>
      <c r="E43" s="3961"/>
      <c r="F43" s="3961"/>
      <c r="G43" s="3961"/>
      <c r="H43" s="3961"/>
      <c r="I43" s="3961"/>
      <c r="J43" s="3961"/>
      <c r="K43" s="3961"/>
      <c r="L43" s="3961"/>
      <c r="M43" s="3962"/>
      <c r="N43" s="27"/>
      <c r="O43" s="2401" t="s">
        <v>2613</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1798</v>
      </c>
      <c r="M45" s="27"/>
      <c r="N45" s="27"/>
      <c r="O45" s="2401"/>
      <c r="P45" s="2401"/>
      <c r="Q45" s="2401"/>
      <c r="R45" s="2401"/>
      <c r="S45" s="2401"/>
    </row>
    <row r="46" spans="1:19" s="8" customFormat="1" ht="24.75" customHeight="1">
      <c r="B46" s="3963"/>
      <c r="C46" s="3964"/>
      <c r="D46" s="3964"/>
      <c r="E46" s="3964"/>
      <c r="F46" s="3964"/>
      <c r="G46" s="3964"/>
      <c r="H46" s="3964"/>
      <c r="I46" s="3964"/>
      <c r="J46" s="3964"/>
      <c r="K46" s="3964"/>
      <c r="L46" s="3964"/>
      <c r="M46" s="3965"/>
      <c r="N46" s="27"/>
      <c r="O46" s="2401"/>
      <c r="P46" s="2401"/>
      <c r="Q46" s="2401"/>
      <c r="R46" s="2401"/>
      <c r="S46" s="2401"/>
    </row>
  </sheetData>
  <sheetProtection algorithmName="SHA-512" hashValue="oTVgHU3NqOx8CzNj9p2xF8U1+OasXSs9sQZHZ6pYoGd/TCe+T++QdKFWh6+bi04lbO8CjRAYURqigk8wg6YVnA==" saltValue="cZfAk5GHf/mPYWuV2I9rL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2020-10-02T22:28:47Z</dcterms:modified>
</cp:coreProperties>
</file>