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DE398FE3-B4D2-4C83-9715-A493768D0F00}" xr6:coauthVersionLast="44" xr6:coauthVersionMax="44" xr10:uidLastSave="{00000000-0000-0000-0000-000000000000}"/>
  <workbookProtection workbookAlgorithmName="SHA-512" workbookHashValue="eBK5Zibh+DFwk1D5kU/POWqwdjpdLmTzQDwZzqOHGCe61VW5v30LQHvVOxAiDaN06qijaR2SLSyvuxjiCwcjCQ==" workbookSaltValue="Pjp9cwScRjskmtfLBCQLKQ==" workbookSpinCount="100000" lockStructure="1"/>
  <bookViews>
    <workbookView xWindow="-23016" yWindow="0" windowWidth="21720" windowHeight="736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K1818" i="94" s="1"/>
  <c r="M1818" i="94" s="1"/>
  <c r="U1818" i="94" s="1"/>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Q1711" i="94" s="1"/>
  <c r="O1710" i="94"/>
  <c r="O1770" i="94"/>
  <c r="O1769" i="94"/>
  <c r="L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F1812" i="94"/>
  <c r="Q1780" i="94"/>
  <c r="J1769" i="94"/>
  <c r="F1748" i="94"/>
  <c r="Q1747" i="94"/>
  <c r="J1730" i="94"/>
  <c r="Q1710" i="94"/>
  <c r="K1707" i="94"/>
  <c r="O1691" i="94"/>
  <c r="P1688" i="94" s="1"/>
  <c r="J1691" i="94"/>
  <c r="F1691" i="94"/>
  <c r="P1683" i="94" s="1"/>
  <c r="P1684" i="94"/>
  <c r="P1665" i="94"/>
  <c r="B1661" i="94"/>
  <c r="A1656" i="94"/>
  <c r="Q276" i="72"/>
  <c r="Q1769" i="94" l="1"/>
  <c r="K1820" i="94"/>
  <c r="M1820" i="94" s="1"/>
  <c r="K1824" i="94"/>
  <c r="M1824" i="94" s="1"/>
  <c r="A1824" i="94" s="1"/>
  <c r="K1822" i="94"/>
  <c r="M1822" i="94" s="1"/>
  <c r="U1822" i="94" s="1"/>
  <c r="K1826" i="94"/>
  <c r="M1826" i="94" s="1"/>
  <c r="U1826" i="94" s="1"/>
  <c r="M1949" i="94"/>
  <c r="K1825" i="94"/>
  <c r="M1825" i="94" s="1"/>
  <c r="U1825" i="94" s="1"/>
  <c r="M1925" i="94"/>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J2054" i="94"/>
  <c r="Q1824" i="94"/>
  <c r="A1818" i="94"/>
  <c r="S1820" i="94"/>
  <c r="S1818" i="94"/>
  <c r="L1786" i="94"/>
  <c r="F1756" i="94"/>
  <c r="L1975" i="94"/>
  <c r="L2036" i="94"/>
  <c r="I1839" i="94"/>
  <c r="H1746" i="94"/>
  <c r="L1774" i="94"/>
  <c r="I1841" i="94"/>
  <c r="I1840" i="94"/>
  <c r="K1836" i="94"/>
  <c r="Q1974" i="94"/>
  <c r="L1978" i="94"/>
  <c r="Q1981" i="94"/>
  <c r="R2070" i="94"/>
  <c r="L1869" i="94"/>
  <c r="Q1869" i="94"/>
  <c r="A1825" i="94"/>
  <c r="S1827" i="94"/>
  <c r="U1823"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6" i="94" l="1"/>
  <c r="S1822" i="94"/>
  <c r="A1822" i="94"/>
  <c r="S1826" i="94"/>
  <c r="S1823" i="94"/>
  <c r="A1821" i="94"/>
  <c r="S1821"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L1342" i="94"/>
  <c r="H1342" i="94"/>
  <c r="F1342" i="94"/>
  <c r="I1342"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L984" i="94" s="1"/>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Q975" i="94" s="1"/>
  <c r="P973" i="94"/>
  <c r="P975" i="94" s="1"/>
  <c r="O973" i="94"/>
  <c r="N973" i="94"/>
  <c r="M973" i="94"/>
  <c r="L973" i="94"/>
  <c r="K973" i="94"/>
  <c r="J973" i="94"/>
  <c r="I973" i="94"/>
  <c r="I975" i="94" s="1"/>
  <c r="H973" i="94"/>
  <c r="H975" i="94" s="1"/>
  <c r="Q970" i="94"/>
  <c r="P970" i="94"/>
  <c r="O970" i="94"/>
  <c r="N970" i="94"/>
  <c r="M970" i="94"/>
  <c r="L970" i="94"/>
  <c r="K970" i="94"/>
  <c r="J970" i="94"/>
  <c r="I970" i="94"/>
  <c r="H970" i="94"/>
  <c r="Q969" i="94"/>
  <c r="P969" i="94"/>
  <c r="O969" i="94"/>
  <c r="N969" i="94"/>
  <c r="M969" i="94"/>
  <c r="M971" i="94" s="1"/>
  <c r="L969" i="94"/>
  <c r="L971" i="94" s="1"/>
  <c r="K969" i="94"/>
  <c r="J969" i="94"/>
  <c r="I969" i="94"/>
  <c r="H969" i="94"/>
  <c r="Q965" i="94"/>
  <c r="P965" i="94"/>
  <c r="O965" i="94"/>
  <c r="N965" i="94"/>
  <c r="M965" i="94"/>
  <c r="L965" i="94"/>
  <c r="K965" i="94"/>
  <c r="J965" i="94"/>
  <c r="I965" i="94"/>
  <c r="H965" i="94"/>
  <c r="Q964" i="94"/>
  <c r="Q966" i="94" s="1"/>
  <c r="P964" i="94"/>
  <c r="P966" i="94" s="1"/>
  <c r="O964" i="94"/>
  <c r="N964" i="94"/>
  <c r="M964" i="94"/>
  <c r="L964" i="94"/>
  <c r="K964" i="94"/>
  <c r="J964" i="94"/>
  <c r="I964" i="94"/>
  <c r="I966" i="94" s="1"/>
  <c r="H964" i="94"/>
  <c r="H966" i="94" s="1"/>
  <c r="Q961" i="94"/>
  <c r="P961" i="94"/>
  <c r="O961" i="94"/>
  <c r="N961" i="94"/>
  <c r="M961" i="94"/>
  <c r="L961" i="94"/>
  <c r="K961" i="94"/>
  <c r="J961" i="94"/>
  <c r="I961" i="94"/>
  <c r="H961" i="94"/>
  <c r="Q960" i="94"/>
  <c r="P960" i="94"/>
  <c r="O960" i="94"/>
  <c r="N960" i="94"/>
  <c r="M960" i="94"/>
  <c r="M962" i="94" s="1"/>
  <c r="L960" i="94"/>
  <c r="L962" i="94" s="1"/>
  <c r="K960" i="94"/>
  <c r="J960" i="94"/>
  <c r="I960" i="94"/>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L951" i="94"/>
  <c r="M951" i="94"/>
  <c r="N951" i="94"/>
  <c r="O951" i="94"/>
  <c r="P951" i="94"/>
  <c r="Q951" i="94"/>
  <c r="I952" i="94"/>
  <c r="J952" i="94"/>
  <c r="K952" i="94"/>
  <c r="L952" i="94"/>
  <c r="M952" i="94"/>
  <c r="M953" i="94" s="1"/>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IX780" i="94" s="1"/>
  <c r="P780" i="94"/>
  <c r="Q780" i="94"/>
  <c r="JX780" i="94" s="1"/>
  <c r="N781" i="94"/>
  <c r="O781" i="94"/>
  <c r="P781" i="94"/>
  <c r="Q781" i="94"/>
  <c r="N782" i="94"/>
  <c r="O782" i="94"/>
  <c r="HZ782" i="94" s="1"/>
  <c r="P782" i="94"/>
  <c r="Q782" i="94"/>
  <c r="N783" i="94"/>
  <c r="O783" i="94"/>
  <c r="P783" i="94"/>
  <c r="Q783" i="94"/>
  <c r="N784" i="94"/>
  <c r="O784" i="94"/>
  <c r="LB784" i="94" s="1"/>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JL790" i="94" s="1"/>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CJ785" i="94" s="1"/>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LX780" i="94" s="1"/>
  <c r="C780" i="94"/>
  <c r="D780" i="94"/>
  <c r="E780" i="94"/>
  <c r="F780" i="94"/>
  <c r="G780" i="94"/>
  <c r="H780" i="94"/>
  <c r="I780" i="94"/>
  <c r="B781" i="94"/>
  <c r="LU781" i="94" s="1"/>
  <c r="C781" i="94"/>
  <c r="D781" i="94"/>
  <c r="E781" i="94"/>
  <c r="F781" i="94"/>
  <c r="G781" i="94"/>
  <c r="H781" i="94"/>
  <c r="I781" i="94"/>
  <c r="B782" i="94"/>
  <c r="AJ782" i="94" s="1"/>
  <c r="C782" i="94"/>
  <c r="D782" i="94"/>
  <c r="E782" i="94"/>
  <c r="F782" i="94"/>
  <c r="G782" i="94"/>
  <c r="H782" i="94"/>
  <c r="I782" i="94"/>
  <c r="B783" i="94"/>
  <c r="BE783" i="94" s="1"/>
  <c r="C783" i="94"/>
  <c r="D783" i="94"/>
  <c r="E783" i="94"/>
  <c r="F783" i="94"/>
  <c r="G783" i="94"/>
  <c r="H783" i="94"/>
  <c r="I783" i="94"/>
  <c r="B784" i="94"/>
  <c r="GW784" i="94" s="1"/>
  <c r="C784" i="94"/>
  <c r="D784" i="94"/>
  <c r="E784" i="94"/>
  <c r="F784" i="94"/>
  <c r="G784" i="94"/>
  <c r="H784" i="94"/>
  <c r="I784" i="94"/>
  <c r="B785" i="94"/>
  <c r="ET785" i="94" s="1"/>
  <c r="C785" i="94"/>
  <c r="D785" i="94"/>
  <c r="E785" i="94"/>
  <c r="F785" i="94"/>
  <c r="G785" i="94"/>
  <c r="H785" i="94"/>
  <c r="I785" i="94"/>
  <c r="B786" i="94"/>
  <c r="EK786" i="94" s="1"/>
  <c r="C786" i="94"/>
  <c r="D786" i="94"/>
  <c r="E786" i="94"/>
  <c r="F786" i="94"/>
  <c r="G786" i="94"/>
  <c r="H786" i="94"/>
  <c r="I786" i="94"/>
  <c r="B787" i="94"/>
  <c r="C787" i="94"/>
  <c r="D787" i="94"/>
  <c r="E787" i="94"/>
  <c r="F787" i="94"/>
  <c r="G787" i="94"/>
  <c r="H787" i="94"/>
  <c r="I787" i="94"/>
  <c r="B788" i="94"/>
  <c r="HS788" i="94" s="1"/>
  <c r="C788" i="94"/>
  <c r="FW788" i="94" s="1"/>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HQ779" i="94" s="1"/>
  <c r="O779" i="94"/>
  <c r="LK779" i="94" s="1"/>
  <c r="N779" i="94"/>
  <c r="K779" i="94"/>
  <c r="J779" i="94"/>
  <c r="I779" i="94"/>
  <c r="H779" i="94"/>
  <c r="G779" i="94"/>
  <c r="F779" i="94"/>
  <c r="E779" i="94"/>
  <c r="NA779" i="94" s="1"/>
  <c r="D779" i="94"/>
  <c r="C779" i="94"/>
  <c r="B779" i="94"/>
  <c r="F775" i="94"/>
  <c r="G774" i="94"/>
  <c r="S986" i="94"/>
  <c r="S981" i="94"/>
  <c r="T977" i="94"/>
  <c r="S972" i="94"/>
  <c r="T968" i="94"/>
  <c r="S963" i="94"/>
  <c r="T959" i="94"/>
  <c r="S954" i="94"/>
  <c r="S950" i="94"/>
  <c r="S949" i="94"/>
  <c r="S947" i="94"/>
  <c r="S927" i="94"/>
  <c r="S917" i="94"/>
  <c r="S916" i="94"/>
  <c r="L916" i="94"/>
  <c r="S895" i="94"/>
  <c r="S881" i="94"/>
  <c r="S872" i="94"/>
  <c r="S871" i="94"/>
  <c r="L871" i="94"/>
  <c r="S861" i="94"/>
  <c r="S838" i="94"/>
  <c r="S822" i="94"/>
  <c r="L822" i="94"/>
  <c r="E818" i="94"/>
  <c r="NE817" i="94"/>
  <c r="AD788" i="94"/>
  <c r="HB786" i="94"/>
  <c r="AN785" i="94"/>
  <c r="IS784" i="94"/>
  <c r="FD783" i="94"/>
  <c r="MF782" i="94"/>
  <c r="GD782" i="94"/>
  <c r="ET782" i="94"/>
  <c r="ED782" i="94"/>
  <c r="AZ782" i="94"/>
  <c r="AO781" i="94"/>
  <c r="MJ780" i="94"/>
  <c r="JF780" i="94"/>
  <c r="HJ780" i="94"/>
  <c r="GT780" i="94"/>
  <c r="GD780" i="94"/>
  <c r="EX780" i="94"/>
  <c r="EH780" i="94"/>
  <c r="CL780" i="94"/>
  <c r="BV780" i="94"/>
  <c r="Z780" i="94"/>
  <c r="NB779" i="94"/>
  <c r="MD779" i="94"/>
  <c r="LS779" i="94"/>
  <c r="LL779" i="94"/>
  <c r="LC779" i="94"/>
  <c r="KT779" i="94"/>
  <c r="KK779" i="94"/>
  <c r="KA779" i="94"/>
  <c r="JR779" i="94"/>
  <c r="JI779" i="94"/>
  <c r="JA779" i="94"/>
  <c r="IS779" i="94"/>
  <c r="IK779" i="94"/>
  <c r="IC779" i="94"/>
  <c r="GR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D779" i="94" l="1"/>
  <c r="IL779" i="94"/>
  <c r="IT779" i="94"/>
  <c r="JB779" i="94"/>
  <c r="JJ779" i="94"/>
  <c r="JS779" i="94"/>
  <c r="KC779" i="94"/>
  <c r="KL779" i="94"/>
  <c r="KU779" i="94"/>
  <c r="LD779" i="94"/>
  <c r="LM779" i="94"/>
  <c r="NC779" i="94"/>
  <c r="CD780" i="94"/>
  <c r="EP780" i="94"/>
  <c r="HB780" i="94"/>
  <c r="JN780" i="94"/>
  <c r="ND780" i="94"/>
  <c r="LT786" i="94"/>
  <c r="AT814" i="94"/>
  <c r="AK813" i="94"/>
  <c r="DZ812" i="94"/>
  <c r="EJ811" i="94"/>
  <c r="LB790" i="94"/>
  <c r="FN789" i="94"/>
  <c r="FO785" i="94"/>
  <c r="LU784" i="94"/>
  <c r="LR783" i="94"/>
  <c r="MD782" i="94"/>
  <c r="LY781" i="94"/>
  <c r="N953" i="94"/>
  <c r="K971" i="94"/>
  <c r="Q1019" i="94"/>
  <c r="IM779" i="94"/>
  <c r="JK779" i="94"/>
  <c r="KM779" i="94"/>
  <c r="LN779" i="94"/>
  <c r="IF779" i="94"/>
  <c r="IN779" i="94"/>
  <c r="IV779" i="94"/>
  <c r="JD779" i="94"/>
  <c r="JM779" i="94"/>
  <c r="JV779" i="94"/>
  <c r="KE779" i="94"/>
  <c r="KN779" i="94"/>
  <c r="KW779" i="94"/>
  <c r="LF779" i="94"/>
  <c r="LO779" i="94"/>
  <c r="AH780" i="94"/>
  <c r="CT780" i="94"/>
  <c r="FF780" i="94"/>
  <c r="HR780" i="94"/>
  <c r="KH780" i="94"/>
  <c r="BN781" i="94"/>
  <c r="FJ782" i="94"/>
  <c r="AC784" i="94"/>
  <c r="CM788" i="94"/>
  <c r="IU779" i="94"/>
  <c r="JU779" i="94"/>
  <c r="IG779" i="94"/>
  <c r="IO779" i="94"/>
  <c r="IW779" i="94"/>
  <c r="JE779" i="94"/>
  <c r="JN779" i="94"/>
  <c r="JW779" i="94"/>
  <c r="KF779" i="94"/>
  <c r="KO779" i="94"/>
  <c r="KX779" i="94"/>
  <c r="LG779" i="94"/>
  <c r="AP780" i="94"/>
  <c r="DB780" i="94"/>
  <c r="FN780" i="94"/>
  <c r="HZ780" i="94"/>
  <c r="KR780" i="94"/>
  <c r="DP781" i="94"/>
  <c r="BX784" i="94"/>
  <c r="EI788" i="94"/>
  <c r="J975" i="94"/>
  <c r="HZ779" i="94"/>
  <c r="IH779" i="94"/>
  <c r="IP779" i="94"/>
  <c r="IX779" i="94"/>
  <c r="JF779" i="94"/>
  <c r="JO779" i="94"/>
  <c r="JX779" i="94"/>
  <c r="KG779" i="94"/>
  <c r="KP779" i="94"/>
  <c r="KY779" i="94"/>
  <c r="LI779" i="94"/>
  <c r="AX780" i="94"/>
  <c r="DJ780" i="94"/>
  <c r="FV780" i="94"/>
  <c r="IH780" i="94"/>
  <c r="LD780" i="94"/>
  <c r="FE781" i="94"/>
  <c r="GT782" i="94"/>
  <c r="DG784" i="94"/>
  <c r="AF786" i="94"/>
  <c r="Q962" i="94"/>
  <c r="I980" i="94"/>
  <c r="IE779" i="94"/>
  <c r="JC779" i="94"/>
  <c r="KD779" i="94"/>
  <c r="KV779" i="94"/>
  <c r="LE779" i="94"/>
  <c r="IA779" i="94"/>
  <c r="II779" i="94"/>
  <c r="IQ779" i="94"/>
  <c r="IY779" i="94"/>
  <c r="JG779" i="94"/>
  <c r="JP779" i="94"/>
  <c r="JY779" i="94"/>
  <c r="KH779" i="94"/>
  <c r="KQ779" i="94"/>
  <c r="LA779" i="94"/>
  <c r="LJ779" i="94"/>
  <c r="MZ779" i="94"/>
  <c r="BF780" i="94"/>
  <c r="DR780" i="94"/>
  <c r="IP780" i="94"/>
  <c r="LN780" i="94"/>
  <c r="HJ782" i="94"/>
  <c r="FA784" i="94"/>
  <c r="CB786" i="94"/>
  <c r="IB779" i="94"/>
  <c r="IJ779" i="94"/>
  <c r="IR779" i="94"/>
  <c r="IZ779" i="94"/>
  <c r="JH779" i="94"/>
  <c r="JQ779" i="94"/>
  <c r="JZ779" i="94"/>
  <c r="KI779" i="94"/>
  <c r="KS779" i="94"/>
  <c r="LB779" i="94"/>
  <c r="BN780" i="94"/>
  <c r="DZ780" i="94"/>
  <c r="GL780" i="94"/>
  <c r="GE805" i="94"/>
  <c r="DQ805" i="94"/>
  <c r="GB805" i="94"/>
  <c r="BD805" i="94"/>
  <c r="FR805" i="94"/>
  <c r="BA805" i="94"/>
  <c r="FG805" i="94"/>
  <c r="AV805" i="94"/>
  <c r="EZ805" i="94"/>
  <c r="AK805" i="94"/>
  <c r="EY805" i="94"/>
  <c r="AD805" i="94"/>
  <c r="ED805" i="94"/>
  <c r="AC805" i="94"/>
  <c r="EJ805" i="94"/>
  <c r="LX799" i="94"/>
  <c r="HZ799" i="94"/>
  <c r="FT799" i="94"/>
  <c r="FL799" i="94"/>
  <c r="FD799" i="94"/>
  <c r="EV799" i="94"/>
  <c r="EN799" i="94"/>
  <c r="EF799" i="94"/>
  <c r="BG799" i="94"/>
  <c r="AY799" i="94"/>
  <c r="AQ799" i="94"/>
  <c r="AI799" i="94"/>
  <c r="AA799" i="94"/>
  <c r="LW799" i="94"/>
  <c r="GF799" i="94"/>
  <c r="FS799" i="94"/>
  <c r="FK799" i="94"/>
  <c r="FC799" i="94"/>
  <c r="EU799" i="94"/>
  <c r="EM799" i="94"/>
  <c r="EE799" i="94"/>
  <c r="BF799" i="94"/>
  <c r="AX799" i="94"/>
  <c r="AP799" i="94"/>
  <c r="AH799" i="94"/>
  <c r="Z799" i="94"/>
  <c r="LU799" i="94"/>
  <c r="GD799" i="94"/>
  <c r="FQ799" i="94"/>
  <c r="FI799" i="94"/>
  <c r="FA799" i="94"/>
  <c r="ES799" i="94"/>
  <c r="EK799" i="94"/>
  <c r="DC799" i="94"/>
  <c r="BD799" i="94"/>
  <c r="AV799" i="94"/>
  <c r="AN799" i="94"/>
  <c r="AF799" i="94"/>
  <c r="X799" i="94"/>
  <c r="LS799" i="94"/>
  <c r="GB799" i="94"/>
  <c r="FO799" i="94"/>
  <c r="FG799" i="94"/>
  <c r="EY799" i="94"/>
  <c r="EQ799" i="94"/>
  <c r="EI799" i="94"/>
  <c r="BJ799" i="94"/>
  <c r="BB799" i="94"/>
  <c r="AT799" i="94"/>
  <c r="AL799" i="94"/>
  <c r="AD799" i="94"/>
  <c r="LQ799" i="94"/>
  <c r="FM799" i="94"/>
  <c r="EW799" i="94"/>
  <c r="EG799" i="94"/>
  <c r="AZ799" i="94"/>
  <c r="AJ799" i="94"/>
  <c r="GE799" i="94"/>
  <c r="FJ799" i="94"/>
  <c r="ET799" i="94"/>
  <c r="ED799" i="94"/>
  <c r="AW799" i="94"/>
  <c r="AG799" i="94"/>
  <c r="GC799" i="94"/>
  <c r="FH799" i="94"/>
  <c r="ER799" i="94"/>
  <c r="BK799" i="94"/>
  <c r="AU799" i="94"/>
  <c r="AE799" i="94"/>
  <c r="LZ799" i="94"/>
  <c r="FV799" i="94"/>
  <c r="FF799" i="94"/>
  <c r="EP799" i="94"/>
  <c r="BI799" i="94"/>
  <c r="AS799" i="94"/>
  <c r="AC799" i="94"/>
  <c r="LV799" i="94"/>
  <c r="FR799" i="94"/>
  <c r="FB799" i="94"/>
  <c r="EL799" i="94"/>
  <c r="BE799" i="94"/>
  <c r="AO799" i="94"/>
  <c r="Y799" i="94"/>
  <c r="LR799" i="94"/>
  <c r="EJ799" i="94"/>
  <c r="AB799" i="94"/>
  <c r="FU799" i="94"/>
  <c r="EH799" i="94"/>
  <c r="FP799" i="94"/>
  <c r="BH799" i="94"/>
  <c r="FN799" i="94"/>
  <c r="BC799" i="94"/>
  <c r="FE799" i="94"/>
  <c r="BA799" i="94"/>
  <c r="EZ799" i="94"/>
  <c r="AR799" i="94"/>
  <c r="LT799" i="94"/>
  <c r="EO799" i="94"/>
  <c r="AK799" i="94"/>
  <c r="LY799" i="94"/>
  <c r="EX799" i="94"/>
  <c r="AM799" i="94"/>
  <c r="NB792" i="94"/>
  <c r="LN792" i="94"/>
  <c r="LF792" i="94"/>
  <c r="KX792" i="94"/>
  <c r="KP792" i="94"/>
  <c r="KH792" i="94"/>
  <c r="JZ792" i="94"/>
  <c r="JR792" i="94"/>
  <c r="JJ792" i="94"/>
  <c r="JB792" i="94"/>
  <c r="IT792" i="94"/>
  <c r="IL792" i="94"/>
  <c r="ID792" i="94"/>
  <c r="GU792" i="94"/>
  <c r="FZ792" i="94"/>
  <c r="NA792" i="94"/>
  <c r="LM792" i="94"/>
  <c r="LE792" i="94"/>
  <c r="KW792" i="94"/>
  <c r="KO792" i="94"/>
  <c r="KG792" i="94"/>
  <c r="JY792" i="94"/>
  <c r="JQ792" i="94"/>
  <c r="JI792" i="94"/>
  <c r="JA792" i="94"/>
  <c r="IS792" i="94"/>
  <c r="IK792" i="94"/>
  <c r="IC792" i="94"/>
  <c r="GM792" i="94"/>
  <c r="FY792" i="94"/>
  <c r="MZ792" i="94"/>
  <c r="LL792" i="94"/>
  <c r="LD792" i="94"/>
  <c r="KV792" i="94"/>
  <c r="LW792" i="94"/>
  <c r="LI792" i="94"/>
  <c r="LA792" i="94"/>
  <c r="KS792" i="94"/>
  <c r="LP792" i="94"/>
  <c r="KZ792" i="94"/>
  <c r="KL792" i="94"/>
  <c r="KB792" i="94"/>
  <c r="JP792" i="94"/>
  <c r="JF792" i="94"/>
  <c r="IV792" i="94"/>
  <c r="IJ792" i="94"/>
  <c r="HZ792" i="94"/>
  <c r="GB792" i="94"/>
  <c r="EW792" i="94"/>
  <c r="DY792" i="94"/>
  <c r="CI792" i="94"/>
  <c r="AX792" i="94"/>
  <c r="LO792" i="94"/>
  <c r="KY792" i="94"/>
  <c r="KK792" i="94"/>
  <c r="KA792" i="94"/>
  <c r="JO792" i="94"/>
  <c r="JE792" i="94"/>
  <c r="IU792" i="94"/>
  <c r="II792" i="94"/>
  <c r="HS792" i="94"/>
  <c r="GA792" i="94"/>
  <c r="ER792" i="94"/>
  <c r="DT792" i="94"/>
  <c r="CC792" i="94"/>
  <c r="AT792" i="94"/>
  <c r="LJ792" i="94"/>
  <c r="KT792" i="94"/>
  <c r="KI792" i="94"/>
  <c r="JW792" i="94"/>
  <c r="JM792" i="94"/>
  <c r="JC792" i="94"/>
  <c r="IQ792" i="94"/>
  <c r="IG792" i="94"/>
  <c r="HC792" i="94"/>
  <c r="FW792" i="94"/>
  <c r="EH792" i="94"/>
  <c r="DI792" i="94"/>
  <c r="BS792" i="94"/>
  <c r="AL792" i="94"/>
  <c r="ND792" i="94"/>
  <c r="LH792" i="94"/>
  <c r="KR792" i="94"/>
  <c r="KF792" i="94"/>
  <c r="JV792" i="94"/>
  <c r="JL792" i="94"/>
  <c r="IZ792" i="94"/>
  <c r="IP792" i="94"/>
  <c r="IF792" i="94"/>
  <c r="GF792" i="94"/>
  <c r="FU792" i="94"/>
  <c r="EG792" i="94"/>
  <c r="DD792" i="94"/>
  <c r="BN792" i="94"/>
  <c r="AH792" i="94"/>
  <c r="MM792" i="94"/>
  <c r="LC792" i="94"/>
  <c r="KN792" i="94"/>
  <c r="KD792" i="94"/>
  <c r="JT792" i="94"/>
  <c r="JH792" i="94"/>
  <c r="IX792" i="94"/>
  <c r="IN792" i="94"/>
  <c r="IB792" i="94"/>
  <c r="GD792" i="94"/>
  <c r="FH792" i="94"/>
  <c r="EE792" i="94"/>
  <c r="CS792" i="94"/>
  <c r="BF792" i="94"/>
  <c r="Z792" i="94"/>
  <c r="LB792" i="94"/>
  <c r="JU792" i="94"/>
  <c r="IR792" i="94"/>
  <c r="GC792" i="94"/>
  <c r="CY792" i="94"/>
  <c r="KU792" i="94"/>
  <c r="JS792" i="94"/>
  <c r="IO792" i="94"/>
  <c r="FX792" i="94"/>
  <c r="CN792" i="94"/>
  <c r="KQ792" i="94"/>
  <c r="JN792" i="94"/>
  <c r="IM792" i="94"/>
  <c r="FM792" i="94"/>
  <c r="BX792" i="94"/>
  <c r="KM792" i="94"/>
  <c r="JK792" i="94"/>
  <c r="IH792" i="94"/>
  <c r="FC792" i="94"/>
  <c r="BJ792" i="94"/>
  <c r="NC792" i="94"/>
  <c r="KJ792" i="94"/>
  <c r="JG792" i="94"/>
  <c r="IE792" i="94"/>
  <c r="EM792" i="94"/>
  <c r="BB792" i="94"/>
  <c r="ME792" i="94"/>
  <c r="KE792" i="94"/>
  <c r="JD792" i="94"/>
  <c r="IA792" i="94"/>
  <c r="EF792" i="94"/>
  <c r="AP792" i="94"/>
  <c r="LG792" i="94"/>
  <c r="JX792" i="94"/>
  <c r="IW792" i="94"/>
  <c r="GE792" i="94"/>
  <c r="DO792" i="94"/>
  <c r="HK792" i="94"/>
  <c r="ED792" i="94"/>
  <c r="AD792" i="94"/>
  <c r="ML786" i="94"/>
  <c r="MA786" i="94"/>
  <c r="LS786" i="94"/>
  <c r="KT786" i="94"/>
  <c r="JN786" i="94"/>
  <c r="IH786" i="94"/>
  <c r="HV786" i="94"/>
  <c r="HK786" i="94"/>
  <c r="GZ786" i="94"/>
  <c r="GP786" i="94"/>
  <c r="GE786" i="94"/>
  <c r="FW786" i="94"/>
  <c r="FO786" i="94"/>
  <c r="FG786" i="94"/>
  <c r="EX786" i="94"/>
  <c r="EP786" i="94"/>
  <c r="EH786" i="94"/>
  <c r="DZ786" i="94"/>
  <c r="DR786" i="94"/>
  <c r="DJ786" i="94"/>
  <c r="DB786" i="94"/>
  <c r="CT786" i="94"/>
  <c r="CL786" i="94"/>
  <c r="CD786" i="94"/>
  <c r="BV786" i="94"/>
  <c r="BN786" i="94"/>
  <c r="BF786" i="94"/>
  <c r="AX786" i="94"/>
  <c r="AP786" i="94"/>
  <c r="AH786" i="94"/>
  <c r="Z786" i="94"/>
  <c r="MJ786" i="94"/>
  <c r="LZ786" i="94"/>
  <c r="LR786" i="94"/>
  <c r="KP786" i="94"/>
  <c r="JJ786" i="94"/>
  <c r="ID786" i="94"/>
  <c r="HT786" i="94"/>
  <c r="HJ786" i="94"/>
  <c r="GY786" i="94"/>
  <c r="GN786" i="94"/>
  <c r="GD786" i="94"/>
  <c r="FV786" i="94"/>
  <c r="FN786" i="94"/>
  <c r="FF786" i="94"/>
  <c r="EW786" i="94"/>
  <c r="EO786" i="94"/>
  <c r="EG786" i="94"/>
  <c r="DY786" i="94"/>
  <c r="DQ786" i="94"/>
  <c r="DI786" i="94"/>
  <c r="DA786" i="94"/>
  <c r="CS786" i="94"/>
  <c r="CK786" i="94"/>
  <c r="CC786" i="94"/>
  <c r="BU786" i="94"/>
  <c r="BM786" i="94"/>
  <c r="BE786" i="94"/>
  <c r="AW786" i="94"/>
  <c r="AO786" i="94"/>
  <c r="AG786" i="94"/>
  <c r="Y786" i="94"/>
  <c r="MH786" i="94"/>
  <c r="LX786" i="94"/>
  <c r="LN786" i="94"/>
  <c r="KH786" i="94"/>
  <c r="JB786" i="94"/>
  <c r="IB786" i="94"/>
  <c r="HR786" i="94"/>
  <c r="HG786" i="94"/>
  <c r="GV786" i="94"/>
  <c r="GL786" i="94"/>
  <c r="GB786" i="94"/>
  <c r="FT786" i="94"/>
  <c r="FL786" i="94"/>
  <c r="FD786" i="94"/>
  <c r="EU786" i="94"/>
  <c r="EM786" i="94"/>
  <c r="EE786" i="94"/>
  <c r="DW786" i="94"/>
  <c r="DO786" i="94"/>
  <c r="DG786" i="94"/>
  <c r="CY786" i="94"/>
  <c r="CQ786" i="94"/>
  <c r="CI786" i="94"/>
  <c r="CA786" i="94"/>
  <c r="BS786" i="94"/>
  <c r="BK786" i="94"/>
  <c r="BC786" i="94"/>
  <c r="AU786" i="94"/>
  <c r="AM786" i="94"/>
  <c r="AE786" i="94"/>
  <c r="ND786" i="94"/>
  <c r="MF786" i="94"/>
  <c r="LW786" i="94"/>
  <c r="LJ786" i="94"/>
  <c r="KD786" i="94"/>
  <c r="IX786" i="94"/>
  <c r="IA786" i="94"/>
  <c r="HP786" i="94"/>
  <c r="HF786" i="94"/>
  <c r="GU786" i="94"/>
  <c r="GJ786" i="94"/>
  <c r="GA786" i="94"/>
  <c r="FS786" i="94"/>
  <c r="FK786" i="94"/>
  <c r="FC786" i="94"/>
  <c r="ET786" i="94"/>
  <c r="EL786" i="94"/>
  <c r="ED786" i="94"/>
  <c r="DV786" i="94"/>
  <c r="DN786" i="94"/>
  <c r="DF786" i="94"/>
  <c r="CX786" i="94"/>
  <c r="CP786" i="94"/>
  <c r="CH786" i="94"/>
  <c r="BZ786" i="94"/>
  <c r="BR786" i="94"/>
  <c r="BJ786" i="94"/>
  <c r="BB786" i="94"/>
  <c r="AT786" i="94"/>
  <c r="AL786" i="94"/>
  <c r="AD786" i="94"/>
  <c r="MN786" i="94"/>
  <c r="MD786" i="94"/>
  <c r="LU786" i="94"/>
  <c r="LB786" i="94"/>
  <c r="JV786" i="94"/>
  <c r="IP786" i="94"/>
  <c r="HX786" i="94"/>
  <c r="HN786" i="94"/>
  <c r="HC786" i="94"/>
  <c r="GR786" i="94"/>
  <c r="GH786" i="94"/>
  <c r="FY786" i="94"/>
  <c r="FQ786" i="94"/>
  <c r="FI786" i="94"/>
  <c r="FA786" i="94"/>
  <c r="ER786" i="94"/>
  <c r="EJ786" i="94"/>
  <c r="EB786" i="94"/>
  <c r="DT786" i="94"/>
  <c r="DL786" i="94"/>
  <c r="DD786" i="94"/>
  <c r="CV786" i="94"/>
  <c r="CN786" i="94"/>
  <c r="CF786" i="94"/>
  <c r="BX786" i="94"/>
  <c r="BP786" i="94"/>
  <c r="BH786" i="94"/>
  <c r="AZ786" i="94"/>
  <c r="AR786" i="94"/>
  <c r="AJ786" i="94"/>
  <c r="AB786" i="94"/>
  <c r="MI786" i="94"/>
  <c r="KX786" i="94"/>
  <c r="HZ786" i="94"/>
  <c r="GX786" i="94"/>
  <c r="FX786" i="94"/>
  <c r="FB786" i="94"/>
  <c r="EF786" i="94"/>
  <c r="DK786" i="94"/>
  <c r="CO786" i="94"/>
  <c r="BT786" i="94"/>
  <c r="AY786" i="94"/>
  <c r="AC786" i="94"/>
  <c r="ME786" i="94"/>
  <c r="KL786" i="94"/>
  <c r="HW786" i="94"/>
  <c r="GT786" i="94"/>
  <c r="FU786" i="94"/>
  <c r="EZ786" i="94"/>
  <c r="EC786" i="94"/>
  <c r="DH786" i="94"/>
  <c r="CM786" i="94"/>
  <c r="BQ786" i="94"/>
  <c r="AV786" i="94"/>
  <c r="AA786" i="94"/>
  <c r="MB786" i="94"/>
  <c r="JZ786" i="94"/>
  <c r="HS786" i="94"/>
  <c r="GQ786" i="94"/>
  <c r="FR786" i="94"/>
  <c r="EV786" i="94"/>
  <c r="EA786" i="94"/>
  <c r="DE786" i="94"/>
  <c r="CJ786" i="94"/>
  <c r="BO786" i="94"/>
  <c r="AS786" i="94"/>
  <c r="X786" i="94"/>
  <c r="LY786" i="94"/>
  <c r="JR786" i="94"/>
  <c r="HO786" i="94"/>
  <c r="GM786" i="94"/>
  <c r="FP786" i="94"/>
  <c r="ES786" i="94"/>
  <c r="DX786" i="94"/>
  <c r="DC786" i="94"/>
  <c r="CG786" i="94"/>
  <c r="BL786" i="94"/>
  <c r="AQ786" i="94"/>
  <c r="LV786" i="94"/>
  <c r="JF786" i="94"/>
  <c r="HL786" i="94"/>
  <c r="GI786" i="94"/>
  <c r="FM786" i="94"/>
  <c r="EQ786" i="94"/>
  <c r="DU786" i="94"/>
  <c r="CZ786" i="94"/>
  <c r="CE786" i="94"/>
  <c r="BI786" i="94"/>
  <c r="AN786" i="94"/>
  <c r="NA780" i="94"/>
  <c r="MI780" i="94"/>
  <c r="MA780" i="94"/>
  <c r="LS780" i="94"/>
  <c r="LK780" i="94"/>
  <c r="LC780" i="94"/>
  <c r="KU780" i="94"/>
  <c r="KM780" i="94"/>
  <c r="KE780" i="94"/>
  <c r="JW780" i="94"/>
  <c r="MZ780" i="94"/>
  <c r="MH780" i="94"/>
  <c r="LZ780" i="94"/>
  <c r="LR780" i="94"/>
  <c r="LJ780" i="94"/>
  <c r="LB780" i="94"/>
  <c r="KT780" i="94"/>
  <c r="KL780" i="94"/>
  <c r="KD780" i="94"/>
  <c r="JV780" i="94"/>
  <c r="GP779" i="94"/>
  <c r="HW779"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IG780" i="94"/>
  <c r="IO780" i="94"/>
  <c r="IW780" i="94"/>
  <c r="JE780" i="94"/>
  <c r="JM780" i="94"/>
  <c r="JU780" i="94"/>
  <c r="KG780" i="94"/>
  <c r="KQ780" i="94"/>
  <c r="LA780" i="94"/>
  <c r="LM780" i="94"/>
  <c r="LW780" i="94"/>
  <c r="MG780" i="94"/>
  <c r="NC780" i="94"/>
  <c r="AN781" i="94"/>
  <c r="BH781" i="94"/>
  <c r="DO781" i="94"/>
  <c r="FD781" i="94"/>
  <c r="LT781" i="94"/>
  <c r="AI782" i="94"/>
  <c r="AY782" i="94"/>
  <c r="DR782" i="94"/>
  <c r="ES782" i="94"/>
  <c r="FI782" i="94"/>
  <c r="GC782" i="94"/>
  <c r="GS782" i="94"/>
  <c r="HI782" i="94"/>
  <c r="HY782" i="94"/>
  <c r="AR783" i="94"/>
  <c r="FB783" i="94"/>
  <c r="AB784" i="94"/>
  <c r="BK784" i="94"/>
  <c r="DE784" i="94"/>
  <c r="EZ784" i="94"/>
  <c r="GI784" i="94"/>
  <c r="IP784" i="94"/>
  <c r="KY784" i="94"/>
  <c r="X785" i="94"/>
  <c r="CH785" i="94"/>
  <c r="EQ785" i="94"/>
  <c r="LT785" i="94"/>
  <c r="BY786" i="94"/>
  <c r="EI786" i="94"/>
  <c r="GF786" i="94"/>
  <c r="LQ786" i="94"/>
  <c r="AA788" i="94"/>
  <c r="BW788" i="94"/>
  <c r="EG788" i="94"/>
  <c r="HH788" i="94"/>
  <c r="GA808" i="94"/>
  <c r="BE808" i="94"/>
  <c r="FG808" i="94"/>
  <c r="FB808" i="94"/>
  <c r="DP808" i="94"/>
  <c r="DH808" i="94"/>
  <c r="LL808" i="94"/>
  <c r="CW808" i="94"/>
  <c r="IM808" i="94"/>
  <c r="BG808" i="94"/>
  <c r="IZ808" i="94"/>
  <c r="BW808" i="94"/>
  <c r="LZ803" i="94"/>
  <c r="GE803" i="94"/>
  <c r="FP803" i="94"/>
  <c r="FE803" i="94"/>
  <c r="EU803" i="94"/>
  <c r="EJ803" i="94"/>
  <c r="CP803" i="94"/>
  <c r="BE803" i="94"/>
  <c r="AT803" i="94"/>
  <c r="AI803" i="94"/>
  <c r="Y803" i="94"/>
  <c r="LX803" i="94"/>
  <c r="GC803" i="94"/>
  <c r="FO803" i="94"/>
  <c r="FD803" i="94"/>
  <c r="ES803" i="94"/>
  <c r="EI803" i="94"/>
  <c r="CH803" i="94"/>
  <c r="BC803" i="94"/>
  <c r="AS803" i="94"/>
  <c r="AH803" i="94"/>
  <c r="LW803" i="94"/>
  <c r="GB803" i="94"/>
  <c r="FM803" i="94"/>
  <c r="FC803" i="94"/>
  <c r="ER803" i="94"/>
  <c r="EG803" i="94"/>
  <c r="BZ803" i="94"/>
  <c r="BB803" i="94"/>
  <c r="AQ803" i="94"/>
  <c r="AG803" i="94"/>
  <c r="LV803" i="94"/>
  <c r="FZ803" i="94"/>
  <c r="FL803" i="94"/>
  <c r="FA803" i="94"/>
  <c r="EQ803" i="94"/>
  <c r="EF803" i="94"/>
  <c r="BK803" i="94"/>
  <c r="BA803" i="94"/>
  <c r="AP803" i="94"/>
  <c r="AE803" i="94"/>
  <c r="LT803" i="94"/>
  <c r="FU803" i="94"/>
  <c r="FK803" i="94"/>
  <c r="EZ803" i="94"/>
  <c r="EO803" i="94"/>
  <c r="EE803" i="94"/>
  <c r="BJ803" i="94"/>
  <c r="AY803" i="94"/>
  <c r="AO803" i="94"/>
  <c r="AD803" i="94"/>
  <c r="LS803" i="94"/>
  <c r="FT803" i="94"/>
  <c r="FI803" i="94"/>
  <c r="EY803" i="94"/>
  <c r="EN803" i="94"/>
  <c r="DV803" i="94"/>
  <c r="BI803" i="94"/>
  <c r="AX803" i="94"/>
  <c r="AM803" i="94"/>
  <c r="AC803" i="94"/>
  <c r="GF803" i="94"/>
  <c r="FQ803" i="94"/>
  <c r="FG803" i="94"/>
  <c r="EV803" i="94"/>
  <c r="EK803" i="94"/>
  <c r="DF803" i="94"/>
  <c r="BF803" i="94"/>
  <c r="AU803" i="94"/>
  <c r="EM803" i="94"/>
  <c r="DN803" i="94"/>
  <c r="BG803" i="94"/>
  <c r="AW803" i="94"/>
  <c r="FS803" i="94"/>
  <c r="AK803" i="94"/>
  <c r="EW803" i="94"/>
  <c r="AL803" i="94"/>
  <c r="AA803" i="94"/>
  <c r="Z803" i="94"/>
  <c r="IB803" i="94"/>
  <c r="FH803" i="94"/>
  <c r="LS797" i="94"/>
  <c r="GB797" i="94"/>
  <c r="FP797" i="94"/>
  <c r="FH797" i="94"/>
  <c r="EZ797" i="94"/>
  <c r="ER797" i="94"/>
  <c r="EJ797" i="94"/>
  <c r="DN797" i="94"/>
  <c r="BJ797" i="94"/>
  <c r="BB797" i="94"/>
  <c r="AT797" i="94"/>
  <c r="AL797" i="94"/>
  <c r="AD797" i="94"/>
  <c r="LZ797" i="94"/>
  <c r="LR797" i="94"/>
  <c r="FZ797" i="94"/>
  <c r="FO797" i="94"/>
  <c r="FG797" i="94"/>
  <c r="EY797" i="94"/>
  <c r="LY797" i="94"/>
  <c r="LQ797" i="94"/>
  <c r="FV797" i="94"/>
  <c r="FN797" i="94"/>
  <c r="FF797" i="94"/>
  <c r="EX797" i="94"/>
  <c r="EP797" i="94"/>
  <c r="EH797" i="94"/>
  <c r="CX797" i="94"/>
  <c r="BH797" i="94"/>
  <c r="AZ797" i="94"/>
  <c r="AR797" i="94"/>
  <c r="AJ797" i="94"/>
  <c r="AB797" i="94"/>
  <c r="LX797" i="94"/>
  <c r="ID797" i="94"/>
  <c r="FU797" i="94"/>
  <c r="FM797" i="94"/>
  <c r="FE797" i="94"/>
  <c r="EW797" i="94"/>
  <c r="EO797" i="94"/>
  <c r="EG797" i="94"/>
  <c r="CP797" i="94"/>
  <c r="BG797" i="94"/>
  <c r="AY797" i="94"/>
  <c r="AQ797" i="94"/>
  <c r="AI797" i="94"/>
  <c r="AA797" i="94"/>
  <c r="LV797" i="94"/>
  <c r="GE797" i="94"/>
  <c r="FS797" i="94"/>
  <c r="FK797" i="94"/>
  <c r="FC797" i="94"/>
  <c r="EU797" i="94"/>
  <c r="EM797" i="94"/>
  <c r="EE797" i="94"/>
  <c r="BZ797" i="94"/>
  <c r="BE797" i="94"/>
  <c r="AW797" i="94"/>
  <c r="AO797" i="94"/>
  <c r="AG797" i="94"/>
  <c r="Y797" i="94"/>
  <c r="GC797" i="94"/>
  <c r="FB797" i="94"/>
  <c r="EK797" i="94"/>
  <c r="BK797" i="94"/>
  <c r="AU797" i="94"/>
  <c r="AE797" i="94"/>
  <c r="FT797" i="94"/>
  <c r="FA797" i="94"/>
  <c r="EI797" i="94"/>
  <c r="BI797" i="94"/>
  <c r="AS797" i="94"/>
  <c r="AC797" i="94"/>
  <c r="FR797" i="94"/>
  <c r="EV797" i="94"/>
  <c r="EF797" i="94"/>
  <c r="BF797" i="94"/>
  <c r="AP797" i="94"/>
  <c r="Z797" i="94"/>
  <c r="LW797" i="94"/>
  <c r="FQ797" i="94"/>
  <c r="ET797" i="94"/>
  <c r="ED797" i="94"/>
  <c r="BD797" i="94"/>
  <c r="AN797" i="94"/>
  <c r="X797" i="94"/>
  <c r="LU797" i="94"/>
  <c r="FL797" i="94"/>
  <c r="ES797" i="94"/>
  <c r="DV797" i="94"/>
  <c r="BC797" i="94"/>
  <c r="AM797" i="94"/>
  <c r="LT797" i="94"/>
  <c r="FJ797" i="94"/>
  <c r="EQ797" i="94"/>
  <c r="DF797" i="94"/>
  <c r="BA797" i="94"/>
  <c r="AK797" i="94"/>
  <c r="GD797" i="94"/>
  <c r="FD797" i="94"/>
  <c r="EL797" i="94"/>
  <c r="BR797" i="94"/>
  <c r="AV797" i="94"/>
  <c r="AF797" i="94"/>
  <c r="GF797" i="94"/>
  <c r="FI797" i="94"/>
  <c r="EN797" i="94"/>
  <c r="CH797" i="94"/>
  <c r="AH797" i="94"/>
  <c r="AX797" i="94"/>
  <c r="LY789" i="94"/>
  <c r="LQ789" i="94"/>
  <c r="FU789" i="94"/>
  <c r="FM789" i="94"/>
  <c r="FE789" i="94"/>
  <c r="EW789" i="94"/>
  <c r="EN789" i="94"/>
  <c r="EF789" i="94"/>
  <c r="CL789" i="94"/>
  <c r="BG789" i="94"/>
  <c r="AY789" i="94"/>
  <c r="AQ789" i="94"/>
  <c r="AI789" i="94"/>
  <c r="AA789" i="94"/>
  <c r="LX789" i="94"/>
  <c r="HZ789" i="94"/>
  <c r="FT789" i="94"/>
  <c r="FL789" i="94"/>
  <c r="FD789" i="94"/>
  <c r="EV789" i="94"/>
  <c r="EM789" i="94"/>
  <c r="EE789" i="94"/>
  <c r="CD789" i="94"/>
  <c r="BF789" i="94"/>
  <c r="AX789" i="94"/>
  <c r="AP789" i="94"/>
  <c r="AH789" i="94"/>
  <c r="Z789" i="94"/>
  <c r="LV789" i="94"/>
  <c r="GE789" i="94"/>
  <c r="FR789" i="94"/>
  <c r="FJ789" i="94"/>
  <c r="FB789" i="94"/>
  <c r="ES789" i="94"/>
  <c r="EK789" i="94"/>
  <c r="DZ789" i="94"/>
  <c r="BN789" i="94"/>
  <c r="BD789" i="94"/>
  <c r="AV789" i="94"/>
  <c r="AN789" i="94"/>
  <c r="AF789" i="94"/>
  <c r="X789" i="94"/>
  <c r="LU789" i="94"/>
  <c r="GD789" i="94"/>
  <c r="FQ789" i="94"/>
  <c r="FI789" i="94"/>
  <c r="FA789" i="94"/>
  <c r="ER789" i="94"/>
  <c r="EJ789" i="94"/>
  <c r="DR789" i="94"/>
  <c r="BK789" i="94"/>
  <c r="BC789" i="94"/>
  <c r="AU789" i="94"/>
  <c r="AM789" i="94"/>
  <c r="AE789" i="94"/>
  <c r="LS789" i="94"/>
  <c r="GB789" i="94"/>
  <c r="FO789" i="94"/>
  <c r="FG789" i="94"/>
  <c r="EY789" i="94"/>
  <c r="EP789" i="94"/>
  <c r="EH789" i="94"/>
  <c r="DB789" i="94"/>
  <c r="BI789" i="94"/>
  <c r="BA789" i="94"/>
  <c r="AS789" i="94"/>
  <c r="AK789" i="94"/>
  <c r="AC789" i="94"/>
  <c r="LR789" i="94"/>
  <c r="FH789" i="94"/>
  <c r="EL789" i="94"/>
  <c r="BH789" i="94"/>
  <c r="AL789" i="94"/>
  <c r="GF789" i="94"/>
  <c r="FF789" i="94"/>
  <c r="EI789" i="94"/>
  <c r="BE789" i="94"/>
  <c r="AJ789" i="94"/>
  <c r="GC789" i="94"/>
  <c r="FC789" i="94"/>
  <c r="EG789" i="94"/>
  <c r="BB789" i="94"/>
  <c r="AG789" i="94"/>
  <c r="FV789" i="94"/>
  <c r="EZ789" i="94"/>
  <c r="ED789" i="94"/>
  <c r="AZ789" i="94"/>
  <c r="AD789" i="94"/>
  <c r="FS789" i="94"/>
  <c r="EX789" i="94"/>
  <c r="DJ789" i="94"/>
  <c r="AW789" i="94"/>
  <c r="AB789" i="94"/>
  <c r="LZ789" i="94"/>
  <c r="FP789" i="94"/>
  <c r="ET789" i="94"/>
  <c r="CT789" i="94"/>
  <c r="AT789" i="94"/>
  <c r="Y789" i="94"/>
  <c r="LT789" i="94"/>
  <c r="FK789" i="94"/>
  <c r="EO789" i="94"/>
  <c r="BJ789" i="94"/>
  <c r="AO789" i="94"/>
  <c r="AR789" i="94"/>
  <c r="LW789" i="94"/>
  <c r="MH782" i="94"/>
  <c r="LZ782" i="94"/>
  <c r="MN782" i="94"/>
  <c r="MM782" i="94"/>
  <c r="ME782" i="94"/>
  <c r="LW782" i="94"/>
  <c r="MK782" i="94"/>
  <c r="MO782" i="94"/>
  <c r="MB782" i="94"/>
  <c r="LR782" i="94"/>
  <c r="HW782" i="94"/>
  <c r="HO782" i="94"/>
  <c r="HG782" i="94"/>
  <c r="GY782" i="94"/>
  <c r="GQ782" i="94"/>
  <c r="GI782" i="94"/>
  <c r="GA782" i="94"/>
  <c r="FO782" i="94"/>
  <c r="FG782" i="94"/>
  <c r="EY782" i="94"/>
  <c r="EQ782" i="94"/>
  <c r="EI782" i="94"/>
  <c r="CL782" i="94"/>
  <c r="BE782" i="94"/>
  <c r="AW782" i="94"/>
  <c r="AO782" i="94"/>
  <c r="AG782" i="94"/>
  <c r="Y782" i="94"/>
  <c r="ML782" i="94"/>
  <c r="MA782" i="94"/>
  <c r="LQ782" i="94"/>
  <c r="HV782" i="94"/>
  <c r="HN782" i="94"/>
  <c r="HF782" i="94"/>
  <c r="GX782" i="94"/>
  <c r="GP782" i="94"/>
  <c r="GH782" i="94"/>
  <c r="FV782" i="94"/>
  <c r="FN782" i="94"/>
  <c r="FF782" i="94"/>
  <c r="EX782" i="94"/>
  <c r="EP782" i="94"/>
  <c r="EH782" i="94"/>
  <c r="CD782" i="94"/>
  <c r="BD782" i="94"/>
  <c r="AV782" i="94"/>
  <c r="AN782" i="94"/>
  <c r="AF782" i="94"/>
  <c r="X782" i="94"/>
  <c r="MJ782" i="94"/>
  <c r="LY782" i="94"/>
  <c r="JT782" i="94"/>
  <c r="HU782" i="94"/>
  <c r="HM782" i="94"/>
  <c r="HE782" i="94"/>
  <c r="GW782" i="94"/>
  <c r="GO782" i="94"/>
  <c r="GG782" i="94"/>
  <c r="FU782" i="94"/>
  <c r="FM782" i="94"/>
  <c r="FE782" i="94"/>
  <c r="EW782" i="94"/>
  <c r="EO782" i="94"/>
  <c r="EG782" i="94"/>
  <c r="BK782" i="94"/>
  <c r="BC782" i="94"/>
  <c r="AU782" i="94"/>
  <c r="AM782" i="94"/>
  <c r="AE782" i="94"/>
  <c r="MG782" i="94"/>
  <c r="LV782" i="94"/>
  <c r="IB782" i="94"/>
  <c r="HS782" i="94"/>
  <c r="HK782" i="94"/>
  <c r="HC782" i="94"/>
  <c r="GU782" i="94"/>
  <c r="GM782" i="94"/>
  <c r="GE782" i="94"/>
  <c r="FS782" i="94"/>
  <c r="FK782" i="94"/>
  <c r="FC782" i="94"/>
  <c r="EU782" i="94"/>
  <c r="EM782" i="94"/>
  <c r="EE782" i="94"/>
  <c r="BI782" i="94"/>
  <c r="BA782" i="94"/>
  <c r="AS782" i="94"/>
  <c r="AK782" i="94"/>
  <c r="AC782" i="94"/>
  <c r="GX779" i="94"/>
  <c r="MJ779"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IA780" i="94"/>
  <c r="II780" i="94"/>
  <c r="IQ780" i="94"/>
  <c r="IY780" i="94"/>
  <c r="JG780" i="94"/>
  <c r="JO780" i="94"/>
  <c r="JY780" i="94"/>
  <c r="KI780" i="94"/>
  <c r="KS780" i="94"/>
  <c r="LE780" i="94"/>
  <c r="LO780" i="94"/>
  <c r="LY780" i="94"/>
  <c r="MK780" i="94"/>
  <c r="X781" i="94"/>
  <c r="AR781" i="94"/>
  <c r="BV781" i="94"/>
  <c r="DZ781" i="94"/>
  <c r="FI781" i="94"/>
  <c r="AL782" i="94"/>
  <c r="BB782" i="94"/>
  <c r="EF782" i="94"/>
  <c r="EV782" i="94"/>
  <c r="FL782" i="94"/>
  <c r="GF782" i="94"/>
  <c r="GV782" i="94"/>
  <c r="HL782" i="94"/>
  <c r="ID782" i="94"/>
  <c r="MI782" i="94"/>
  <c r="BF783" i="94"/>
  <c r="FQ783" i="94"/>
  <c r="AE784" i="94"/>
  <c r="BY784" i="94"/>
  <c r="DT784" i="94"/>
  <c r="FC784" i="94"/>
  <c r="GY784" i="94"/>
  <c r="JI784" i="94"/>
  <c r="LE784" i="94"/>
  <c r="AQ785" i="94"/>
  <c r="CZ785" i="94"/>
  <c r="EV785" i="94"/>
  <c r="AI786" i="94"/>
  <c r="CR786" i="94"/>
  <c r="EN786" i="94"/>
  <c r="HD786" i="94"/>
  <c r="MM786" i="94"/>
  <c r="AG788" i="94"/>
  <c r="CP788" i="94"/>
  <c r="EY788" i="94"/>
  <c r="IA788" i="94"/>
  <c r="KG790" i="94"/>
  <c r="CZ809" i="94"/>
  <c r="CH809" i="94"/>
  <c r="BI809" i="94"/>
  <c r="MK802" i="94"/>
  <c r="MC802" i="94"/>
  <c r="LU802" i="94"/>
  <c r="LM802" i="94"/>
  <c r="LE802" i="94"/>
  <c r="KW802" i="94"/>
  <c r="KO802" i="94"/>
  <c r="KG802" i="94"/>
  <c r="JY802" i="94"/>
  <c r="JQ802" i="94"/>
  <c r="JI802" i="94"/>
  <c r="JA802" i="94"/>
  <c r="IS802" i="94"/>
  <c r="IK802" i="94"/>
  <c r="IC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ND802" i="94"/>
  <c r="MJ802" i="94"/>
  <c r="MB802" i="94"/>
  <c r="LT802" i="94"/>
  <c r="LL802" i="94"/>
  <c r="LD802" i="94"/>
  <c r="KV802" i="94"/>
  <c r="KN802" i="94"/>
  <c r="KF802" i="94"/>
  <c r="JX802" i="94"/>
  <c r="JP802" i="94"/>
  <c r="JH802" i="94"/>
  <c r="IZ802" i="94"/>
  <c r="IR802" i="94"/>
  <c r="IJ802" i="94"/>
  <c r="IB802" i="94"/>
  <c r="HT802" i="94"/>
  <c r="HL802" i="94"/>
  <c r="HD802" i="94"/>
  <c r="GV802" i="94"/>
  <c r="GN802" i="94"/>
  <c r="GF802" i="94"/>
  <c r="FX802" i="94"/>
  <c r="FP802" i="94"/>
  <c r="FH802" i="94"/>
  <c r="EZ802" i="94"/>
  <c r="ER802" i="94"/>
  <c r="EJ802" i="94"/>
  <c r="EB802" i="94"/>
  <c r="DT802" i="94"/>
  <c r="DL802" i="94"/>
  <c r="DD802" i="94"/>
  <c r="CV802" i="94"/>
  <c r="CN802" i="94"/>
  <c r="CF802" i="94"/>
  <c r="BX802" i="94"/>
  <c r="BP802" i="94"/>
  <c r="BH802" i="94"/>
  <c r="AZ802" i="94"/>
  <c r="AR802" i="94"/>
  <c r="AJ802" i="94"/>
  <c r="AB802" i="94"/>
  <c r="NC802" i="94"/>
  <c r="MI802" i="94"/>
  <c r="MA802" i="94"/>
  <c r="LS802" i="94"/>
  <c r="LK802" i="94"/>
  <c r="LC802" i="94"/>
  <c r="KU802" i="94"/>
  <c r="KM802" i="94"/>
  <c r="KE802" i="94"/>
  <c r="JW802" i="94"/>
  <c r="JO802" i="94"/>
  <c r="JG802" i="94"/>
  <c r="IY802" i="94"/>
  <c r="IQ802" i="94"/>
  <c r="II802" i="94"/>
  <c r="IA802" i="94"/>
  <c r="HS802" i="94"/>
  <c r="HK802" i="94"/>
  <c r="HC802" i="94"/>
  <c r="GU802" i="94"/>
  <c r="GM802" i="94"/>
  <c r="GE802" i="94"/>
  <c r="FW802" i="94"/>
  <c r="FO802" i="94"/>
  <c r="FG802" i="94"/>
  <c r="EY802" i="94"/>
  <c r="EQ802" i="94"/>
  <c r="EI802" i="94"/>
  <c r="EA802" i="94"/>
  <c r="DS802" i="94"/>
  <c r="DK802" i="94"/>
  <c r="DC802" i="94"/>
  <c r="CU802" i="94"/>
  <c r="CM802" i="94"/>
  <c r="CE802" i="94"/>
  <c r="BW802" i="94"/>
  <c r="BO802" i="94"/>
  <c r="BG802" i="94"/>
  <c r="AY802" i="94"/>
  <c r="AQ802" i="94"/>
  <c r="AI802" i="94"/>
  <c r="AA802" i="94"/>
  <c r="NB802" i="94"/>
  <c r="MH802" i="94"/>
  <c r="LZ802" i="94"/>
  <c r="LR802" i="94"/>
  <c r="LJ802" i="94"/>
  <c r="LB802" i="94"/>
  <c r="KT802" i="94"/>
  <c r="KL802" i="94"/>
  <c r="KD802" i="94"/>
  <c r="JV802" i="94"/>
  <c r="JN802" i="94"/>
  <c r="JF802" i="94"/>
  <c r="IX802" i="94"/>
  <c r="IP802" i="94"/>
  <c r="IH802" i="94"/>
  <c r="HZ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Z802" i="94"/>
  <c r="MG802" i="94"/>
  <c r="LY802" i="94"/>
  <c r="LQ802" i="94"/>
  <c r="LI802" i="94"/>
  <c r="LA802" i="94"/>
  <c r="KS802" i="94"/>
  <c r="KK802" i="94"/>
  <c r="KC802" i="94"/>
  <c r="JU802" i="94"/>
  <c r="JM802" i="94"/>
  <c r="JE802" i="94"/>
  <c r="IW802" i="94"/>
  <c r="IO802" i="94"/>
  <c r="IG802" i="94"/>
  <c r="HY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MO802" i="94"/>
  <c r="MF802" i="94"/>
  <c r="LX802" i="94"/>
  <c r="LP802" i="94"/>
  <c r="LH802" i="94"/>
  <c r="KZ802" i="94"/>
  <c r="KR802" i="94"/>
  <c r="KJ802" i="94"/>
  <c r="KB802" i="94"/>
  <c r="JT802" i="94"/>
  <c r="JL802" i="94"/>
  <c r="JD802" i="94"/>
  <c r="IV802" i="94"/>
  <c r="IN802" i="94"/>
  <c r="IF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MN802" i="94"/>
  <c r="LG802" i="94"/>
  <c r="KA802" i="94"/>
  <c r="IU802" i="94"/>
  <c r="HO802" i="94"/>
  <c r="GI802" i="94"/>
  <c r="FC802" i="94"/>
  <c r="DW802" i="94"/>
  <c r="CQ802" i="94"/>
  <c r="BK802" i="94"/>
  <c r="AE802" i="94"/>
  <c r="ML802" i="94"/>
  <c r="LF802" i="94"/>
  <c r="JZ802" i="94"/>
  <c r="IT802" i="94"/>
  <c r="HN802" i="94"/>
  <c r="GH802" i="94"/>
  <c r="FB802" i="94"/>
  <c r="DV802" i="94"/>
  <c r="CP802" i="94"/>
  <c r="BJ802" i="94"/>
  <c r="AD802" i="94"/>
  <c r="ME802" i="94"/>
  <c r="KY802" i="94"/>
  <c r="JS802" i="94"/>
  <c r="IM802" i="94"/>
  <c r="HG802" i="94"/>
  <c r="GA802" i="94"/>
  <c r="EU802" i="94"/>
  <c r="DO802" i="94"/>
  <c r="CI802" i="94"/>
  <c r="BC802" i="94"/>
  <c r="MD802" i="94"/>
  <c r="KX802" i="94"/>
  <c r="JR802" i="94"/>
  <c r="IL802" i="94"/>
  <c r="HF802" i="94"/>
  <c r="FZ802" i="94"/>
  <c r="ET802" i="94"/>
  <c r="DN802" i="94"/>
  <c r="CH802" i="94"/>
  <c r="BB802" i="94"/>
  <c r="LV802" i="94"/>
  <c r="KP802" i="94"/>
  <c r="JJ802" i="94"/>
  <c r="ID802" i="94"/>
  <c r="GX802" i="94"/>
  <c r="FR802" i="94"/>
  <c r="EL802" i="94"/>
  <c r="DF802" i="94"/>
  <c r="BZ802" i="94"/>
  <c r="AT802" i="94"/>
  <c r="KI802" i="94"/>
  <c r="GY802" i="94"/>
  <c r="ED802" i="94"/>
  <c r="AM802" i="94"/>
  <c r="KH802" i="94"/>
  <c r="GQ802" i="94"/>
  <c r="DG802" i="94"/>
  <c r="AL802" i="94"/>
  <c r="JK802" i="94"/>
  <c r="GP802" i="94"/>
  <c r="CY802" i="94"/>
  <c r="JC802" i="94"/>
  <c r="FS802" i="94"/>
  <c r="CX802" i="94"/>
  <c r="LO802" i="94"/>
  <c r="IE802" i="94"/>
  <c r="FJ802" i="94"/>
  <c r="BS802" i="94"/>
  <c r="JB802" i="94"/>
  <c r="AU802" i="94"/>
  <c r="HW802" i="94"/>
  <c r="HV802" i="94"/>
  <c r="FK802" i="94"/>
  <c r="EM802" i="94"/>
  <c r="LW802" i="94"/>
  <c r="EE802" i="94"/>
  <c r="KQ802" i="94"/>
  <c r="BR802" i="94"/>
  <c r="LN802" i="94"/>
  <c r="CA802" i="94"/>
  <c r="NB794" i="94"/>
  <c r="MJ794" i="94"/>
  <c r="MB794" i="94"/>
  <c r="LT794" i="94"/>
  <c r="LL794" i="94"/>
  <c r="NA794" i="94"/>
  <c r="MI794" i="94"/>
  <c r="MA794" i="94"/>
  <c r="LS794" i="94"/>
  <c r="MO794" i="94"/>
  <c r="ME794" i="94"/>
  <c r="LU794" i="94"/>
  <c r="LJ794" i="94"/>
  <c r="LB794" i="94"/>
  <c r="KT794" i="94"/>
  <c r="KL794" i="94"/>
  <c r="KD794" i="94"/>
  <c r="JV794" i="94"/>
  <c r="JN794" i="94"/>
  <c r="JF794" i="94"/>
  <c r="IX794" i="94"/>
  <c r="IP794" i="94"/>
  <c r="IH794" i="94"/>
  <c r="HZ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N794" i="94"/>
  <c r="MD794" i="94"/>
  <c r="LR794" i="94"/>
  <c r="LI794" i="94"/>
  <c r="LA794" i="94"/>
  <c r="KS794" i="94"/>
  <c r="KK794" i="94"/>
  <c r="KC794" i="94"/>
  <c r="JU794" i="94"/>
  <c r="JM794" i="94"/>
  <c r="JE794" i="94"/>
  <c r="IW794" i="94"/>
  <c r="IO794" i="94"/>
  <c r="IG794" i="94"/>
  <c r="HY794" i="94"/>
  <c r="HQ794" i="94"/>
  <c r="HI794" i="94"/>
  <c r="HA794" i="94"/>
  <c r="GS794" i="94"/>
  <c r="GK794" i="94"/>
  <c r="GC794" i="94"/>
  <c r="FU794" i="94"/>
  <c r="FM794" i="94"/>
  <c r="FE794" i="94"/>
  <c r="EW794" i="94"/>
  <c r="EO794" i="94"/>
  <c r="EG794" i="94"/>
  <c r="DY794" i="94"/>
  <c r="DQ794" i="94"/>
  <c r="DI794" i="94"/>
  <c r="DA794" i="94"/>
  <c r="CS794" i="94"/>
  <c r="CK794" i="94"/>
  <c r="CC794" i="94"/>
  <c r="BU794" i="94"/>
  <c r="BM794" i="94"/>
  <c r="BE794" i="94"/>
  <c r="AW794" i="94"/>
  <c r="AO794" i="94"/>
  <c r="AG794" i="94"/>
  <c r="Y794" i="94"/>
  <c r="MM794" i="94"/>
  <c r="MC794" i="94"/>
  <c r="LQ794" i="94"/>
  <c r="LH794" i="94"/>
  <c r="KZ794" i="94"/>
  <c r="KR794" i="94"/>
  <c r="KJ794" i="94"/>
  <c r="KB794" i="94"/>
  <c r="JT794" i="94"/>
  <c r="JL794" i="94"/>
  <c r="JD794" i="94"/>
  <c r="IV794" i="94"/>
  <c r="IN794" i="94"/>
  <c r="IF794" i="94"/>
  <c r="HX794" i="94"/>
  <c r="HP794" i="94"/>
  <c r="HH794" i="94"/>
  <c r="GZ794" i="94"/>
  <c r="GR794" i="94"/>
  <c r="GJ794" i="94"/>
  <c r="GB794" i="94"/>
  <c r="FT794" i="94"/>
  <c r="FL794" i="94"/>
  <c r="FD794" i="94"/>
  <c r="EV794" i="94"/>
  <c r="EN794" i="94"/>
  <c r="EF794" i="94"/>
  <c r="DX794" i="94"/>
  <c r="DP794" i="94"/>
  <c r="DH794" i="94"/>
  <c r="CZ794" i="94"/>
  <c r="CR794" i="94"/>
  <c r="CJ794" i="94"/>
  <c r="CB794" i="94"/>
  <c r="BT794" i="94"/>
  <c r="BL794" i="94"/>
  <c r="BD794" i="94"/>
  <c r="AV794" i="94"/>
  <c r="AN794" i="94"/>
  <c r="AF794" i="94"/>
  <c r="X794" i="94"/>
  <c r="ML794" i="94"/>
  <c r="LZ794" i="94"/>
  <c r="LP794" i="94"/>
  <c r="LG794" i="94"/>
  <c r="KY794" i="94"/>
  <c r="KQ794" i="94"/>
  <c r="KI794" i="94"/>
  <c r="KA794" i="94"/>
  <c r="JS794" i="94"/>
  <c r="JK794" i="94"/>
  <c r="JC794" i="94"/>
  <c r="IU794" i="94"/>
  <c r="IM794" i="94"/>
  <c r="IE794" i="94"/>
  <c r="HW794" i="94"/>
  <c r="HO794" i="94"/>
  <c r="HG794" i="94"/>
  <c r="GY794" i="94"/>
  <c r="MK794" i="94"/>
  <c r="LY794" i="94"/>
  <c r="LO794" i="94"/>
  <c r="LF794" i="94"/>
  <c r="KX794" i="94"/>
  <c r="KP794" i="94"/>
  <c r="KH794" i="94"/>
  <c r="JZ794" i="94"/>
  <c r="JR794" i="94"/>
  <c r="JJ794" i="94"/>
  <c r="JB794" i="94"/>
  <c r="IT794" i="94"/>
  <c r="IL794" i="94"/>
  <c r="ID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ND794" i="94"/>
  <c r="MH794" i="94"/>
  <c r="LX794" i="94"/>
  <c r="LN794" i="94"/>
  <c r="LE794" i="94"/>
  <c r="KW794" i="94"/>
  <c r="KO794" i="94"/>
  <c r="KG794" i="94"/>
  <c r="JY794" i="94"/>
  <c r="JQ794" i="94"/>
  <c r="JI794" i="94"/>
  <c r="JA794" i="94"/>
  <c r="IS794" i="94"/>
  <c r="IK794" i="94"/>
  <c r="IC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Z794" i="94"/>
  <c r="MF794" i="94"/>
  <c r="LV794" i="94"/>
  <c r="LK794" i="94"/>
  <c r="LC794" i="94"/>
  <c r="KU794" i="94"/>
  <c r="KM794" i="94"/>
  <c r="KE794" i="94"/>
  <c r="JW794" i="94"/>
  <c r="JO794" i="94"/>
  <c r="JG794" i="94"/>
  <c r="IY794" i="94"/>
  <c r="IQ794" i="94"/>
  <c r="II794" i="94"/>
  <c r="IA794" i="94"/>
  <c r="HS794" i="94"/>
  <c r="HK794" i="94"/>
  <c r="HC794" i="94"/>
  <c r="GU794" i="94"/>
  <c r="GM794" i="94"/>
  <c r="GE794" i="94"/>
  <c r="FW794" i="94"/>
  <c r="FO794" i="94"/>
  <c r="FG794" i="94"/>
  <c r="EY794" i="94"/>
  <c r="EQ794" i="94"/>
  <c r="EI794" i="94"/>
  <c r="EA794" i="94"/>
  <c r="DS794" i="94"/>
  <c r="DK794" i="94"/>
  <c r="DC794" i="94"/>
  <c r="CU794" i="94"/>
  <c r="CM794" i="94"/>
  <c r="CE794" i="94"/>
  <c r="BW794" i="94"/>
  <c r="BO794" i="94"/>
  <c r="KF794" i="94"/>
  <c r="HT794" i="94"/>
  <c r="GA794" i="94"/>
  <c r="EU794" i="94"/>
  <c r="DO794" i="94"/>
  <c r="CI794" i="94"/>
  <c r="BH794" i="94"/>
  <c r="AR794" i="94"/>
  <c r="AB794" i="94"/>
  <c r="NC794" i="94"/>
  <c r="JX794" i="94"/>
  <c r="HL794" i="94"/>
  <c r="FX794" i="94"/>
  <c r="ER794" i="94"/>
  <c r="DL794" i="94"/>
  <c r="CF794" i="94"/>
  <c r="BG794" i="94"/>
  <c r="AQ794" i="94"/>
  <c r="AA794" i="94"/>
  <c r="LW794" i="94"/>
  <c r="JH794" i="94"/>
  <c r="GV794" i="94"/>
  <c r="FP794" i="94"/>
  <c r="EJ794" i="94"/>
  <c r="DD794" i="94"/>
  <c r="BX794" i="94"/>
  <c r="BB794" i="94"/>
  <c r="AL794" i="94"/>
  <c r="LM794" i="94"/>
  <c r="IZ794" i="94"/>
  <c r="GQ794" i="94"/>
  <c r="FK794" i="94"/>
  <c r="EE794" i="94"/>
  <c r="CY794" i="94"/>
  <c r="BS794" i="94"/>
  <c r="AZ794" i="94"/>
  <c r="AJ794" i="94"/>
  <c r="KV794" i="94"/>
  <c r="IJ794" i="94"/>
  <c r="GI794" i="94"/>
  <c r="FC794" i="94"/>
  <c r="DW794" i="94"/>
  <c r="CQ794" i="94"/>
  <c r="BK794" i="94"/>
  <c r="AU794" i="94"/>
  <c r="AE794" i="94"/>
  <c r="HD794" i="94"/>
  <c r="DT794" i="94"/>
  <c r="AY794" i="94"/>
  <c r="GN794" i="94"/>
  <c r="DG794" i="94"/>
  <c r="AT794" i="94"/>
  <c r="MG794" i="94"/>
  <c r="GF794" i="94"/>
  <c r="CV794" i="94"/>
  <c r="AM794" i="94"/>
  <c r="LD794" i="94"/>
  <c r="FS794" i="94"/>
  <c r="CN794" i="94"/>
  <c r="AI794" i="94"/>
  <c r="KN794" i="94"/>
  <c r="FH794" i="94"/>
  <c r="CA794" i="94"/>
  <c r="AD794" i="94"/>
  <c r="JP794" i="94"/>
  <c r="EZ794" i="94"/>
  <c r="BP794" i="94"/>
  <c r="IB794" i="94"/>
  <c r="EB794" i="94"/>
  <c r="BC794" i="94"/>
  <c r="IR794" i="94"/>
  <c r="EM794" i="94"/>
  <c r="BJ794" i="94"/>
  <c r="GB787" i="94"/>
  <c r="EX787" i="94"/>
  <c r="DE787" i="94"/>
  <c r="AK787" i="94"/>
  <c r="LX787" i="94"/>
  <c r="FY787" i="94"/>
  <c r="EP787" i="94"/>
  <c r="BY787" i="94"/>
  <c r="AG787" i="94"/>
  <c r="HT787" i="94"/>
  <c r="FR787" i="94"/>
  <c r="EH787" i="94"/>
  <c r="BE787" i="94"/>
  <c r="Y787" i="94"/>
  <c r="GF787" i="94"/>
  <c r="FN787" i="94"/>
  <c r="EG787" i="94"/>
  <c r="BA787" i="94"/>
  <c r="GD787" i="94"/>
  <c r="FF787" i="94"/>
  <c r="EE787" i="94"/>
  <c r="AS787" i="94"/>
  <c r="EF787" i="94"/>
  <c r="LT787" i="94"/>
  <c r="ED787" i="94"/>
  <c r="GE787" i="94"/>
  <c r="BI787" i="94"/>
  <c r="GC787" i="94"/>
  <c r="AW787" i="94"/>
  <c r="FV787" i="94"/>
  <c r="AO787" i="94"/>
  <c r="JE781" i="94"/>
  <c r="FP781" i="94"/>
  <c r="EZ781" i="94"/>
  <c r="EJ781" i="94"/>
  <c r="DB781" i="94"/>
  <c r="BL781" i="94"/>
  <c r="AV781" i="94"/>
  <c r="AF781" i="94"/>
  <c r="GG781" i="94"/>
  <c r="FM781" i="94"/>
  <c r="EW781" i="94"/>
  <c r="EG781" i="94"/>
  <c r="CT781" i="94"/>
  <c r="BI781" i="94"/>
  <c r="AS781" i="94"/>
  <c r="AC781" i="94"/>
  <c r="MK781" i="94"/>
  <c r="GF781" i="94"/>
  <c r="FL781" i="94"/>
  <c r="EV781" i="94"/>
  <c r="EF781" i="94"/>
  <c r="LX781" i="94"/>
  <c r="GB781" i="94"/>
  <c r="FH781" i="94"/>
  <c r="ER781" i="94"/>
  <c r="DX781" i="94"/>
  <c r="GZ779" i="94"/>
  <c r="AB780" i="94"/>
  <c r="AJ780" i="94"/>
  <c r="AR780" i="94"/>
  <c r="AZ780" i="94"/>
  <c r="BH780" i="94"/>
  <c r="BP780" i="94"/>
  <c r="BX780" i="94"/>
  <c r="CF780" i="94"/>
  <c r="CN780" i="94"/>
  <c r="CV780" i="94"/>
  <c r="DD780" i="94"/>
  <c r="DL780" i="94"/>
  <c r="DT780" i="94"/>
  <c r="EB780" i="94"/>
  <c r="EJ780" i="94"/>
  <c r="ER780" i="94"/>
  <c r="EZ780" i="94"/>
  <c r="FH780" i="94"/>
  <c r="FP780" i="94"/>
  <c r="FX780" i="94"/>
  <c r="GF780" i="94"/>
  <c r="GN780" i="94"/>
  <c r="GV780" i="94"/>
  <c r="HD780" i="94"/>
  <c r="HL780" i="94"/>
  <c r="HT780" i="94"/>
  <c r="IB780" i="94"/>
  <c r="IJ780" i="94"/>
  <c r="IR780" i="94"/>
  <c r="IZ780" i="94"/>
  <c r="JH780" i="94"/>
  <c r="JP780" i="94"/>
  <c r="JZ780" i="94"/>
  <c r="KJ780" i="94"/>
  <c r="KV780" i="94"/>
  <c r="LF780" i="94"/>
  <c r="LP780" i="94"/>
  <c r="MB780" i="94"/>
  <c r="ML780" i="94"/>
  <c r="Y781" i="94"/>
  <c r="AW781" i="94"/>
  <c r="CA781" i="94"/>
  <c r="EK781" i="94"/>
  <c r="FQ781" i="94"/>
  <c r="Z782" i="94"/>
  <c r="AP782" i="94"/>
  <c r="BF782" i="94"/>
  <c r="EJ782" i="94"/>
  <c r="EZ782" i="94"/>
  <c r="FP782" i="94"/>
  <c r="GJ782" i="94"/>
  <c r="GZ782" i="94"/>
  <c r="HP782" i="94"/>
  <c r="LS782" i="94"/>
  <c r="Y783" i="94"/>
  <c r="BH783" i="94"/>
  <c r="FR783" i="94"/>
  <c r="AR784" i="94"/>
  <c r="CA784" i="94"/>
  <c r="DU784" i="94"/>
  <c r="FP784" i="94"/>
  <c r="HB784" i="94"/>
  <c r="JK784" i="94"/>
  <c r="AT785" i="94"/>
  <c r="DC785" i="94"/>
  <c r="FL785" i="94"/>
  <c r="AK786" i="94"/>
  <c r="CU786" i="94"/>
  <c r="FE786" i="94"/>
  <c r="HH786" i="94"/>
  <c r="MZ786" i="94"/>
  <c r="AW788" i="94"/>
  <c r="CS788" i="94"/>
  <c r="FB788" i="94"/>
  <c r="JG788" i="94"/>
  <c r="NC806" i="94"/>
  <c r="JQ806" i="94"/>
  <c r="GZ806" i="94"/>
  <c r="EL806" i="94"/>
  <c r="NB806" i="94"/>
  <c r="JH806" i="94"/>
  <c r="GN806" i="94"/>
  <c r="EG806" i="94"/>
  <c r="LT806" i="94"/>
  <c r="JF806" i="94"/>
  <c r="GF806" i="94"/>
  <c r="BD806" i="94"/>
  <c r="LL806" i="94"/>
  <c r="IM806" i="94"/>
  <c r="GE806" i="94"/>
  <c r="AW806" i="94"/>
  <c r="LI806" i="94"/>
  <c r="IE806" i="94"/>
  <c r="FK806" i="94"/>
  <c r="AV806" i="94"/>
  <c r="KQ806" i="94"/>
  <c r="IB806" i="94"/>
  <c r="FE806" i="94"/>
  <c r="AG806" i="94"/>
  <c r="KF806" i="94"/>
  <c r="HF806" i="94"/>
  <c r="EO806" i="94"/>
  <c r="Y806" i="94"/>
  <c r="KL806" i="94"/>
  <c r="FC806" i="94"/>
  <c r="HI806" i="94"/>
  <c r="AA806" i="94"/>
  <c r="NC800" i="94"/>
  <c r="MK800" i="94"/>
  <c r="MC800" i="94"/>
  <c r="LU800" i="94"/>
  <c r="LM800" i="94"/>
  <c r="LE800" i="94"/>
  <c r="KW800" i="94"/>
  <c r="KO800" i="94"/>
  <c r="KG800" i="94"/>
  <c r="JY800" i="94"/>
  <c r="JQ800" i="94"/>
  <c r="JI800" i="94"/>
  <c r="JA800" i="94"/>
  <c r="IS800" i="94"/>
  <c r="IK800" i="94"/>
  <c r="IC800" i="94"/>
  <c r="HU800" i="94"/>
  <c r="HM800" i="94"/>
  <c r="HE800" i="94"/>
  <c r="GW800" i="94"/>
  <c r="GO800" i="94"/>
  <c r="GG800" i="94"/>
  <c r="FY800" i="94"/>
  <c r="FQ800" i="94"/>
  <c r="FI800" i="94"/>
  <c r="FA800" i="94"/>
  <c r="ES800" i="94"/>
  <c r="EK800" i="94"/>
  <c r="EC800" i="94"/>
  <c r="DU800" i="94"/>
  <c r="DM800" i="94"/>
  <c r="DE800" i="94"/>
  <c r="CW800" i="94"/>
  <c r="CO800" i="94"/>
  <c r="CG800" i="94"/>
  <c r="BY800" i="94"/>
  <c r="BQ800" i="94"/>
  <c r="BI800" i="94"/>
  <c r="BA800" i="94"/>
  <c r="AS800" i="94"/>
  <c r="AK800" i="94"/>
  <c r="AC800" i="94"/>
  <c r="NB800" i="94"/>
  <c r="MJ800" i="94"/>
  <c r="MB800" i="94"/>
  <c r="LT800" i="94"/>
  <c r="LL800" i="94"/>
  <c r="LD800" i="94"/>
  <c r="KV800" i="94"/>
  <c r="KN800" i="94"/>
  <c r="KF800" i="94"/>
  <c r="JX800" i="94"/>
  <c r="JP800" i="94"/>
  <c r="JH800" i="94"/>
  <c r="IZ800" i="94"/>
  <c r="IR800" i="94"/>
  <c r="IJ800" i="94"/>
  <c r="IB800" i="94"/>
  <c r="HT800" i="94"/>
  <c r="HL800" i="94"/>
  <c r="HD800" i="94"/>
  <c r="GV800" i="94"/>
  <c r="GN800" i="94"/>
  <c r="GF800" i="94"/>
  <c r="FX800" i="94"/>
  <c r="FP800" i="94"/>
  <c r="FH800" i="94"/>
  <c r="EZ800" i="94"/>
  <c r="ER800" i="94"/>
  <c r="EJ800" i="94"/>
  <c r="EB800" i="94"/>
  <c r="DT800" i="94"/>
  <c r="DL800" i="94"/>
  <c r="DD800" i="94"/>
  <c r="CV800" i="94"/>
  <c r="CN800" i="94"/>
  <c r="CF800" i="94"/>
  <c r="BX800" i="94"/>
  <c r="BP800" i="94"/>
  <c r="BH800" i="94"/>
  <c r="AZ800" i="94"/>
  <c r="AR800" i="94"/>
  <c r="AJ800" i="94"/>
  <c r="AB800" i="94"/>
  <c r="NA800" i="94"/>
  <c r="MI800" i="94"/>
  <c r="MA800" i="94"/>
  <c r="LS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MZ800" i="94"/>
  <c r="MH800" i="94"/>
  <c r="LZ800" i="94"/>
  <c r="LR800" i="94"/>
  <c r="LJ800" i="94"/>
  <c r="LB800" i="94"/>
  <c r="KT800" i="94"/>
  <c r="KL800" i="94"/>
  <c r="KD800" i="94"/>
  <c r="JV800" i="94"/>
  <c r="JN800" i="94"/>
  <c r="JF800" i="94"/>
  <c r="IX800" i="94"/>
  <c r="IP800" i="94"/>
  <c r="IH800" i="94"/>
  <c r="HZ800" i="94"/>
  <c r="HR800" i="94"/>
  <c r="HJ800" i="94"/>
  <c r="HB800" i="94"/>
  <c r="GT800" i="94"/>
  <c r="GL800" i="94"/>
  <c r="GD800" i="94"/>
  <c r="FV800" i="94"/>
  <c r="FN800" i="94"/>
  <c r="FF800" i="94"/>
  <c r="EX800" i="94"/>
  <c r="EP800" i="94"/>
  <c r="EH800" i="94"/>
  <c r="DZ800" i="94"/>
  <c r="DR800" i="94"/>
  <c r="DJ800" i="94"/>
  <c r="DB800" i="94"/>
  <c r="CT800" i="94"/>
  <c r="CL800" i="94"/>
  <c r="CD800" i="94"/>
  <c r="BV800" i="94"/>
  <c r="BN800" i="94"/>
  <c r="BF800" i="94"/>
  <c r="AX800" i="94"/>
  <c r="AP800" i="94"/>
  <c r="AH800" i="94"/>
  <c r="Z800" i="94"/>
  <c r="MN800" i="94"/>
  <c r="MF800" i="94"/>
  <c r="LX800" i="94"/>
  <c r="LP800" i="94"/>
  <c r="LH800" i="94"/>
  <c r="KZ800" i="94"/>
  <c r="KR800" i="94"/>
  <c r="KJ800" i="94"/>
  <c r="KB800" i="94"/>
  <c r="JT800" i="94"/>
  <c r="JL800" i="94"/>
  <c r="JD800" i="94"/>
  <c r="IV800" i="94"/>
  <c r="IN800" i="94"/>
  <c r="IF800" i="94"/>
  <c r="HX800" i="94"/>
  <c r="HP800" i="94"/>
  <c r="HH800" i="94"/>
  <c r="GZ800" i="94"/>
  <c r="GR800" i="94"/>
  <c r="GJ800" i="94"/>
  <c r="GB800" i="94"/>
  <c r="FT800" i="94"/>
  <c r="FL800" i="94"/>
  <c r="FD800" i="94"/>
  <c r="EV800" i="94"/>
  <c r="EN800" i="94"/>
  <c r="EF800" i="94"/>
  <c r="DX800" i="94"/>
  <c r="DP800" i="94"/>
  <c r="DH800" i="94"/>
  <c r="CZ800" i="94"/>
  <c r="CR800" i="94"/>
  <c r="CJ800" i="94"/>
  <c r="CB800" i="94"/>
  <c r="BT800" i="94"/>
  <c r="BL800" i="94"/>
  <c r="BD800" i="94"/>
  <c r="AV800" i="94"/>
  <c r="AN800" i="94"/>
  <c r="AF800" i="94"/>
  <c r="X800" i="94"/>
  <c r="LY800" i="94"/>
  <c r="LF800" i="94"/>
  <c r="KI800" i="94"/>
  <c r="JM800" i="94"/>
  <c r="IT800" i="94"/>
  <c r="HW800" i="94"/>
  <c r="HA800" i="94"/>
  <c r="GH800" i="94"/>
  <c r="FK800" i="94"/>
  <c r="EO800" i="94"/>
  <c r="DV800" i="94"/>
  <c r="DF800" i="94"/>
  <c r="CP800" i="94"/>
  <c r="BZ800" i="94"/>
  <c r="BJ800" i="94"/>
  <c r="AT800" i="94"/>
  <c r="AD800" i="94"/>
  <c r="ND800" i="94"/>
  <c r="LW800" i="94"/>
  <c r="LA800" i="94"/>
  <c r="KH800" i="94"/>
  <c r="JK800" i="94"/>
  <c r="IO800" i="94"/>
  <c r="HV800" i="94"/>
  <c r="GY800" i="94"/>
  <c r="GC800" i="94"/>
  <c r="FJ800" i="94"/>
  <c r="EM800" i="94"/>
  <c r="DS800" i="94"/>
  <c r="DC800" i="94"/>
  <c r="CM800" i="94"/>
  <c r="BW800" i="94"/>
  <c r="BG800" i="94"/>
  <c r="AQ800" i="94"/>
  <c r="AA800" i="94"/>
  <c r="MO800" i="94"/>
  <c r="LV800" i="94"/>
  <c r="KY800" i="94"/>
  <c r="KC800" i="94"/>
  <c r="JJ800" i="94"/>
  <c r="IM800" i="94"/>
  <c r="HQ800" i="94"/>
  <c r="GX800" i="94"/>
  <c r="GA800" i="94"/>
  <c r="FE800" i="94"/>
  <c r="EL800" i="94"/>
  <c r="DQ800" i="94"/>
  <c r="DA800" i="94"/>
  <c r="CK800" i="94"/>
  <c r="BU800" i="94"/>
  <c r="BE800" i="94"/>
  <c r="AO800" i="94"/>
  <c r="Y800" i="94"/>
  <c r="MM800" i="94"/>
  <c r="LQ800" i="94"/>
  <c r="KX800" i="94"/>
  <c r="KA800" i="94"/>
  <c r="JE800" i="94"/>
  <c r="IL800" i="94"/>
  <c r="HO800" i="94"/>
  <c r="GS800" i="94"/>
  <c r="FZ800" i="94"/>
  <c r="FC800" i="94"/>
  <c r="EG800" i="94"/>
  <c r="DO800" i="94"/>
  <c r="CY800" i="94"/>
  <c r="CI800" i="94"/>
  <c r="BS800" i="94"/>
  <c r="BC800" i="94"/>
  <c r="AM800" i="94"/>
  <c r="MG800" i="94"/>
  <c r="LN800" i="94"/>
  <c r="KQ800" i="94"/>
  <c r="JU800" i="94"/>
  <c r="JB800" i="94"/>
  <c r="IE800" i="94"/>
  <c r="HI800" i="94"/>
  <c r="GP800" i="94"/>
  <c r="FS800" i="94"/>
  <c r="EW800" i="94"/>
  <c r="ED800" i="94"/>
  <c r="DK800" i="94"/>
  <c r="CU800" i="94"/>
  <c r="CE800" i="94"/>
  <c r="BO800" i="94"/>
  <c r="AY800" i="94"/>
  <c r="AI800" i="94"/>
  <c r="LG800" i="94"/>
  <c r="IW800" i="94"/>
  <c r="GQ800" i="94"/>
  <c r="ET800" i="94"/>
  <c r="CS800" i="94"/>
  <c r="BB800" i="94"/>
  <c r="KS800" i="94"/>
  <c r="IU800" i="94"/>
  <c r="GK800" i="94"/>
  <c r="EE800" i="94"/>
  <c r="CQ800" i="94"/>
  <c r="AW800" i="94"/>
  <c r="KP800" i="94"/>
  <c r="IG800" i="94"/>
  <c r="GI800" i="94"/>
  <c r="DY800" i="94"/>
  <c r="CH800" i="94"/>
  <c r="AU800" i="94"/>
  <c r="ML800" i="94"/>
  <c r="KK800" i="94"/>
  <c r="ID800" i="94"/>
  <c r="FU800" i="94"/>
  <c r="DW800" i="94"/>
  <c r="CC800" i="94"/>
  <c r="AL800" i="94"/>
  <c r="ME800" i="94"/>
  <c r="JZ800" i="94"/>
  <c r="HY800" i="94"/>
  <c r="FR800" i="94"/>
  <c r="DN800" i="94"/>
  <c r="CA800" i="94"/>
  <c r="AG800" i="94"/>
  <c r="MD800" i="94"/>
  <c r="JS800" i="94"/>
  <c r="HN800" i="94"/>
  <c r="FM800" i="94"/>
  <c r="DI800" i="94"/>
  <c r="BR800" i="94"/>
  <c r="AE800" i="94"/>
  <c r="LI800" i="94"/>
  <c r="JC800" i="94"/>
  <c r="HF800" i="94"/>
  <c r="EU800" i="94"/>
  <c r="CX800" i="94"/>
  <c r="BK800" i="94"/>
  <c r="FB800" i="94"/>
  <c r="DG800" i="94"/>
  <c r="BM800" i="94"/>
  <c r="LO800" i="94"/>
  <c r="HG800" i="94"/>
  <c r="JR800" i="94"/>
  <c r="NC796" i="94"/>
  <c r="MK796" i="94"/>
  <c r="MC796" i="94"/>
  <c r="LU796" i="94"/>
  <c r="LM796" i="94"/>
  <c r="LE796" i="94"/>
  <c r="KW796" i="94"/>
  <c r="KO796" i="94"/>
  <c r="KG796" i="94"/>
  <c r="JY796" i="94"/>
  <c r="JQ796" i="94"/>
  <c r="JI796" i="94"/>
  <c r="JA796" i="94"/>
  <c r="IS796" i="94"/>
  <c r="IK796" i="94"/>
  <c r="IC796" i="94"/>
  <c r="HU796" i="94"/>
  <c r="HM796" i="94"/>
  <c r="HE796" i="94"/>
  <c r="GW796" i="94"/>
  <c r="GO796" i="94"/>
  <c r="GG796" i="94"/>
  <c r="NA796" i="94"/>
  <c r="MI796" i="94"/>
  <c r="MA796" i="94"/>
  <c r="LS796" i="94"/>
  <c r="MZ796" i="94"/>
  <c r="MH796" i="94"/>
  <c r="LZ796" i="94"/>
  <c r="LR796" i="94"/>
  <c r="LJ796" i="94"/>
  <c r="LB796" i="94"/>
  <c r="KT796" i="94"/>
  <c r="KL796" i="94"/>
  <c r="KD796" i="94"/>
  <c r="JV796" i="94"/>
  <c r="JN796" i="94"/>
  <c r="JF796" i="94"/>
  <c r="IX796" i="94"/>
  <c r="IP796" i="94"/>
  <c r="IH796" i="94"/>
  <c r="HZ796" i="94"/>
  <c r="HR796" i="94"/>
  <c r="HJ796" i="94"/>
  <c r="HB796" i="94"/>
  <c r="GT796" i="94"/>
  <c r="GL796" i="94"/>
  <c r="GD796" i="94"/>
  <c r="MN796" i="94"/>
  <c r="MF796" i="94"/>
  <c r="LX796" i="94"/>
  <c r="LP796" i="94"/>
  <c r="ML796" i="94"/>
  <c r="LV796" i="94"/>
  <c r="LH796" i="94"/>
  <c r="KX796" i="94"/>
  <c r="KM796" i="94"/>
  <c r="KB796" i="94"/>
  <c r="JR796" i="94"/>
  <c r="JG796" i="94"/>
  <c r="IV796" i="94"/>
  <c r="IL796" i="94"/>
  <c r="IA796" i="94"/>
  <c r="HP796" i="94"/>
  <c r="HF796" i="94"/>
  <c r="GU796" i="94"/>
  <c r="GJ796" i="94"/>
  <c r="FZ796" i="94"/>
  <c r="FR796" i="94"/>
  <c r="FJ796" i="94"/>
  <c r="FB796" i="94"/>
  <c r="ET796" i="94"/>
  <c r="EL796" i="94"/>
  <c r="ED796" i="94"/>
  <c r="DV796" i="94"/>
  <c r="DN796" i="94"/>
  <c r="DF796" i="94"/>
  <c r="CX796" i="94"/>
  <c r="CP796" i="94"/>
  <c r="CH796" i="94"/>
  <c r="BZ796" i="94"/>
  <c r="BR796" i="94"/>
  <c r="BJ796" i="94"/>
  <c r="BB796" i="94"/>
  <c r="AT796" i="94"/>
  <c r="AL796" i="94"/>
  <c r="AD796" i="94"/>
  <c r="MJ796" i="94"/>
  <c r="LT796" i="94"/>
  <c r="LG796" i="94"/>
  <c r="KV796" i="94"/>
  <c r="KK796" i="94"/>
  <c r="KA796" i="94"/>
  <c r="JP796" i="94"/>
  <c r="JE796" i="94"/>
  <c r="IU796" i="94"/>
  <c r="IJ796" i="94"/>
  <c r="HY796" i="94"/>
  <c r="HO796" i="94"/>
  <c r="HD796" i="94"/>
  <c r="GS796" i="94"/>
  <c r="GI796" i="94"/>
  <c r="FY796" i="94"/>
  <c r="FQ796" i="94"/>
  <c r="FI796" i="94"/>
  <c r="FA796" i="94"/>
  <c r="ES796" i="94"/>
  <c r="EK796" i="94"/>
  <c r="EC796" i="94"/>
  <c r="DU796" i="94"/>
  <c r="DM796" i="94"/>
  <c r="DE796" i="94"/>
  <c r="CW796" i="94"/>
  <c r="CO796" i="94"/>
  <c r="CG796" i="94"/>
  <c r="BY796" i="94"/>
  <c r="BQ796" i="94"/>
  <c r="BI796" i="94"/>
  <c r="BA796" i="94"/>
  <c r="AS796" i="94"/>
  <c r="AK796" i="94"/>
  <c r="AC796" i="94"/>
  <c r="MG796" i="94"/>
  <c r="LQ796" i="94"/>
  <c r="LF796" i="94"/>
  <c r="KU796" i="94"/>
  <c r="KJ796" i="94"/>
  <c r="JZ796" i="94"/>
  <c r="JO796" i="94"/>
  <c r="JD796" i="94"/>
  <c r="IT796" i="94"/>
  <c r="II796" i="94"/>
  <c r="HX796" i="94"/>
  <c r="HN796" i="94"/>
  <c r="HC796" i="94"/>
  <c r="GR796" i="94"/>
  <c r="GH796" i="94"/>
  <c r="FX796" i="94"/>
  <c r="FP796" i="94"/>
  <c r="FH796" i="94"/>
  <c r="EZ796" i="94"/>
  <c r="ER796" i="94"/>
  <c r="EJ796" i="94"/>
  <c r="EB796" i="94"/>
  <c r="DT796" i="94"/>
  <c r="DL796" i="94"/>
  <c r="DD796" i="94"/>
  <c r="CV796" i="94"/>
  <c r="CN796" i="94"/>
  <c r="CF796" i="94"/>
  <c r="BX796" i="94"/>
  <c r="BP796" i="94"/>
  <c r="BH796" i="94"/>
  <c r="AZ796" i="94"/>
  <c r="AR796" i="94"/>
  <c r="ME796" i="94"/>
  <c r="LO796" i="94"/>
  <c r="LD796" i="94"/>
  <c r="KS796" i="94"/>
  <c r="KI796" i="94"/>
  <c r="JX796" i="94"/>
  <c r="JM796" i="94"/>
  <c r="JC796" i="94"/>
  <c r="IR796" i="94"/>
  <c r="IG796" i="94"/>
  <c r="HW796" i="94"/>
  <c r="HL796" i="94"/>
  <c r="HA796" i="94"/>
  <c r="GQ796" i="94"/>
  <c r="GF796" i="94"/>
  <c r="FW796" i="94"/>
  <c r="FO796" i="94"/>
  <c r="FG796" i="94"/>
  <c r="EY796" i="94"/>
  <c r="EQ796" i="94"/>
  <c r="EI796" i="94"/>
  <c r="EA796" i="94"/>
  <c r="DS796" i="94"/>
  <c r="DK796" i="94"/>
  <c r="DC796" i="94"/>
  <c r="CU796" i="94"/>
  <c r="CM796" i="94"/>
  <c r="CE796" i="94"/>
  <c r="BW796" i="94"/>
  <c r="BO796" i="94"/>
  <c r="BG796" i="94"/>
  <c r="AY796" i="94"/>
  <c r="AQ796" i="94"/>
  <c r="ND796" i="94"/>
  <c r="MD796" i="94"/>
  <c r="LN796" i="94"/>
  <c r="LC796" i="94"/>
  <c r="KR796" i="94"/>
  <c r="KH796" i="94"/>
  <c r="JW796" i="94"/>
  <c r="JL796" i="94"/>
  <c r="JB796" i="94"/>
  <c r="IQ796" i="94"/>
  <c r="IF796" i="94"/>
  <c r="HV796" i="94"/>
  <c r="HK796" i="94"/>
  <c r="GZ796" i="94"/>
  <c r="GP796" i="94"/>
  <c r="GE796" i="94"/>
  <c r="FV796" i="94"/>
  <c r="FN796" i="94"/>
  <c r="FF796" i="94"/>
  <c r="EX796" i="94"/>
  <c r="EP796" i="94"/>
  <c r="EH796" i="94"/>
  <c r="DZ796" i="94"/>
  <c r="DR796" i="94"/>
  <c r="NB796" i="94"/>
  <c r="MB796" i="94"/>
  <c r="LL796" i="94"/>
  <c r="LA796" i="94"/>
  <c r="KQ796" i="94"/>
  <c r="KF796" i="94"/>
  <c r="JU796" i="94"/>
  <c r="JK796" i="94"/>
  <c r="IZ796" i="94"/>
  <c r="MM796" i="94"/>
  <c r="LW796" i="94"/>
  <c r="LI796" i="94"/>
  <c r="KY796" i="94"/>
  <c r="KN796" i="94"/>
  <c r="KC796" i="94"/>
  <c r="JS796" i="94"/>
  <c r="JH796" i="94"/>
  <c r="IW796" i="94"/>
  <c r="IM796" i="94"/>
  <c r="IB796" i="94"/>
  <c r="HQ796" i="94"/>
  <c r="HG796" i="94"/>
  <c r="GV796" i="94"/>
  <c r="GK796" i="94"/>
  <c r="GA796" i="94"/>
  <c r="FS796" i="94"/>
  <c r="FK796" i="94"/>
  <c r="FC796" i="94"/>
  <c r="EU796" i="94"/>
  <c r="EM796" i="94"/>
  <c r="EE796" i="94"/>
  <c r="DW796" i="94"/>
  <c r="DO796" i="94"/>
  <c r="MO796" i="94"/>
  <c r="IY796" i="94"/>
  <c r="HH796" i="94"/>
  <c r="FT796" i="94"/>
  <c r="EN796" i="94"/>
  <c r="DI796" i="94"/>
  <c r="CS796" i="94"/>
  <c r="CC796" i="94"/>
  <c r="BM796" i="94"/>
  <c r="AW796" i="94"/>
  <c r="AI796" i="94"/>
  <c r="Y796" i="94"/>
  <c r="LY796" i="94"/>
  <c r="IO796" i="94"/>
  <c r="GY796" i="94"/>
  <c r="FM796" i="94"/>
  <c r="EG796" i="94"/>
  <c r="DH796" i="94"/>
  <c r="CR796" i="94"/>
  <c r="CB796" i="94"/>
  <c r="BL796" i="94"/>
  <c r="AV796" i="94"/>
  <c r="AH796" i="94"/>
  <c r="X796" i="94"/>
  <c r="LK796" i="94"/>
  <c r="IN796" i="94"/>
  <c r="GX796" i="94"/>
  <c r="FL796" i="94"/>
  <c r="EF796" i="94"/>
  <c r="DG796" i="94"/>
  <c r="CQ796" i="94"/>
  <c r="CA796" i="94"/>
  <c r="BK796" i="94"/>
  <c r="AU796" i="94"/>
  <c r="AG796" i="94"/>
  <c r="KZ796" i="94"/>
  <c r="IE796" i="94"/>
  <c r="GN796" i="94"/>
  <c r="FE796" i="94"/>
  <c r="DY796" i="94"/>
  <c r="DB796" i="94"/>
  <c r="CL796" i="94"/>
  <c r="BV796" i="94"/>
  <c r="BF796" i="94"/>
  <c r="AP796" i="94"/>
  <c r="AF796" i="94"/>
  <c r="KP796" i="94"/>
  <c r="ID796" i="94"/>
  <c r="GM796" i="94"/>
  <c r="FD796" i="94"/>
  <c r="DX796" i="94"/>
  <c r="DA796" i="94"/>
  <c r="CK796" i="94"/>
  <c r="BU796" i="94"/>
  <c r="BE796" i="94"/>
  <c r="AO796" i="94"/>
  <c r="AE796" i="94"/>
  <c r="KE796" i="94"/>
  <c r="HT796" i="94"/>
  <c r="GC796" i="94"/>
  <c r="EW796" i="94"/>
  <c r="DQ796" i="94"/>
  <c r="CZ796" i="94"/>
  <c r="CJ796" i="94"/>
  <c r="BT796" i="94"/>
  <c r="BD796" i="94"/>
  <c r="AN796" i="94"/>
  <c r="AB796" i="94"/>
  <c r="JJ796" i="94"/>
  <c r="HI796" i="94"/>
  <c r="FU796" i="94"/>
  <c r="EO796" i="94"/>
  <c r="DJ796" i="94"/>
  <c r="CT796" i="94"/>
  <c r="CD796" i="94"/>
  <c r="BN796" i="94"/>
  <c r="AX796" i="94"/>
  <c r="AJ796" i="94"/>
  <c r="Z796" i="94"/>
  <c r="DP796" i="94"/>
  <c r="CY796" i="94"/>
  <c r="BS796" i="94"/>
  <c r="JT796" i="94"/>
  <c r="BC796" i="94"/>
  <c r="GB796" i="94"/>
  <c r="AA796" i="94"/>
  <c r="HS796" i="94"/>
  <c r="EV796" i="94"/>
  <c r="CI796" i="94"/>
  <c r="AM796" i="94"/>
  <c r="MJ790" i="94"/>
  <c r="LO790" i="94"/>
  <c r="LG790" i="94"/>
  <c r="KY790" i="94"/>
  <c r="KQ790" i="94"/>
  <c r="KI790" i="94"/>
  <c r="KA790" i="94"/>
  <c r="JS790" i="94"/>
  <c r="JK790" i="94"/>
  <c r="JC790" i="94"/>
  <c r="IU790" i="94"/>
  <c r="IM790" i="94"/>
  <c r="IE790" i="94"/>
  <c r="HR790" i="94"/>
  <c r="GV790" i="94"/>
  <c r="GD790" i="94"/>
  <c r="FG790" i="94"/>
  <c r="EQ790" i="94"/>
  <c r="EE790" i="94"/>
  <c r="AZ790" i="94"/>
  <c r="AJ790" i="94"/>
  <c r="MF790" i="94"/>
  <c r="LN790" i="94"/>
  <c r="LF790" i="94"/>
  <c r="KX790" i="94"/>
  <c r="KP790" i="94"/>
  <c r="KH790" i="94"/>
  <c r="JZ790" i="94"/>
  <c r="JR790" i="94"/>
  <c r="JJ790" i="94"/>
  <c r="JB790" i="94"/>
  <c r="IT790" i="94"/>
  <c r="IL790" i="94"/>
  <c r="ID790" i="94"/>
  <c r="HO790" i="94"/>
  <c r="GT790" i="94"/>
  <c r="GC790" i="94"/>
  <c r="FE790" i="94"/>
  <c r="EO790" i="94"/>
  <c r="ED790" i="94"/>
  <c r="AX790" i="94"/>
  <c r="AH790" i="94"/>
  <c r="NC790" i="94"/>
  <c r="MA790" i="94"/>
  <c r="LL790" i="94"/>
  <c r="LD790" i="94"/>
  <c r="KV790" i="94"/>
  <c r="KN790" i="94"/>
  <c r="KF790" i="94"/>
  <c r="JX790" i="94"/>
  <c r="JP790" i="94"/>
  <c r="JH790" i="94"/>
  <c r="IZ790" i="94"/>
  <c r="IR790" i="94"/>
  <c r="IJ790" i="94"/>
  <c r="IB790" i="94"/>
  <c r="HJ790" i="94"/>
  <c r="GN790" i="94"/>
  <c r="FU790" i="94"/>
  <c r="FA790" i="94"/>
  <c r="EK790" i="94"/>
  <c r="BJ790" i="94"/>
  <c r="AT790" i="94"/>
  <c r="AD790" i="94"/>
  <c r="NB790" i="94"/>
  <c r="LX790" i="94"/>
  <c r="LK790" i="94"/>
  <c r="LC790" i="94"/>
  <c r="KU790" i="94"/>
  <c r="KM790" i="94"/>
  <c r="KE790" i="94"/>
  <c r="JW790" i="94"/>
  <c r="JO790" i="94"/>
  <c r="JG790" i="94"/>
  <c r="IY790" i="94"/>
  <c r="IQ790" i="94"/>
  <c r="II790" i="94"/>
  <c r="IA790" i="94"/>
  <c r="HG790" i="94"/>
  <c r="GL790" i="94"/>
  <c r="FR790" i="94"/>
  <c r="EY790" i="94"/>
  <c r="EI790" i="94"/>
  <c r="BH790" i="94"/>
  <c r="AR790" i="94"/>
  <c r="AB790" i="94"/>
  <c r="MZ790" i="94"/>
  <c r="LS790" i="94"/>
  <c r="LI790" i="94"/>
  <c r="LA790" i="94"/>
  <c r="KS790" i="94"/>
  <c r="KK790" i="94"/>
  <c r="KC790" i="94"/>
  <c r="JU790" i="94"/>
  <c r="JM790" i="94"/>
  <c r="JE790" i="94"/>
  <c r="IW790" i="94"/>
  <c r="IO790" i="94"/>
  <c r="IG790" i="94"/>
  <c r="HW790" i="94"/>
  <c r="HB790" i="94"/>
  <c r="GF790" i="94"/>
  <c r="FM790" i="94"/>
  <c r="EU790" i="94"/>
  <c r="EG790" i="94"/>
  <c r="BD790" i="94"/>
  <c r="AN790" i="94"/>
  <c r="X790" i="94"/>
  <c r="LV790" i="94"/>
  <c r="KW790" i="94"/>
  <c r="KB790" i="94"/>
  <c r="JF790" i="94"/>
  <c r="IK790" i="94"/>
  <c r="GY790" i="94"/>
  <c r="EW790" i="94"/>
  <c r="AV790" i="94"/>
  <c r="LP790" i="94"/>
  <c r="KT790" i="94"/>
  <c r="JY790" i="94"/>
  <c r="JD790" i="94"/>
  <c r="IH790" i="94"/>
  <c r="GQ790" i="94"/>
  <c r="ES790" i="94"/>
  <c r="AP790" i="94"/>
  <c r="LM790" i="94"/>
  <c r="KR790" i="94"/>
  <c r="JV790" i="94"/>
  <c r="JA790" i="94"/>
  <c r="IF790" i="94"/>
  <c r="GI790" i="94"/>
  <c r="EM790" i="94"/>
  <c r="AL790" i="94"/>
  <c r="LJ790" i="94"/>
  <c r="KO790" i="94"/>
  <c r="JT790" i="94"/>
  <c r="IX790" i="94"/>
  <c r="IC790" i="94"/>
  <c r="GE790" i="94"/>
  <c r="EH790" i="94"/>
  <c r="AF790" i="94"/>
  <c r="ND790" i="94"/>
  <c r="LH790" i="94"/>
  <c r="KL790" i="94"/>
  <c r="JQ790" i="94"/>
  <c r="IV790" i="94"/>
  <c r="HZ790" i="94"/>
  <c r="GB790" i="94"/>
  <c r="EF790" i="94"/>
  <c r="Z790" i="94"/>
  <c r="NA790" i="94"/>
  <c r="LE790" i="94"/>
  <c r="KJ790" i="94"/>
  <c r="JN790" i="94"/>
  <c r="IS790" i="94"/>
  <c r="HT790" i="94"/>
  <c r="FO790" i="94"/>
  <c r="CL790" i="94"/>
  <c r="MD790" i="94"/>
  <c r="KZ790" i="94"/>
  <c r="KD790" i="94"/>
  <c r="JI790" i="94"/>
  <c r="IN790" i="94"/>
  <c r="HD790" i="94"/>
  <c r="FC790" i="94"/>
  <c r="BB790" i="94"/>
  <c r="IP790" i="94"/>
  <c r="HL790" i="94"/>
  <c r="FJ790" i="94"/>
  <c r="BF790" i="94"/>
  <c r="MN790" i="94"/>
  <c r="NB784" i="94"/>
  <c r="MJ784" i="94"/>
  <c r="MB784" i="94"/>
  <c r="LT784" i="94"/>
  <c r="LL784" i="94"/>
  <c r="LD784" i="94"/>
  <c r="KV784" i="94"/>
  <c r="KN784" i="94"/>
  <c r="KF784" i="94"/>
  <c r="JX784" i="94"/>
  <c r="JP784" i="94"/>
  <c r="JH784" i="94"/>
  <c r="IZ784" i="94"/>
  <c r="IR784" i="94"/>
  <c r="IJ784" i="94"/>
  <c r="IB784" i="94"/>
  <c r="HT784" i="94"/>
  <c r="HL784" i="94"/>
  <c r="HD784" i="94"/>
  <c r="GV784" i="94"/>
  <c r="NA784" i="94"/>
  <c r="MI784" i="94"/>
  <c r="MA784" i="94"/>
  <c r="LS784" i="94"/>
  <c r="LK784" i="94"/>
  <c r="LC784" i="94"/>
  <c r="KU784" i="94"/>
  <c r="KM784" i="94"/>
  <c r="KE784" i="94"/>
  <c r="JW784" i="94"/>
  <c r="JO784" i="94"/>
  <c r="JG784" i="94"/>
  <c r="IY784" i="94"/>
  <c r="IQ784" i="94"/>
  <c r="II784" i="94"/>
  <c r="IA784" i="94"/>
  <c r="HS784" i="94"/>
  <c r="HK784" i="94"/>
  <c r="HC784" i="94"/>
  <c r="GU784" i="94"/>
  <c r="GM784" i="94"/>
  <c r="GE784" i="94"/>
  <c r="FW784" i="94"/>
  <c r="FO784" i="94"/>
  <c r="FG784" i="94"/>
  <c r="EY784" i="94"/>
  <c r="EQ784" i="94"/>
  <c r="EI784" i="94"/>
  <c r="EA784" i="94"/>
  <c r="DS784" i="94"/>
  <c r="DK784" i="94"/>
  <c r="DC784" i="94"/>
  <c r="CU784" i="94"/>
  <c r="CM784" i="94"/>
  <c r="CE784" i="94"/>
  <c r="BW784" i="94"/>
  <c r="BO784" i="94"/>
  <c r="BG784" i="94"/>
  <c r="AY784" i="94"/>
  <c r="AQ784" i="94"/>
  <c r="AI784" i="94"/>
  <c r="AA784" i="94"/>
  <c r="MO784" i="94"/>
  <c r="MG784" i="94"/>
  <c r="LY784" i="94"/>
  <c r="LQ784" i="94"/>
  <c r="LI784" i="94"/>
  <c r="LA784" i="94"/>
  <c r="KS784" i="94"/>
  <c r="KK784" i="94"/>
  <c r="KC784" i="94"/>
  <c r="JU784" i="94"/>
  <c r="JM784" i="94"/>
  <c r="JE784" i="94"/>
  <c r="IW784" i="94"/>
  <c r="IO784" i="94"/>
  <c r="IG784" i="94"/>
  <c r="HY784" i="94"/>
  <c r="HQ784" i="94"/>
  <c r="HI784" i="94"/>
  <c r="HA784" i="94"/>
  <c r="GS784" i="94"/>
  <c r="GK784" i="94"/>
  <c r="GC784" i="94"/>
  <c r="FU784" i="94"/>
  <c r="FM784" i="94"/>
  <c r="FE784" i="94"/>
  <c r="EW784" i="94"/>
  <c r="EO784" i="94"/>
  <c r="EG784" i="94"/>
  <c r="DY784" i="94"/>
  <c r="DQ784" i="94"/>
  <c r="DI784" i="94"/>
  <c r="DA784" i="94"/>
  <c r="CS784" i="94"/>
  <c r="CK784" i="94"/>
  <c r="CC784" i="94"/>
  <c r="BU784" i="94"/>
  <c r="BM784" i="94"/>
  <c r="BE784" i="94"/>
  <c r="AW784" i="94"/>
  <c r="AO784" i="94"/>
  <c r="AG784" i="94"/>
  <c r="Y784" i="94"/>
  <c r="MN784" i="94"/>
  <c r="MF784" i="94"/>
  <c r="LX784" i="94"/>
  <c r="LP784" i="94"/>
  <c r="LH784" i="94"/>
  <c r="KZ784" i="94"/>
  <c r="KR784" i="94"/>
  <c r="KJ784" i="94"/>
  <c r="KB784" i="94"/>
  <c r="JT784" i="94"/>
  <c r="JL784" i="94"/>
  <c r="JD784" i="94"/>
  <c r="IV784" i="94"/>
  <c r="IN784" i="94"/>
  <c r="IF784" i="94"/>
  <c r="HX784" i="94"/>
  <c r="HP784" i="94"/>
  <c r="HH784" i="94"/>
  <c r="GZ784" i="94"/>
  <c r="GR784" i="94"/>
  <c r="GJ784" i="94"/>
  <c r="GB784" i="94"/>
  <c r="FT784" i="94"/>
  <c r="FL784" i="94"/>
  <c r="FD784" i="94"/>
  <c r="EV784" i="94"/>
  <c r="EN784" i="94"/>
  <c r="EF784" i="94"/>
  <c r="DX784" i="94"/>
  <c r="DP784" i="94"/>
  <c r="DH784" i="94"/>
  <c r="CZ784" i="94"/>
  <c r="CR784" i="94"/>
  <c r="CJ784" i="94"/>
  <c r="CB784" i="94"/>
  <c r="BT784" i="94"/>
  <c r="BL784" i="94"/>
  <c r="BD784" i="94"/>
  <c r="AV784" i="94"/>
  <c r="AN784" i="94"/>
  <c r="AF784" i="94"/>
  <c r="X784" i="94"/>
  <c r="ND784" i="94"/>
  <c r="ML784" i="94"/>
  <c r="MD784" i="94"/>
  <c r="LV784" i="94"/>
  <c r="LN784" i="94"/>
  <c r="LF784" i="94"/>
  <c r="KX784" i="94"/>
  <c r="KP784" i="94"/>
  <c r="KH784" i="94"/>
  <c r="JZ784" i="94"/>
  <c r="JR784" i="94"/>
  <c r="JJ784" i="94"/>
  <c r="JB784" i="94"/>
  <c r="IT784" i="94"/>
  <c r="IL784" i="94"/>
  <c r="ID784" i="94"/>
  <c r="HV784" i="94"/>
  <c r="HN784" i="94"/>
  <c r="HF784" i="94"/>
  <c r="GX784" i="94"/>
  <c r="GP784" i="94"/>
  <c r="GH784" i="94"/>
  <c r="FZ784" i="94"/>
  <c r="FR784" i="94"/>
  <c r="FJ784" i="94"/>
  <c r="FB784" i="94"/>
  <c r="ET784" i="94"/>
  <c r="EL784" i="94"/>
  <c r="ED784" i="94"/>
  <c r="DV784" i="94"/>
  <c r="DN784" i="94"/>
  <c r="DF784" i="94"/>
  <c r="CX784" i="94"/>
  <c r="CP784" i="94"/>
  <c r="CH784" i="94"/>
  <c r="BZ784" i="94"/>
  <c r="BR784" i="94"/>
  <c r="BJ784" i="94"/>
  <c r="BB784" i="94"/>
  <c r="AT784" i="94"/>
  <c r="AL784" i="94"/>
  <c r="AD784" i="94"/>
  <c r="MM784" i="94"/>
  <c r="LR784" i="94"/>
  <c r="KW784" i="94"/>
  <c r="KA784" i="94"/>
  <c r="JF784" i="94"/>
  <c r="IK784" i="94"/>
  <c r="HO784" i="94"/>
  <c r="GT784" i="94"/>
  <c r="GD784" i="94"/>
  <c r="FN784" i="94"/>
  <c r="EX784" i="94"/>
  <c r="EH784" i="94"/>
  <c r="DR784" i="94"/>
  <c r="DB784" i="94"/>
  <c r="CL784" i="94"/>
  <c r="BV784" i="94"/>
  <c r="BF784" i="94"/>
  <c r="AP784" i="94"/>
  <c r="Z784" i="94"/>
  <c r="MK784" i="94"/>
  <c r="LO784" i="94"/>
  <c r="KT784" i="94"/>
  <c r="JY784" i="94"/>
  <c r="JC784" i="94"/>
  <c r="IH784" i="94"/>
  <c r="HM784" i="94"/>
  <c r="GQ784" i="94"/>
  <c r="GA784" i="94"/>
  <c r="FK784" i="94"/>
  <c r="EU784" i="94"/>
  <c r="EE784" i="94"/>
  <c r="DO784" i="94"/>
  <c r="CY784" i="94"/>
  <c r="CI784" i="94"/>
  <c r="BS784" i="94"/>
  <c r="BC784" i="94"/>
  <c r="AM784" i="94"/>
  <c r="MH784" i="94"/>
  <c r="LM784" i="94"/>
  <c r="KQ784" i="94"/>
  <c r="JV784" i="94"/>
  <c r="JA784" i="94"/>
  <c r="IE784" i="94"/>
  <c r="HJ784" i="94"/>
  <c r="GO784" i="94"/>
  <c r="FY784" i="94"/>
  <c r="FI784" i="94"/>
  <c r="ES784" i="94"/>
  <c r="EC784" i="94"/>
  <c r="DM784" i="94"/>
  <c r="CW784" i="94"/>
  <c r="CG784" i="94"/>
  <c r="BQ784" i="94"/>
  <c r="BA784" i="94"/>
  <c r="AK784" i="94"/>
  <c r="ME784" i="94"/>
  <c r="LJ784" i="94"/>
  <c r="KO784" i="94"/>
  <c r="JS784" i="94"/>
  <c r="IX784" i="94"/>
  <c r="IC784" i="94"/>
  <c r="HG784" i="94"/>
  <c r="GN784" i="94"/>
  <c r="FX784" i="94"/>
  <c r="FH784" i="94"/>
  <c r="ER784" i="94"/>
  <c r="EB784" i="94"/>
  <c r="DL784" i="94"/>
  <c r="CV784" i="94"/>
  <c r="CF784" i="94"/>
  <c r="BP784" i="94"/>
  <c r="AZ784" i="94"/>
  <c r="AJ784" i="94"/>
  <c r="MC784" i="94"/>
  <c r="LG784" i="94"/>
  <c r="KL784" i="94"/>
  <c r="JQ784" i="94"/>
  <c r="IU784" i="94"/>
  <c r="HZ784" i="94"/>
  <c r="HE784" i="94"/>
  <c r="GL784" i="94"/>
  <c r="FV784" i="94"/>
  <c r="FF784" i="94"/>
  <c r="EP784" i="94"/>
  <c r="DZ784" i="94"/>
  <c r="DJ784" i="94"/>
  <c r="CT784" i="94"/>
  <c r="CD784" i="94"/>
  <c r="BN784" i="94"/>
  <c r="AX784" i="94"/>
  <c r="AH784" i="94"/>
  <c r="HF779"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IC780" i="94"/>
  <c r="IK780" i="94"/>
  <c r="IS780" i="94"/>
  <c r="JA780" i="94"/>
  <c r="JI780" i="94"/>
  <c r="JQ780" i="94"/>
  <c r="KA780" i="94"/>
  <c r="KK780" i="94"/>
  <c r="KW780" i="94"/>
  <c r="LG780" i="94"/>
  <c r="LQ780" i="94"/>
  <c r="MC780" i="94"/>
  <c r="MM780" i="94"/>
  <c r="AB781" i="94"/>
  <c r="AZ781" i="94"/>
  <c r="CI781" i="94"/>
  <c r="EN781" i="94"/>
  <c r="FT781" i="94"/>
  <c r="AA782" i="94"/>
  <c r="AQ782" i="94"/>
  <c r="BG782" i="94"/>
  <c r="EK782" i="94"/>
  <c r="FA782" i="94"/>
  <c r="FQ782" i="94"/>
  <c r="GK782" i="94"/>
  <c r="HA782" i="94"/>
  <c r="HQ782" i="94"/>
  <c r="LT782" i="94"/>
  <c r="Z783" i="94"/>
  <c r="EK783" i="94"/>
  <c r="FT783" i="94"/>
  <c r="AS784" i="94"/>
  <c r="CN784" i="94"/>
  <c r="DW784" i="94"/>
  <c r="FQ784" i="94"/>
  <c r="HR784" i="94"/>
  <c r="JN784" i="94"/>
  <c r="LW784" i="94"/>
  <c r="BJ785" i="94"/>
  <c r="DF785" i="94"/>
  <c r="BA786" i="94"/>
  <c r="CW786" i="94"/>
  <c r="FH786" i="94"/>
  <c r="IC786" i="94"/>
  <c r="AC787" i="94"/>
  <c r="AY788" i="94"/>
  <c r="DI788" i="94"/>
  <c r="FE788" i="94"/>
  <c r="JM788" i="94"/>
  <c r="IY792" i="94"/>
  <c r="AV810" i="94"/>
  <c r="AD810" i="94"/>
  <c r="LY810" i="94"/>
  <c r="DE810" i="94"/>
  <c r="LU810" i="94"/>
  <c r="MK804" i="94"/>
  <c r="KV804" i="94"/>
  <c r="JC804" i="94"/>
  <c r="HP804" i="94"/>
  <c r="GJ804" i="94"/>
  <c r="FI804" i="94"/>
  <c r="EJ804" i="94"/>
  <c r="DI804" i="94"/>
  <c r="CJ804" i="94"/>
  <c r="BL804" i="94"/>
  <c r="AQ804" i="94"/>
  <c r="ME804" i="94"/>
  <c r="KO804" i="94"/>
  <c r="IZ804" i="94"/>
  <c r="HM804" i="94"/>
  <c r="GG804" i="94"/>
  <c r="FE804" i="94"/>
  <c r="EF804" i="94"/>
  <c r="DG804" i="94"/>
  <c r="CG804" i="94"/>
  <c r="BI804" i="94"/>
  <c r="AN804" i="94"/>
  <c r="MC804" i="94"/>
  <c r="KN804" i="94"/>
  <c r="IU804" i="94"/>
  <c r="HL804" i="94"/>
  <c r="GF804" i="94"/>
  <c r="FD804" i="94"/>
  <c r="EE804" i="94"/>
  <c r="DE804" i="94"/>
  <c r="CF804" i="94"/>
  <c r="BH804" i="94"/>
  <c r="AM804" i="94"/>
  <c r="LT804" i="94"/>
  <c r="KA804" i="94"/>
  <c r="IK804" i="94"/>
  <c r="HD804" i="94"/>
  <c r="FX804" i="94"/>
  <c r="EW804" i="94"/>
  <c r="DX804" i="94"/>
  <c r="CY804" i="94"/>
  <c r="BY804" i="94"/>
  <c r="BC804" i="94"/>
  <c r="AG804" i="94"/>
  <c r="LO804" i="94"/>
  <c r="JY804" i="94"/>
  <c r="IJ804" i="94"/>
  <c r="GZ804" i="94"/>
  <c r="FU804" i="94"/>
  <c r="EV804" i="94"/>
  <c r="DW804" i="94"/>
  <c r="CW804" i="94"/>
  <c r="BX804" i="94"/>
  <c r="BA804" i="94"/>
  <c r="AF804" i="94"/>
  <c r="LL804" i="94"/>
  <c r="JS804" i="94"/>
  <c r="IC804" i="94"/>
  <c r="GW804" i="94"/>
  <c r="FS804" i="94"/>
  <c r="ES804" i="94"/>
  <c r="DT804" i="94"/>
  <c r="CS804" i="94"/>
  <c r="BT804" i="94"/>
  <c r="AY804" i="94"/>
  <c r="AC804" i="94"/>
  <c r="MM804" i="94"/>
  <c r="KW804" i="94"/>
  <c r="JH804" i="94"/>
  <c r="HT804" i="94"/>
  <c r="GN804" i="94"/>
  <c r="FK804" i="94"/>
  <c r="EK804" i="94"/>
  <c r="DL804" i="94"/>
  <c r="CK804" i="94"/>
  <c r="BM804" i="94"/>
  <c r="AR804" i="94"/>
  <c r="AA804" i="94"/>
  <c r="CR804" i="94"/>
  <c r="LG804" i="94"/>
  <c r="BS804" i="94"/>
  <c r="JQ804" i="94"/>
  <c r="AW804" i="94"/>
  <c r="IB804" i="94"/>
  <c r="AB804" i="94"/>
  <c r="FQ804" i="94"/>
  <c r="GV804" i="94"/>
  <c r="DQ804" i="94"/>
  <c r="ER804" i="94"/>
  <c r="NC798" i="94"/>
  <c r="NA798" i="94"/>
  <c r="MI798" i="94"/>
  <c r="MA798" i="94"/>
  <c r="LS798" i="94"/>
  <c r="LK798" i="94"/>
  <c r="LC798" i="94"/>
  <c r="KU798" i="94"/>
  <c r="KM798" i="94"/>
  <c r="KE798" i="94"/>
  <c r="JW798" i="94"/>
  <c r="JO798" i="94"/>
  <c r="JG798" i="94"/>
  <c r="IY798" i="94"/>
  <c r="IQ798" i="94"/>
  <c r="II798" i="94"/>
  <c r="IA798" i="94"/>
  <c r="HS798" i="94"/>
  <c r="HK798" i="94"/>
  <c r="HC798" i="94"/>
  <c r="GU798" i="94"/>
  <c r="GM798" i="94"/>
  <c r="GE798" i="94"/>
  <c r="FR798" i="94"/>
  <c r="FJ798" i="94"/>
  <c r="FB798" i="94"/>
  <c r="ET798" i="94"/>
  <c r="EL798" i="94"/>
  <c r="ED798" i="94"/>
  <c r="BD798" i="94"/>
  <c r="AV798" i="94"/>
  <c r="AN798" i="94"/>
  <c r="AF798" i="94"/>
  <c r="X798" i="94"/>
  <c r="MZ798" i="94"/>
  <c r="MH798" i="94"/>
  <c r="LZ798" i="94"/>
  <c r="LR798" i="94"/>
  <c r="LJ798" i="94"/>
  <c r="LB798" i="94"/>
  <c r="KT798" i="94"/>
  <c r="KL798" i="94"/>
  <c r="KD798" i="94"/>
  <c r="JV798" i="94"/>
  <c r="JN798" i="94"/>
  <c r="JF798" i="94"/>
  <c r="IX798" i="94"/>
  <c r="IP798" i="94"/>
  <c r="IH798" i="94"/>
  <c r="HZ798" i="94"/>
  <c r="HR798" i="94"/>
  <c r="HJ798" i="94"/>
  <c r="HB798" i="94"/>
  <c r="GT798" i="94"/>
  <c r="GL798" i="94"/>
  <c r="GD798" i="94"/>
  <c r="FQ798" i="94"/>
  <c r="FI798" i="94"/>
  <c r="FA798" i="94"/>
  <c r="ES798" i="94"/>
  <c r="EK798" i="94"/>
  <c r="BK798" i="94"/>
  <c r="BC798" i="94"/>
  <c r="AU798" i="94"/>
  <c r="AM798" i="94"/>
  <c r="AE798" i="94"/>
  <c r="MO798" i="94"/>
  <c r="MG798" i="94"/>
  <c r="LY798" i="94"/>
  <c r="LQ798" i="94"/>
  <c r="LI798" i="94"/>
  <c r="LA798" i="94"/>
  <c r="KS798" i="94"/>
  <c r="KK798" i="94"/>
  <c r="KC798" i="94"/>
  <c r="JU798" i="94"/>
  <c r="JM798" i="94"/>
  <c r="JE798" i="94"/>
  <c r="IW798" i="94"/>
  <c r="IO798" i="94"/>
  <c r="IG798" i="94"/>
  <c r="HY798" i="94"/>
  <c r="HQ798" i="94"/>
  <c r="HI798" i="94"/>
  <c r="HA798" i="94"/>
  <c r="GS798" i="94"/>
  <c r="GK798" i="94"/>
  <c r="GC798" i="94"/>
  <c r="FP798" i="94"/>
  <c r="FH798" i="94"/>
  <c r="EZ798" i="94"/>
  <c r="ER798" i="94"/>
  <c r="EJ798" i="94"/>
  <c r="BJ798" i="94"/>
  <c r="BB798" i="94"/>
  <c r="AT798" i="94"/>
  <c r="AL798" i="94"/>
  <c r="AD798" i="94"/>
  <c r="MN798" i="94"/>
  <c r="MF798" i="94"/>
  <c r="LX798" i="94"/>
  <c r="LP798" i="94"/>
  <c r="LH798" i="94"/>
  <c r="KZ798" i="94"/>
  <c r="KR798" i="94"/>
  <c r="KJ798" i="94"/>
  <c r="KB798" i="94"/>
  <c r="JT798" i="94"/>
  <c r="JL798" i="94"/>
  <c r="JD798" i="94"/>
  <c r="IV798" i="94"/>
  <c r="IN798" i="94"/>
  <c r="IF798" i="94"/>
  <c r="HX798" i="94"/>
  <c r="HP798" i="94"/>
  <c r="HH798" i="94"/>
  <c r="GZ798" i="94"/>
  <c r="GR798" i="94"/>
  <c r="GJ798" i="94"/>
  <c r="GB798" i="94"/>
  <c r="FO798" i="94"/>
  <c r="FG798" i="94"/>
  <c r="EY798" i="94"/>
  <c r="EQ798" i="94"/>
  <c r="EI798" i="94"/>
  <c r="BI798" i="94"/>
  <c r="BA798" i="94"/>
  <c r="AS798" i="94"/>
  <c r="AK798" i="94"/>
  <c r="AC798" i="94"/>
  <c r="ML798" i="94"/>
  <c r="MD798" i="94"/>
  <c r="LV798" i="94"/>
  <c r="LN798" i="94"/>
  <c r="LF798" i="94"/>
  <c r="KX798" i="94"/>
  <c r="KP798" i="94"/>
  <c r="KH798" i="94"/>
  <c r="JZ798" i="94"/>
  <c r="JR798" i="94"/>
  <c r="JJ798" i="94"/>
  <c r="JB798" i="94"/>
  <c r="IT798" i="94"/>
  <c r="IL798" i="94"/>
  <c r="ID798" i="94"/>
  <c r="HV798" i="94"/>
  <c r="HN798" i="94"/>
  <c r="HF798" i="94"/>
  <c r="GX798" i="94"/>
  <c r="GP798" i="94"/>
  <c r="GH798" i="94"/>
  <c r="FU798" i="94"/>
  <c r="FM798" i="94"/>
  <c r="FE798" i="94"/>
  <c r="EW798" i="94"/>
  <c r="EO798" i="94"/>
  <c r="EG798" i="94"/>
  <c r="BG798" i="94"/>
  <c r="AY798" i="94"/>
  <c r="AQ798" i="94"/>
  <c r="AI798" i="94"/>
  <c r="AA798" i="94"/>
  <c r="MB798" i="94"/>
  <c r="LE798" i="94"/>
  <c r="KI798" i="94"/>
  <c r="JP798" i="94"/>
  <c r="IS798" i="94"/>
  <c r="HW798" i="94"/>
  <c r="HD798" i="94"/>
  <c r="GG798" i="94"/>
  <c r="FF798" i="94"/>
  <c r="EM798" i="94"/>
  <c r="AX798" i="94"/>
  <c r="AB798" i="94"/>
  <c r="ND798" i="94"/>
  <c r="LW798" i="94"/>
  <c r="LD798" i="94"/>
  <c r="KG798" i="94"/>
  <c r="JK798" i="94"/>
  <c r="IR798" i="94"/>
  <c r="HU798" i="94"/>
  <c r="GY798" i="94"/>
  <c r="GF798" i="94"/>
  <c r="FD798" i="94"/>
  <c r="EH798" i="94"/>
  <c r="AW798" i="94"/>
  <c r="Z798" i="94"/>
  <c r="NB798" i="94"/>
  <c r="LU798" i="94"/>
  <c r="KY798" i="94"/>
  <c r="KF798" i="94"/>
  <c r="JI798" i="94"/>
  <c r="IM798" i="94"/>
  <c r="HT798" i="94"/>
  <c r="GW798" i="94"/>
  <c r="FV798" i="94"/>
  <c r="FC798" i="94"/>
  <c r="EF798" i="94"/>
  <c r="AR798" i="94"/>
  <c r="Y798" i="94"/>
  <c r="MM798" i="94"/>
  <c r="LT798" i="94"/>
  <c r="KW798" i="94"/>
  <c r="KA798" i="94"/>
  <c r="JH798" i="94"/>
  <c r="IK798" i="94"/>
  <c r="HO798" i="94"/>
  <c r="GV798" i="94"/>
  <c r="FT798" i="94"/>
  <c r="EX798" i="94"/>
  <c r="EE798" i="94"/>
  <c r="AP798" i="94"/>
  <c r="MK798" i="94"/>
  <c r="LO798" i="94"/>
  <c r="KV798" i="94"/>
  <c r="JY798" i="94"/>
  <c r="JC798" i="94"/>
  <c r="IJ798" i="94"/>
  <c r="HM798" i="94"/>
  <c r="GQ798" i="94"/>
  <c r="FS798" i="94"/>
  <c r="EV798" i="94"/>
  <c r="BH798" i="94"/>
  <c r="AO798" i="94"/>
  <c r="MJ798" i="94"/>
  <c r="LM798" i="94"/>
  <c r="KQ798" i="94"/>
  <c r="JX798" i="94"/>
  <c r="JA798" i="94"/>
  <c r="IE798" i="94"/>
  <c r="HL798" i="94"/>
  <c r="GO798" i="94"/>
  <c r="FN798" i="94"/>
  <c r="EU798" i="94"/>
  <c r="BF798" i="94"/>
  <c r="AJ798" i="94"/>
  <c r="MC798" i="94"/>
  <c r="LG798" i="94"/>
  <c r="KN798" i="94"/>
  <c r="JQ798" i="94"/>
  <c r="IU798" i="94"/>
  <c r="IB798" i="94"/>
  <c r="HE798" i="94"/>
  <c r="GI798" i="94"/>
  <c r="FK798" i="94"/>
  <c r="EN798" i="94"/>
  <c r="AZ798" i="94"/>
  <c r="AG798" i="94"/>
  <c r="KO798" i="94"/>
  <c r="BE798" i="94"/>
  <c r="JS798" i="94"/>
  <c r="AH798" i="94"/>
  <c r="IZ798" i="94"/>
  <c r="IC798" i="94"/>
  <c r="HG798" i="94"/>
  <c r="GN798" i="94"/>
  <c r="LL798" i="94"/>
  <c r="EP798" i="94"/>
  <c r="ME798" i="94"/>
  <c r="FL798" i="94"/>
  <c r="LU791" i="94"/>
  <c r="GB791" i="94"/>
  <c r="ET791" i="94"/>
  <c r="BI791" i="94"/>
  <c r="AC791" i="94"/>
  <c r="LQ791" i="94"/>
  <c r="FV791" i="94"/>
  <c r="EP791" i="94"/>
  <c r="BE791" i="94"/>
  <c r="Y791" i="94"/>
  <c r="HG791" i="94"/>
  <c r="FN791" i="94"/>
  <c r="EH791" i="94"/>
  <c r="AW791" i="94"/>
  <c r="GF791" i="94"/>
  <c r="FJ791" i="94"/>
  <c r="EG791" i="94"/>
  <c r="AS791" i="94"/>
  <c r="GD791" i="94"/>
  <c r="FB791" i="94"/>
  <c r="EE791" i="94"/>
  <c r="AK791" i="94"/>
  <c r="ID791" i="94"/>
  <c r="ED791" i="94"/>
  <c r="GE791" i="94"/>
  <c r="BA791" i="94"/>
  <c r="GC791" i="94"/>
  <c r="AO791" i="94"/>
  <c r="FR791" i="94"/>
  <c r="AG791" i="94"/>
  <c r="FF791" i="94"/>
  <c r="EX791" i="94"/>
  <c r="LY791" i="94"/>
  <c r="EF791" i="94"/>
  <c r="EL791" i="94"/>
  <c r="LV785" i="94"/>
  <c r="GJ785" i="94"/>
  <c r="FY785" i="94"/>
  <c r="FQ785" i="94"/>
  <c r="FI785" i="94"/>
  <c r="FA785" i="94"/>
  <c r="ES785" i="94"/>
  <c r="EK785" i="94"/>
  <c r="EC785" i="94"/>
  <c r="DU785" i="94"/>
  <c r="DM785" i="94"/>
  <c r="DE785" i="94"/>
  <c r="CW785" i="94"/>
  <c r="CO785" i="94"/>
  <c r="CG785" i="94"/>
  <c r="BY785" i="94"/>
  <c r="BQ785" i="94"/>
  <c r="BI785" i="94"/>
  <c r="BA785" i="94"/>
  <c r="AS785" i="94"/>
  <c r="AK785" i="94"/>
  <c r="AC785" i="94"/>
  <c r="LU785" i="94"/>
  <c r="GF785" i="94"/>
  <c r="FX785" i="94"/>
  <c r="FP785" i="94"/>
  <c r="FH785" i="94"/>
  <c r="EZ785" i="94"/>
  <c r="ER785" i="94"/>
  <c r="EJ785" i="94"/>
  <c r="EB785" i="94"/>
  <c r="DT785" i="94"/>
  <c r="DL785" i="94"/>
  <c r="DD785" i="94"/>
  <c r="CV785" i="94"/>
  <c r="CN785" i="94"/>
  <c r="CF785" i="94"/>
  <c r="BX785" i="94"/>
  <c r="BP785" i="94"/>
  <c r="BH785" i="94"/>
  <c r="AZ785" i="94"/>
  <c r="AR785" i="94"/>
  <c r="AJ785" i="94"/>
  <c r="AB785" i="94"/>
  <c r="ML785" i="94"/>
  <c r="LS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Z785" i="94"/>
  <c r="LR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X785" i="94"/>
  <c r="IC785" i="94"/>
  <c r="GA785" i="94"/>
  <c r="FS785" i="94"/>
  <c r="FK785" i="94"/>
  <c r="FC785" i="94"/>
  <c r="EU785" i="94"/>
  <c r="EM785" i="94"/>
  <c r="EE785" i="94"/>
  <c r="DW785" i="94"/>
  <c r="DO785" i="94"/>
  <c r="DG785" i="94"/>
  <c r="CY785" i="94"/>
  <c r="CQ785" i="94"/>
  <c r="CI785" i="94"/>
  <c r="CA785" i="94"/>
  <c r="BS785" i="94"/>
  <c r="BK785" i="94"/>
  <c r="BC785" i="94"/>
  <c r="AU785" i="94"/>
  <c r="AM785" i="94"/>
  <c r="AE785" i="94"/>
  <c r="GE785" i="94"/>
  <c r="FJ785" i="94"/>
  <c r="EN785" i="94"/>
  <c r="DS785" i="94"/>
  <c r="CX785" i="94"/>
  <c r="CB785" i="94"/>
  <c r="BG785" i="94"/>
  <c r="AL785" i="94"/>
  <c r="GB785" i="94"/>
  <c r="FG785" i="94"/>
  <c r="EL785" i="94"/>
  <c r="DP785" i="94"/>
  <c r="CU785" i="94"/>
  <c r="BZ785" i="94"/>
  <c r="BD785" i="94"/>
  <c r="AI785" i="94"/>
  <c r="FZ785" i="94"/>
  <c r="FD785" i="94"/>
  <c r="EI785" i="94"/>
  <c r="DN785" i="94"/>
  <c r="CR785" i="94"/>
  <c r="BW785" i="94"/>
  <c r="BB785" i="94"/>
  <c r="AF785" i="94"/>
  <c r="LY785" i="94"/>
  <c r="FW785" i="94"/>
  <c r="FB785" i="94"/>
  <c r="EF785" i="94"/>
  <c r="DK785" i="94"/>
  <c r="CP785" i="94"/>
  <c r="BT785" i="94"/>
  <c r="AY785" i="94"/>
  <c r="AD785" i="94"/>
  <c r="LW785" i="94"/>
  <c r="FT785" i="94"/>
  <c r="EY785" i="94"/>
  <c r="ED785" i="94"/>
  <c r="DH785" i="94"/>
  <c r="CM785" i="94"/>
  <c r="BR785" i="94"/>
  <c r="AV785" i="94"/>
  <c r="AA785" i="94"/>
  <c r="HH779"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ID780" i="94"/>
  <c r="IL780" i="94"/>
  <c r="IT780" i="94"/>
  <c r="JB780" i="94"/>
  <c r="JJ780" i="94"/>
  <c r="JR780" i="94"/>
  <c r="KB780" i="94"/>
  <c r="KN780" i="94"/>
  <c r="KX780" i="94"/>
  <c r="LH780" i="94"/>
  <c r="LT780" i="94"/>
  <c r="MD780" i="94"/>
  <c r="MN780" i="94"/>
  <c r="AG781" i="94"/>
  <c r="BA781" i="94"/>
  <c r="CJ781" i="94"/>
  <c r="EO781" i="94"/>
  <c r="FU781" i="94"/>
  <c r="AB782" i="94"/>
  <c r="AR782" i="94"/>
  <c r="BH782" i="94"/>
  <c r="EL782" i="94"/>
  <c r="FB782" i="94"/>
  <c r="FR782" i="94"/>
  <c r="GL782" i="94"/>
  <c r="HB782" i="94"/>
  <c r="HR782" i="94"/>
  <c r="LU782" i="94"/>
  <c r="AB783" i="94"/>
  <c r="EL783" i="94"/>
  <c r="LQ783" i="94"/>
  <c r="AU784" i="94"/>
  <c r="CO784" i="94"/>
  <c r="EJ784" i="94"/>
  <c r="FS784" i="94"/>
  <c r="HU784" i="94"/>
  <c r="KD784" i="94"/>
  <c r="LZ784" i="94"/>
  <c r="BL785" i="94"/>
  <c r="DV785" i="94"/>
  <c r="FR785" i="94"/>
  <c r="BD786" i="94"/>
  <c r="DM786" i="94"/>
  <c r="FJ786" i="94"/>
  <c r="IL786" i="94"/>
  <c r="EL787" i="94"/>
  <c r="BB788" i="94"/>
  <c r="DK788" i="94"/>
  <c r="FU788" i="94"/>
  <c r="JU788" i="94"/>
  <c r="KC792" i="94"/>
  <c r="GB793" i="94"/>
  <c r="FB793" i="94"/>
  <c r="DZ793" i="94"/>
  <c r="BN793" i="94"/>
  <c r="GA793" i="94"/>
  <c r="ET793" i="94"/>
  <c r="DR793" i="94"/>
  <c r="BF793" i="94"/>
  <c r="FZ793" i="94"/>
  <c r="EL793" i="94"/>
  <c r="DJ793" i="94"/>
  <c r="AX793" i="94"/>
  <c r="GE793" i="94"/>
  <c r="FW793" i="94"/>
  <c r="EF793" i="94"/>
  <c r="CL793" i="94"/>
  <c r="Z793" i="94"/>
  <c r="FR793" i="94"/>
  <c r="CD793" i="94"/>
  <c r="FJ793" i="94"/>
  <c r="BV793" i="94"/>
  <c r="GF793" i="94"/>
  <c r="EG793" i="94"/>
  <c r="AH793" i="94"/>
  <c r="GD793" i="94"/>
  <c r="EE793" i="94"/>
  <c r="FY793" i="94"/>
  <c r="DB793" i="94"/>
  <c r="EH793" i="94"/>
  <c r="ED793" i="94"/>
  <c r="CT793" i="94"/>
  <c r="AP793" i="94"/>
  <c r="LS793" i="94"/>
  <c r="FX793" i="94"/>
  <c r="GC793" i="94"/>
  <c r="GH779" i="94"/>
  <c r="HN779" i="94"/>
  <c r="AE780" i="94"/>
  <c r="AM780" i="94"/>
  <c r="AU780" i="94"/>
  <c r="BC780" i="94"/>
  <c r="BK780" i="94"/>
  <c r="BS780" i="94"/>
  <c r="CA780" i="94"/>
  <c r="CI780" i="94"/>
  <c r="CQ780" i="94"/>
  <c r="CY780" i="94"/>
  <c r="DG780" i="94"/>
  <c r="DO780" i="94"/>
  <c r="DW780" i="94"/>
  <c r="EE780" i="94"/>
  <c r="EM780" i="94"/>
  <c r="EU780" i="94"/>
  <c r="FC780" i="94"/>
  <c r="FK780" i="94"/>
  <c r="FS780" i="94"/>
  <c r="GA780" i="94"/>
  <c r="GI780" i="94"/>
  <c r="GQ780" i="94"/>
  <c r="GY780" i="94"/>
  <c r="HG780" i="94"/>
  <c r="HO780" i="94"/>
  <c r="HW780" i="94"/>
  <c r="IE780" i="94"/>
  <c r="IM780" i="94"/>
  <c r="IU780" i="94"/>
  <c r="JC780" i="94"/>
  <c r="JK780" i="94"/>
  <c r="JS780" i="94"/>
  <c r="KC780" i="94"/>
  <c r="KO780" i="94"/>
  <c r="KY780" i="94"/>
  <c r="LI780" i="94"/>
  <c r="LU780" i="94"/>
  <c r="ME780" i="94"/>
  <c r="MO780" i="94"/>
  <c r="AJ781" i="94"/>
  <c r="BD781" i="94"/>
  <c r="CR781" i="94"/>
  <c r="ES781" i="94"/>
  <c r="GC781" i="94"/>
  <c r="AD782" i="94"/>
  <c r="AT782" i="94"/>
  <c r="BJ782" i="94"/>
  <c r="EN782" i="94"/>
  <c r="FD782" i="94"/>
  <c r="FT782" i="94"/>
  <c r="GN782" i="94"/>
  <c r="HD782" i="94"/>
  <c r="HT782" i="94"/>
  <c r="LX782" i="94"/>
  <c r="AO783" i="94"/>
  <c r="EN783" i="94"/>
  <c r="BH784" i="94"/>
  <c r="CQ784" i="94"/>
  <c r="EK784" i="94"/>
  <c r="GF784" i="94"/>
  <c r="HW784" i="94"/>
  <c r="KG784" i="94"/>
  <c r="MZ784" i="94"/>
  <c r="BO785" i="94"/>
  <c r="DX785" i="94"/>
  <c r="HP785" i="94"/>
  <c r="BG786" i="94"/>
  <c r="DP786" i="94"/>
  <c r="FZ786" i="94"/>
  <c r="IT786" i="94"/>
  <c r="FB787" i="94"/>
  <c r="BR788" i="94"/>
  <c r="DN788" i="94"/>
  <c r="BV789" i="94"/>
  <c r="LK792" i="94"/>
  <c r="LZ807" i="94"/>
  <c r="GC807" i="94"/>
  <c r="FR807" i="94"/>
  <c r="EN807" i="94"/>
  <c r="EG807" i="94"/>
  <c r="AI807" i="94"/>
  <c r="BF807" i="94"/>
  <c r="LX801" i="94"/>
  <c r="ID801" i="94"/>
  <c r="FY801" i="94"/>
  <c r="FQ801" i="94"/>
  <c r="FI801" i="94"/>
  <c r="FA801" i="94"/>
  <c r="ES801" i="94"/>
  <c r="EK801" i="94"/>
  <c r="LW801" i="94"/>
  <c r="GF801" i="94"/>
  <c r="FX801" i="94"/>
  <c r="FP801" i="94"/>
  <c r="FH801" i="94"/>
  <c r="EZ801" i="94"/>
  <c r="ER801" i="94"/>
  <c r="EJ801" i="94"/>
  <c r="EB801" i="94"/>
  <c r="DT801" i="94"/>
  <c r="LV801" i="94"/>
  <c r="GE801" i="94"/>
  <c r="FW801" i="94"/>
  <c r="FO801" i="94"/>
  <c r="FG801" i="94"/>
  <c r="EY801" i="94"/>
  <c r="EQ801" i="94"/>
  <c r="LU801" i="94"/>
  <c r="GD801" i="94"/>
  <c r="FV801" i="94"/>
  <c r="FN801" i="94"/>
  <c r="FF801" i="94"/>
  <c r="EX801" i="94"/>
  <c r="EP801" i="94"/>
  <c r="LT801" i="94"/>
  <c r="GC801" i="94"/>
  <c r="FU801" i="94"/>
  <c r="FM801" i="94"/>
  <c r="FE801" i="94"/>
  <c r="EW801" i="94"/>
  <c r="EO801" i="94"/>
  <c r="EG801" i="94"/>
  <c r="LS801" i="94"/>
  <c r="GB801" i="94"/>
  <c r="FT801" i="94"/>
  <c r="FL801" i="94"/>
  <c r="FD801" i="94"/>
  <c r="EV801" i="94"/>
  <c r="EN801" i="94"/>
  <c r="EF801" i="94"/>
  <c r="DX801" i="94"/>
  <c r="DP801" i="94"/>
  <c r="DH801" i="94"/>
  <c r="FS801" i="94"/>
  <c r="EM801" i="94"/>
  <c r="DZ801" i="94"/>
  <c r="DO801" i="94"/>
  <c r="DF801" i="94"/>
  <c r="CX801" i="94"/>
  <c r="CP801" i="94"/>
  <c r="CH801" i="94"/>
  <c r="BZ801" i="94"/>
  <c r="BR801" i="94"/>
  <c r="BJ801" i="94"/>
  <c r="BB801" i="94"/>
  <c r="AT801" i="94"/>
  <c r="AL801" i="94"/>
  <c r="AD801" i="94"/>
  <c r="FR801" i="94"/>
  <c r="EL801" i="94"/>
  <c r="DY801" i="94"/>
  <c r="DN801" i="94"/>
  <c r="DE801" i="94"/>
  <c r="CW801" i="94"/>
  <c r="CO801" i="94"/>
  <c r="CG801" i="94"/>
  <c r="BY801" i="94"/>
  <c r="BQ801" i="94"/>
  <c r="BI801" i="94"/>
  <c r="BA801" i="94"/>
  <c r="AS801" i="94"/>
  <c r="AK801" i="94"/>
  <c r="AC801" i="94"/>
  <c r="LZ801" i="94"/>
  <c r="FK801" i="94"/>
  <c r="EI801" i="94"/>
  <c r="DW801" i="94"/>
  <c r="DM801" i="94"/>
  <c r="DD801" i="94"/>
  <c r="CV801" i="94"/>
  <c r="CN801" i="94"/>
  <c r="CF801" i="94"/>
  <c r="BX801" i="94"/>
  <c r="BP801" i="94"/>
  <c r="BH801" i="94"/>
  <c r="AZ801" i="94"/>
  <c r="AR801" i="94"/>
  <c r="AJ801" i="94"/>
  <c r="AB801" i="94"/>
  <c r="LY801" i="94"/>
  <c r="FJ801" i="94"/>
  <c r="EH801" i="94"/>
  <c r="DV801" i="94"/>
  <c r="DL801" i="94"/>
  <c r="DC801" i="94"/>
  <c r="CU801" i="94"/>
  <c r="CM801" i="94"/>
  <c r="CE801" i="94"/>
  <c r="BW801" i="94"/>
  <c r="BO801" i="94"/>
  <c r="BG801" i="94"/>
  <c r="AY801" i="94"/>
  <c r="AQ801" i="94"/>
  <c r="AI801" i="94"/>
  <c r="AA801" i="94"/>
  <c r="LQ801" i="94"/>
  <c r="FB801" i="94"/>
  <c r="ED801" i="94"/>
  <c r="DS801" i="94"/>
  <c r="DJ801" i="94"/>
  <c r="DA801" i="94"/>
  <c r="CS801" i="94"/>
  <c r="CK801" i="94"/>
  <c r="CC801" i="94"/>
  <c r="BU801" i="94"/>
  <c r="BM801" i="94"/>
  <c r="BE801" i="94"/>
  <c r="AW801" i="94"/>
  <c r="AO801" i="94"/>
  <c r="AG801" i="94"/>
  <c r="Y801" i="94"/>
  <c r="EE801" i="94"/>
  <c r="DG801" i="94"/>
  <c r="CJ801" i="94"/>
  <c r="BN801" i="94"/>
  <c r="AU801" i="94"/>
  <c r="X801" i="94"/>
  <c r="EC801" i="94"/>
  <c r="DB801" i="94"/>
  <c r="CI801" i="94"/>
  <c r="BL801" i="94"/>
  <c r="AP801" i="94"/>
  <c r="LR801" i="94"/>
  <c r="EA801" i="94"/>
  <c r="CZ801" i="94"/>
  <c r="CD801" i="94"/>
  <c r="BK801" i="94"/>
  <c r="AN801" i="94"/>
  <c r="GA801" i="94"/>
  <c r="DU801" i="94"/>
  <c r="CY801" i="94"/>
  <c r="CB801" i="94"/>
  <c r="BF801" i="94"/>
  <c r="AM801" i="94"/>
  <c r="FC801" i="94"/>
  <c r="DQ801" i="94"/>
  <c r="CR801" i="94"/>
  <c r="BV801" i="94"/>
  <c r="BC801" i="94"/>
  <c r="AF801" i="94"/>
  <c r="CQ801" i="94"/>
  <c r="AH801" i="94"/>
  <c r="FZ801" i="94"/>
  <c r="CL801" i="94"/>
  <c r="AE801" i="94"/>
  <c r="EU801" i="94"/>
  <c r="CA801" i="94"/>
  <c r="Z801" i="94"/>
  <c r="ET801" i="94"/>
  <c r="BT801" i="94"/>
  <c r="DR801" i="94"/>
  <c r="BS801" i="94"/>
  <c r="DK801" i="94"/>
  <c r="BD801" i="94"/>
  <c r="CT801" i="94"/>
  <c r="AV801" i="94"/>
  <c r="DI801" i="94"/>
  <c r="AX801" i="94"/>
  <c r="LY795" i="94"/>
  <c r="LQ795" i="94"/>
  <c r="FV795" i="94"/>
  <c r="FN795" i="94"/>
  <c r="FF795" i="94"/>
  <c r="EX795" i="94"/>
  <c r="EP795" i="94"/>
  <c r="EH795" i="94"/>
  <c r="DA795" i="94"/>
  <c r="BI795" i="94"/>
  <c r="BA795" i="94"/>
  <c r="AS795" i="94"/>
  <c r="AK795" i="94"/>
  <c r="AC795" i="94"/>
  <c r="LX795" i="94"/>
  <c r="IB795" i="94"/>
  <c r="FU795" i="94"/>
  <c r="FM795" i="94"/>
  <c r="FE795" i="94"/>
  <c r="EW795" i="94"/>
  <c r="EO795" i="94"/>
  <c r="EG795" i="94"/>
  <c r="CS795" i="94"/>
  <c r="BH795" i="94"/>
  <c r="AZ795" i="94"/>
  <c r="AR795" i="94"/>
  <c r="AJ795" i="94"/>
  <c r="AB795" i="94"/>
  <c r="LR795" i="94"/>
  <c r="FS795" i="94"/>
  <c r="FI795" i="94"/>
  <c r="EY795" i="94"/>
  <c r="EM795" i="94"/>
  <c r="DY795" i="94"/>
  <c r="BJ795" i="94"/>
  <c r="AX795" i="94"/>
  <c r="AN795" i="94"/>
  <c r="AD795" i="94"/>
  <c r="GQ795" i="94"/>
  <c r="FR795" i="94"/>
  <c r="FH795" i="94"/>
  <c r="EV795" i="94"/>
  <c r="EL795" i="94"/>
  <c r="DQ795" i="94"/>
  <c r="BG795" i="94"/>
  <c r="AW795" i="94"/>
  <c r="AM795" i="94"/>
  <c r="AA795" i="94"/>
  <c r="LZ795" i="94"/>
  <c r="GF795" i="94"/>
  <c r="FQ795" i="94"/>
  <c r="FG795" i="94"/>
  <c r="EU795" i="94"/>
  <c r="EK795" i="94"/>
  <c r="DI795" i="94"/>
  <c r="BF795" i="94"/>
  <c r="AV795" i="94"/>
  <c r="AL795" i="94"/>
  <c r="Z795" i="94"/>
  <c r="LW795" i="94"/>
  <c r="GE795" i="94"/>
  <c r="FP795" i="94"/>
  <c r="FD795" i="94"/>
  <c r="ET795" i="94"/>
  <c r="EJ795" i="94"/>
  <c r="CK795" i="94"/>
  <c r="BE795" i="94"/>
  <c r="AU795" i="94"/>
  <c r="AI795" i="94"/>
  <c r="Y795" i="94"/>
  <c r="LV795" i="94"/>
  <c r="GD795" i="94"/>
  <c r="FO795" i="94"/>
  <c r="FC795" i="94"/>
  <c r="ES795" i="94"/>
  <c r="EI795" i="94"/>
  <c r="CC795" i="94"/>
  <c r="BD795" i="94"/>
  <c r="AT795" i="94"/>
  <c r="AH795" i="94"/>
  <c r="X795" i="94"/>
  <c r="LU795" i="94"/>
  <c r="GC795" i="94"/>
  <c r="FL795" i="94"/>
  <c r="FB795" i="94"/>
  <c r="ER795" i="94"/>
  <c r="EF795" i="94"/>
  <c r="BU795" i="94"/>
  <c r="BC795" i="94"/>
  <c r="AQ795" i="94"/>
  <c r="AG795" i="94"/>
  <c r="LS795" i="94"/>
  <c r="FT795" i="94"/>
  <c r="FJ795" i="94"/>
  <c r="EZ795" i="94"/>
  <c r="EN795" i="94"/>
  <c r="ED795" i="94"/>
  <c r="BK795" i="94"/>
  <c r="AY795" i="94"/>
  <c r="AO795" i="94"/>
  <c r="AE795" i="94"/>
  <c r="GB795" i="94"/>
  <c r="AF795" i="94"/>
  <c r="FK795" i="94"/>
  <c r="EQ795" i="94"/>
  <c r="EE795" i="94"/>
  <c r="BB795" i="94"/>
  <c r="BM795" i="94"/>
  <c r="AP795" i="94"/>
  <c r="FA795" i="94"/>
  <c r="LT795" i="94"/>
  <c r="MZ788" i="94"/>
  <c r="MA788" i="94"/>
  <c r="LS788" i="94"/>
  <c r="LK788" i="94"/>
  <c r="LC788" i="94"/>
  <c r="KU788" i="94"/>
  <c r="KM788" i="94"/>
  <c r="KE788" i="94"/>
  <c r="JW788" i="94"/>
  <c r="JO788" i="94"/>
  <c r="MN788" i="94"/>
  <c r="LZ788" i="94"/>
  <c r="LR788" i="94"/>
  <c r="LJ788" i="94"/>
  <c r="LB788" i="94"/>
  <c r="KT788" i="94"/>
  <c r="KL788" i="94"/>
  <c r="KD788" i="94"/>
  <c r="JV788" i="94"/>
  <c r="JN788" i="94"/>
  <c r="JF788" i="94"/>
  <c r="IX788" i="94"/>
  <c r="IP788" i="94"/>
  <c r="IH788" i="94"/>
  <c r="HZ788" i="94"/>
  <c r="HK788" i="94"/>
  <c r="GU788" i="94"/>
  <c r="MJ788" i="94"/>
  <c r="LX788" i="94"/>
  <c r="LP788" i="94"/>
  <c r="LH788" i="94"/>
  <c r="KZ788" i="94"/>
  <c r="KR788" i="94"/>
  <c r="KJ788" i="94"/>
  <c r="KB788" i="94"/>
  <c r="JT788" i="94"/>
  <c r="JL788" i="94"/>
  <c r="JD788" i="94"/>
  <c r="IV788" i="94"/>
  <c r="IN788" i="94"/>
  <c r="IF788" i="94"/>
  <c r="HW788" i="94"/>
  <c r="HG788" i="94"/>
  <c r="ND788" i="94"/>
  <c r="MI788" i="94"/>
  <c r="LW788" i="94"/>
  <c r="LO788" i="94"/>
  <c r="LG788" i="94"/>
  <c r="KY788" i="94"/>
  <c r="KQ788" i="94"/>
  <c r="KI788" i="94"/>
  <c r="KA788" i="94"/>
  <c r="JS788" i="94"/>
  <c r="JK788" i="94"/>
  <c r="JC788" i="94"/>
  <c r="IU788" i="94"/>
  <c r="IM788" i="94"/>
  <c r="IE788" i="94"/>
  <c r="HT788" i="94"/>
  <c r="HD788" i="94"/>
  <c r="NB788" i="94"/>
  <c r="ME788" i="94"/>
  <c r="LU788" i="94"/>
  <c r="LM788" i="94"/>
  <c r="LE788" i="94"/>
  <c r="KW788" i="94"/>
  <c r="KO788" i="94"/>
  <c r="KG788" i="94"/>
  <c r="JY788" i="94"/>
  <c r="JQ788" i="94"/>
  <c r="JI788" i="94"/>
  <c r="JA788" i="94"/>
  <c r="IS788" i="94"/>
  <c r="IK788" i="94"/>
  <c r="IC788" i="94"/>
  <c r="HP788" i="94"/>
  <c r="GZ788" i="94"/>
  <c r="MM788" i="94"/>
  <c r="LL788" i="94"/>
  <c r="KP788" i="94"/>
  <c r="MF788" i="94"/>
  <c r="LI788" i="94"/>
  <c r="KN788" i="94"/>
  <c r="JR788" i="94"/>
  <c r="IZ788" i="94"/>
  <c r="IJ788" i="94"/>
  <c r="HO788" i="94"/>
  <c r="GN788" i="94"/>
  <c r="GB788" i="94"/>
  <c r="FT788" i="94"/>
  <c r="FL788" i="94"/>
  <c r="FD788" i="94"/>
  <c r="EV788" i="94"/>
  <c r="EN788" i="94"/>
  <c r="EF788" i="94"/>
  <c r="DX788" i="94"/>
  <c r="DP788" i="94"/>
  <c r="DH788" i="94"/>
  <c r="CZ788" i="94"/>
  <c r="CR788" i="94"/>
  <c r="CJ788" i="94"/>
  <c r="CB788" i="94"/>
  <c r="BT788" i="94"/>
  <c r="BL788" i="94"/>
  <c r="BD788" i="94"/>
  <c r="AV788" i="94"/>
  <c r="AN788" i="94"/>
  <c r="AF788" i="94"/>
  <c r="X788" i="94"/>
  <c r="MB788" i="94"/>
  <c r="LF788" i="94"/>
  <c r="KK788" i="94"/>
  <c r="JP788" i="94"/>
  <c r="IY788" i="94"/>
  <c r="II788" i="94"/>
  <c r="HL788" i="94"/>
  <c r="GM788" i="94"/>
  <c r="GA788" i="94"/>
  <c r="FS788" i="94"/>
  <c r="FK788" i="94"/>
  <c r="FC788" i="94"/>
  <c r="EU788" i="94"/>
  <c r="EM788" i="94"/>
  <c r="EE788" i="94"/>
  <c r="DW788" i="94"/>
  <c r="DO788" i="94"/>
  <c r="DG788" i="94"/>
  <c r="CY788" i="94"/>
  <c r="CQ788" i="94"/>
  <c r="CI788" i="94"/>
  <c r="CA788" i="94"/>
  <c r="BS788" i="94"/>
  <c r="BK788" i="94"/>
  <c r="BC788" i="94"/>
  <c r="AU788" i="94"/>
  <c r="AM788" i="94"/>
  <c r="AE788" i="94"/>
  <c r="LY788" i="94"/>
  <c r="LD788" i="94"/>
  <c r="KH788" i="94"/>
  <c r="LV788" i="94"/>
  <c r="LA788" i="94"/>
  <c r="KF788" i="94"/>
  <c r="JJ788" i="94"/>
  <c r="IT788" i="94"/>
  <c r="ID788" i="94"/>
  <c r="HC788" i="94"/>
  <c r="GI788" i="94"/>
  <c r="FY788" i="94"/>
  <c r="FQ788" i="94"/>
  <c r="FI788" i="94"/>
  <c r="FA788" i="94"/>
  <c r="ES788" i="94"/>
  <c r="EK788" i="94"/>
  <c r="EC788" i="94"/>
  <c r="DU788" i="94"/>
  <c r="DM788" i="94"/>
  <c r="DE788" i="94"/>
  <c r="CW788" i="94"/>
  <c r="CO788" i="94"/>
  <c r="CG788" i="94"/>
  <c r="BY788" i="94"/>
  <c r="BQ788" i="94"/>
  <c r="BI788" i="94"/>
  <c r="BA788" i="94"/>
  <c r="AS788" i="94"/>
  <c r="AK788" i="94"/>
  <c r="AC788" i="94"/>
  <c r="LT788" i="94"/>
  <c r="KX788" i="94"/>
  <c r="KC788" i="94"/>
  <c r="JH788" i="94"/>
  <c r="IR788" i="94"/>
  <c r="IB788" i="94"/>
  <c r="GY788" i="94"/>
  <c r="GF788" i="94"/>
  <c r="FX788" i="94"/>
  <c r="FP788" i="94"/>
  <c r="FH788" i="94"/>
  <c r="EZ788" i="94"/>
  <c r="ER788" i="94"/>
  <c r="EJ788" i="94"/>
  <c r="EB788" i="94"/>
  <c r="DT788" i="94"/>
  <c r="DL788" i="94"/>
  <c r="DD788" i="94"/>
  <c r="CV788" i="94"/>
  <c r="CN788" i="94"/>
  <c r="CF788" i="94"/>
  <c r="BX788" i="94"/>
  <c r="BP788" i="94"/>
  <c r="BH788" i="94"/>
  <c r="AZ788" i="94"/>
  <c r="AR788" i="94"/>
  <c r="AJ788" i="94"/>
  <c r="AB788" i="94"/>
  <c r="NA788" i="94"/>
  <c r="LN788" i="94"/>
  <c r="KS788" i="94"/>
  <c r="JX788" i="94"/>
  <c r="JE788" i="94"/>
  <c r="IO788" i="94"/>
  <c r="HX788" i="94"/>
  <c r="GR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JB788" i="94"/>
  <c r="GV788" i="94"/>
  <c r="FR788" i="94"/>
  <c r="EW788" i="94"/>
  <c r="EA788" i="94"/>
  <c r="DF788" i="94"/>
  <c r="CK788" i="94"/>
  <c r="BO788" i="94"/>
  <c r="AT788" i="94"/>
  <c r="Y788" i="94"/>
  <c r="NC788" i="94"/>
  <c r="IW788" i="94"/>
  <c r="GQ788" i="94"/>
  <c r="FO788" i="94"/>
  <c r="ET788" i="94"/>
  <c r="DY788" i="94"/>
  <c r="DC788" i="94"/>
  <c r="CH788" i="94"/>
  <c r="BM788" i="94"/>
  <c r="AQ788" i="94"/>
  <c r="LQ788" i="94"/>
  <c r="IQ788" i="94"/>
  <c r="GJ788" i="94"/>
  <c r="FM788" i="94"/>
  <c r="EQ788" i="94"/>
  <c r="DV788" i="94"/>
  <c r="DA788" i="94"/>
  <c r="CE788" i="94"/>
  <c r="BJ788" i="94"/>
  <c r="AO788" i="94"/>
  <c r="KV788" i="94"/>
  <c r="IL788" i="94"/>
  <c r="GE788" i="94"/>
  <c r="FJ788" i="94"/>
  <c r="EO788" i="94"/>
  <c r="DS788" i="94"/>
  <c r="CX788" i="94"/>
  <c r="CC788" i="94"/>
  <c r="BG788" i="94"/>
  <c r="AL788" i="94"/>
  <c r="JZ788" i="94"/>
  <c r="IG788" i="94"/>
  <c r="GC788" i="94"/>
  <c r="FG788" i="94"/>
  <c r="EL788" i="94"/>
  <c r="DQ788" i="94"/>
  <c r="CU788" i="94"/>
  <c r="BZ788" i="94"/>
  <c r="BE788" i="94"/>
  <c r="AI788" i="94"/>
  <c r="LX783" i="94"/>
  <c r="IA783" i="94"/>
  <c r="GB783" i="94"/>
  <c r="FP783" i="94"/>
  <c r="FH783" i="94"/>
  <c r="EZ783" i="94"/>
  <c r="ER783" i="94"/>
  <c r="EJ783" i="94"/>
  <c r="CI783" i="94"/>
  <c r="BD783" i="94"/>
  <c r="AV783" i="94"/>
  <c r="AN783" i="94"/>
  <c r="AF783" i="94"/>
  <c r="X783" i="94"/>
  <c r="LV783" i="94"/>
  <c r="HI783" i="94"/>
  <c r="FV783" i="94"/>
  <c r="FN783" i="94"/>
  <c r="FF783" i="94"/>
  <c r="EX783" i="94"/>
  <c r="EP783" i="94"/>
  <c r="EH783" i="94"/>
  <c r="BJ783" i="94"/>
  <c r="BB783" i="94"/>
  <c r="AT783" i="94"/>
  <c r="AL783" i="94"/>
  <c r="AD783" i="94"/>
  <c r="LU783" i="94"/>
  <c r="GK783" i="94"/>
  <c r="FU783" i="94"/>
  <c r="FM783" i="94"/>
  <c r="FE783" i="94"/>
  <c r="EW783" i="94"/>
  <c r="EO783" i="94"/>
  <c r="EG783" i="94"/>
  <c r="BI783" i="94"/>
  <c r="BA783" i="94"/>
  <c r="AS783" i="94"/>
  <c r="AK783" i="94"/>
  <c r="AC783" i="94"/>
  <c r="MB783" i="94"/>
  <c r="LS783" i="94"/>
  <c r="GE783" i="94"/>
  <c r="FS783" i="94"/>
  <c r="FK783" i="94"/>
  <c r="FC783" i="94"/>
  <c r="EU783" i="94"/>
  <c r="EM783" i="94"/>
  <c r="EE783" i="94"/>
  <c r="BG783" i="94"/>
  <c r="AY783" i="94"/>
  <c r="AQ783" i="94"/>
  <c r="AI783" i="94"/>
  <c r="AA783" i="94"/>
  <c r="HQ783" i="94"/>
  <c r="FO783" i="94"/>
  <c r="EY783" i="94"/>
  <c r="EI783" i="94"/>
  <c r="BC783" i="94"/>
  <c r="AM783" i="94"/>
  <c r="MJ783" i="94"/>
  <c r="GF783" i="94"/>
  <c r="FL783" i="94"/>
  <c r="EV783" i="94"/>
  <c r="EF783" i="94"/>
  <c r="AZ783" i="94"/>
  <c r="AJ783" i="94"/>
  <c r="LZ783" i="94"/>
  <c r="GD783" i="94"/>
  <c r="FJ783" i="94"/>
  <c r="ET783" i="94"/>
  <c r="ED783" i="94"/>
  <c r="AX783" i="94"/>
  <c r="AH783" i="94"/>
  <c r="LY783" i="94"/>
  <c r="GC783" i="94"/>
  <c r="FI783" i="94"/>
  <c r="ES783" i="94"/>
  <c r="DO783" i="94"/>
  <c r="AW783" i="94"/>
  <c r="AG783" i="94"/>
  <c r="LW783" i="94"/>
  <c r="FZ783" i="94"/>
  <c r="FG783" i="94"/>
  <c r="EQ783" i="94"/>
  <c r="BK783" i="94"/>
  <c r="AU783" i="94"/>
  <c r="AE783" i="94"/>
  <c r="GJ779" i="94"/>
  <c r="X780" i="94"/>
  <c r="AF780" i="94"/>
  <c r="AN780" i="94"/>
  <c r="AV780" i="94"/>
  <c r="BD780" i="94"/>
  <c r="BL780" i="94"/>
  <c r="BT780" i="94"/>
  <c r="CB780" i="94"/>
  <c r="CJ780" i="94"/>
  <c r="CR780" i="94"/>
  <c r="CZ780" i="94"/>
  <c r="DH780" i="94"/>
  <c r="DP780" i="94"/>
  <c r="DX780" i="94"/>
  <c r="EF780" i="94"/>
  <c r="EN780" i="94"/>
  <c r="EV780" i="94"/>
  <c r="FD780" i="94"/>
  <c r="FL780" i="94"/>
  <c r="FT780" i="94"/>
  <c r="GB780" i="94"/>
  <c r="GJ780" i="94"/>
  <c r="GR780" i="94"/>
  <c r="GZ780" i="94"/>
  <c r="HH780" i="94"/>
  <c r="HP780" i="94"/>
  <c r="HX780" i="94"/>
  <c r="IF780" i="94"/>
  <c r="IN780" i="94"/>
  <c r="IV780" i="94"/>
  <c r="JD780" i="94"/>
  <c r="JL780" i="94"/>
  <c r="JT780" i="94"/>
  <c r="KF780" i="94"/>
  <c r="KP780" i="94"/>
  <c r="KZ780" i="94"/>
  <c r="LL780" i="94"/>
  <c r="LV780" i="94"/>
  <c r="MF780" i="94"/>
  <c r="NB780" i="94"/>
  <c r="AK781" i="94"/>
  <c r="BE781" i="94"/>
  <c r="DG781" i="94"/>
  <c r="FA781" i="94"/>
  <c r="LQ781" i="94"/>
  <c r="AH782" i="94"/>
  <c r="AX782" i="94"/>
  <c r="DJ782" i="94"/>
  <c r="ER782" i="94"/>
  <c r="FH782" i="94"/>
  <c r="GB782" i="94"/>
  <c r="GR782" i="94"/>
  <c r="HH782" i="94"/>
  <c r="HX782" i="94"/>
  <c r="MC782" i="94"/>
  <c r="AP783" i="94"/>
  <c r="FA783" i="94"/>
  <c r="LT783" i="94"/>
  <c r="BI784" i="94"/>
  <c r="DD784" i="94"/>
  <c r="EM784" i="94"/>
  <c r="GG784" i="94"/>
  <c r="IM784" i="94"/>
  <c r="KI784" i="94"/>
  <c r="NC784" i="94"/>
  <c r="CE785" i="94"/>
  <c r="EA785" i="94"/>
  <c r="LQ785" i="94"/>
  <c r="BW786" i="94"/>
  <c r="DS786" i="94"/>
  <c r="GC786" i="94"/>
  <c r="LF786" i="94"/>
  <c r="FJ787" i="94"/>
  <c r="BU788" i="94"/>
  <c r="ED788" i="94"/>
  <c r="FZ788" i="94"/>
  <c r="EQ789" i="94"/>
  <c r="N1223" i="94"/>
  <c r="L953" i="94"/>
  <c r="LS816" i="94"/>
  <c r="HR816" i="94"/>
  <c r="HB816" i="94"/>
  <c r="GL816" i="94"/>
  <c r="FT816" i="94"/>
  <c r="FD816" i="94"/>
  <c r="EN816" i="94"/>
  <c r="DU816" i="94"/>
  <c r="CV816" i="94"/>
  <c r="CD816" i="94"/>
  <c r="BN816" i="94"/>
  <c r="AX816" i="94"/>
  <c r="AH816" i="94"/>
  <c r="ML816" i="94"/>
  <c r="ID816" i="94"/>
  <c r="HN816" i="94"/>
  <c r="GX816" i="94"/>
  <c r="GH816" i="94"/>
  <c r="FP816" i="94"/>
  <c r="EZ816" i="94"/>
  <c r="EJ816" i="94"/>
  <c r="DP816" i="94"/>
  <c r="CR816" i="94"/>
  <c r="BZ816" i="94"/>
  <c r="BJ816" i="94"/>
  <c r="AT816" i="94"/>
  <c r="AD816" i="94"/>
  <c r="MK816" i="94"/>
  <c r="IC816" i="94"/>
  <c r="HM816" i="94"/>
  <c r="GW816" i="94"/>
  <c r="GG816" i="94"/>
  <c r="FO816" i="94"/>
  <c r="EY816" i="94"/>
  <c r="EI816" i="94"/>
  <c r="DM816" i="94"/>
  <c r="CQ816" i="94"/>
  <c r="BY816" i="94"/>
  <c r="BI816" i="94"/>
  <c r="AS816" i="94"/>
  <c r="AC816"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LV816" i="94"/>
  <c r="GT816" i="94"/>
  <c r="EX816" i="94"/>
  <c r="CZ816" i="94"/>
  <c r="BF816" i="94"/>
  <c r="IB816" i="94"/>
  <c r="GN816" i="94"/>
  <c r="EV816" i="94"/>
  <c r="CO816" i="94"/>
  <c r="AZ816" i="94"/>
  <c r="HZ816" i="94"/>
  <c r="HJ816" i="94"/>
  <c r="FF816" i="94"/>
  <c r="CF816" i="94"/>
  <c r="AB816" i="94"/>
  <c r="HD816" i="94"/>
  <c r="EP816" i="94"/>
  <c r="BX816" i="94"/>
  <c r="Z816" i="94"/>
  <c r="GV816" i="94"/>
  <c r="EH816" i="94"/>
  <c r="BV816" i="94"/>
  <c r="GF816" i="94"/>
  <c r="EF816" i="94"/>
  <c r="BP816" i="94"/>
  <c r="MF816" i="94"/>
  <c r="FV816" i="94"/>
  <c r="DL816" i="94"/>
  <c r="AR816" i="94"/>
  <c r="FL816" i="94"/>
  <c r="DY816" i="94"/>
  <c r="DI816" i="94"/>
  <c r="MI816" i="94"/>
  <c r="CM816" i="94"/>
  <c r="HL816" i="94"/>
  <c r="AP816" i="94"/>
  <c r="HT816" i="94"/>
  <c r="GD816" i="94"/>
  <c r="FN816" i="94"/>
  <c r="AJ816" i="94"/>
  <c r="LS815" i="94"/>
  <c r="FO815" i="94"/>
  <c r="EY815" i="94"/>
  <c r="EI815" i="94"/>
  <c r="BA815" i="94"/>
  <c r="AK815" i="94"/>
  <c r="LR815" i="94"/>
  <c r="FN815" i="94"/>
  <c r="EX815" i="94"/>
  <c r="EH815" i="94"/>
  <c r="AZ815" i="94"/>
  <c r="AJ815" i="94"/>
  <c r="LQ815" i="94"/>
  <c r="FL815" i="94"/>
  <c r="EV815" i="94"/>
  <c r="EF815" i="94"/>
  <c r="AX815" i="94"/>
  <c r="AH815" i="94"/>
  <c r="LZ815" i="94"/>
  <c r="FV815" i="94"/>
  <c r="FF815" i="94"/>
  <c r="EP815" i="94"/>
  <c r="BH815" i="94"/>
  <c r="AR815" i="94"/>
  <c r="AB815" i="94"/>
  <c r="LY815" i="94"/>
  <c r="FT815" i="94"/>
  <c r="FD815" i="94"/>
  <c r="EN815" i="94"/>
  <c r="BF815" i="94"/>
  <c r="AP815" i="94"/>
  <c r="Z815" i="94"/>
  <c r="GC815" i="94"/>
  <c r="EJ815" i="94"/>
  <c r="AC815" i="94"/>
  <c r="GB815" i="94"/>
  <c r="BJ815" i="94"/>
  <c r="EQ815" i="94"/>
  <c r="BI815" i="94"/>
  <c r="LW815" i="94"/>
  <c r="BB815" i="94"/>
  <c r="FP815" i="94"/>
  <c r="AT815" i="94"/>
  <c r="FG815" i="94"/>
  <c r="AL815" i="94"/>
  <c r="EZ815" i="94"/>
  <c r="ER815" i="94"/>
  <c r="AS815" i="94"/>
  <c r="AD815" i="94"/>
  <c r="MK814" i="94"/>
  <c r="LX814" i="94"/>
  <c r="IB814" i="94"/>
  <c r="HQ814" i="94"/>
  <c r="HF814" i="94"/>
  <c r="GV814" i="94"/>
  <c r="GK814" i="94"/>
  <c r="FU814" i="94"/>
  <c r="FJ814" i="94"/>
  <c r="EY814" i="94"/>
  <c r="EQ814" i="94"/>
  <c r="EI814" i="94"/>
  <c r="BI814" i="94"/>
  <c r="BA814" i="94"/>
  <c r="AS814" i="94"/>
  <c r="AK814" i="94"/>
  <c r="AC814" i="94"/>
  <c r="MJ814" i="94"/>
  <c r="LV814" i="94"/>
  <c r="HZ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B814" i="94"/>
  <c r="LQ814" i="94"/>
  <c r="HU814" i="94"/>
  <c r="HJ814" i="94"/>
  <c r="GY814" i="94"/>
  <c r="GO814" i="94"/>
  <c r="GD814" i="94"/>
  <c r="FN814" i="94"/>
  <c r="FD814" i="94"/>
  <c r="ET814" i="94"/>
  <c r="EL814" i="94"/>
  <c r="ED814" i="94"/>
  <c r="BD814" i="94"/>
  <c r="AV814" i="94"/>
  <c r="AN814" i="94"/>
  <c r="AF814" i="94"/>
  <c r="X814" i="94"/>
  <c r="MA814" i="94"/>
  <c r="ID814" i="94"/>
  <c r="HT814" i="94"/>
  <c r="HI814" i="94"/>
  <c r="GX814" i="94"/>
  <c r="GN814" i="94"/>
  <c r="GC814" i="94"/>
  <c r="FM814" i="94"/>
  <c r="FB814" i="94"/>
  <c r="ES814" i="94"/>
  <c r="EK814" i="94"/>
  <c r="BK814" i="94"/>
  <c r="BC814" i="94"/>
  <c r="AU814" i="94"/>
  <c r="AM814" i="94"/>
  <c r="AE814" i="94"/>
  <c r="HW814" i="94"/>
  <c r="GW814" i="94"/>
  <c r="FO814" i="94"/>
  <c r="EN814" i="94"/>
  <c r="BB814" i="94"/>
  <c r="AG814" i="94"/>
  <c r="MO814" i="94"/>
  <c r="HV814" i="94"/>
  <c r="GQ814" i="94"/>
  <c r="FL814" i="94"/>
  <c r="EM814" i="94"/>
  <c r="AX814" i="94"/>
  <c r="AD814" i="94"/>
  <c r="MC814" i="94"/>
  <c r="HG814" i="94"/>
  <c r="FQ814" i="94"/>
  <c r="EF814" i="94"/>
  <c r="AO814" i="94"/>
  <c r="LY814" i="94"/>
  <c r="HB814" i="94"/>
  <c r="FF814" i="94"/>
  <c r="EE814" i="94"/>
  <c r="AL814" i="94"/>
  <c r="LT814" i="94"/>
  <c r="HA814" i="94"/>
  <c r="FE814" i="94"/>
  <c r="BJ814" i="94"/>
  <c r="AH814" i="94"/>
  <c r="LS814" i="94"/>
  <c r="GP814" i="94"/>
  <c r="FA814" i="94"/>
  <c r="BF814" i="94"/>
  <c r="Z814" i="94"/>
  <c r="HR814" i="94"/>
  <c r="GG814" i="94"/>
  <c r="EU814" i="94"/>
  <c r="AW814" i="94"/>
  <c r="GL814" i="94"/>
  <c r="AP814" i="94"/>
  <c r="GF814" i="94"/>
  <c r="Y814" i="94"/>
  <c r="FV814" i="94"/>
  <c r="EV814" i="94"/>
  <c r="IC814" i="94"/>
  <c r="EJ814" i="94"/>
  <c r="HM814" i="94"/>
  <c r="HL814" i="94"/>
  <c r="ER814" i="94"/>
  <c r="BE814" i="94"/>
  <c r="LT813" i="94"/>
  <c r="FS813" i="94"/>
  <c r="FC813" i="94"/>
  <c r="EQ813" i="94"/>
  <c r="ED813" i="94"/>
  <c r="BB813" i="94"/>
  <c r="AQ813" i="94"/>
  <c r="AC813" i="94"/>
  <c r="LS813" i="94"/>
  <c r="FR813" i="94"/>
  <c r="FB813" i="94"/>
  <c r="EN813" i="94"/>
  <c r="DQ813" i="94"/>
  <c r="BA813" i="94"/>
  <c r="AO813" i="94"/>
  <c r="AB813" i="94"/>
  <c r="LR813" i="94"/>
  <c r="FQ813" i="94"/>
  <c r="FA813" i="94"/>
  <c r="EM813" i="94"/>
  <c r="CK813" i="94"/>
  <c r="AZ813" i="94"/>
  <c r="AL813" i="94"/>
  <c r="AA813" i="94"/>
  <c r="GE813" i="94"/>
  <c r="FJ813" i="94"/>
  <c r="EU813" i="94"/>
  <c r="EI813" i="94"/>
  <c r="BH813" i="94"/>
  <c r="AT813" i="94"/>
  <c r="AI813" i="94"/>
  <c r="LZ813" i="94"/>
  <c r="GD813" i="94"/>
  <c r="FI813" i="94"/>
  <c r="ET813" i="94"/>
  <c r="EF813" i="94"/>
  <c r="BG813" i="94"/>
  <c r="AS813" i="94"/>
  <c r="AG813" i="94"/>
  <c r="FO813" i="94"/>
  <c r="EE813" i="94"/>
  <c r="AJ813" i="94"/>
  <c r="FK813" i="94"/>
  <c r="BJ813" i="94"/>
  <c r="AD813" i="94"/>
  <c r="GB813" i="94"/>
  <c r="BE813" i="94"/>
  <c r="FG813" i="94"/>
  <c r="AY813" i="94"/>
  <c r="EY813" i="94"/>
  <c r="AW813" i="94"/>
  <c r="EV813" i="94"/>
  <c r="AR813" i="94"/>
  <c r="LX813" i="94"/>
  <c r="EL813" i="94"/>
  <c r="Y813" i="94"/>
  <c r="IA813" i="94"/>
  <c r="GF813" i="94"/>
  <c r="EK813" i="94"/>
  <c r="ES813" i="94"/>
  <c r="MK812" i="94"/>
  <c r="MC812" i="94"/>
  <c r="LU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MI812" i="94"/>
  <c r="MA812" i="94"/>
  <c r="LS812" i="94"/>
  <c r="IB812" i="94"/>
  <c r="HT812" i="94"/>
  <c r="HL812" i="94"/>
  <c r="HD812" i="94"/>
  <c r="GV812" i="94"/>
  <c r="GN812" i="94"/>
  <c r="GF812" i="94"/>
  <c r="FW812" i="94"/>
  <c r="FO812" i="94"/>
  <c r="FG812" i="94"/>
  <c r="EY812" i="94"/>
  <c r="EQ812" i="94"/>
  <c r="EI812" i="94"/>
  <c r="EA812" i="94"/>
  <c r="DS812" i="94"/>
  <c r="DK812" i="94"/>
  <c r="DC812" i="94"/>
  <c r="CU812" i="94"/>
  <c r="CM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LZ812" i="94"/>
  <c r="HW812" i="94"/>
  <c r="HB812" i="94"/>
  <c r="GE812" i="94"/>
  <c r="FJ812" i="94"/>
  <c r="EO812" i="94"/>
  <c r="DR812" i="94"/>
  <c r="CX812" i="94"/>
  <c r="CD812" i="94"/>
  <c r="BN812" i="94"/>
  <c r="AX812" i="94"/>
  <c r="AH812" i="94"/>
  <c r="LY812" i="94"/>
  <c r="HS812" i="94"/>
  <c r="GY812" i="94"/>
  <c r="GD812" i="94"/>
  <c r="FF812" i="94"/>
  <c r="EL812" i="94"/>
  <c r="DQ812" i="94"/>
  <c r="CT812" i="94"/>
  <c r="CC812" i="94"/>
  <c r="BM812" i="94"/>
  <c r="AW812" i="94"/>
  <c r="AG812" i="94"/>
  <c r="MH812" i="94"/>
  <c r="HZ812" i="94"/>
  <c r="GT812" i="94"/>
  <c r="FR812" i="94"/>
  <c r="EP812" i="94"/>
  <c r="DJ812" i="94"/>
  <c r="CK812" i="94"/>
  <c r="BO812" i="94"/>
  <c r="AQ812" i="94"/>
  <c r="Z812" i="94"/>
  <c r="MG812" i="94"/>
  <c r="HR812" i="94"/>
  <c r="GQ812" i="94"/>
  <c r="FN812" i="94"/>
  <c r="EH812" i="94"/>
  <c r="DI812" i="94"/>
  <c r="CH812" i="94"/>
  <c r="BJ812" i="94"/>
  <c r="AP812" i="94"/>
  <c r="Y812" i="94"/>
  <c r="MD812" i="94"/>
  <c r="HO812" i="94"/>
  <c r="GM812" i="94"/>
  <c r="FM812" i="94"/>
  <c r="EG812" i="94"/>
  <c r="DF812" i="94"/>
  <c r="CE812" i="94"/>
  <c r="BG812" i="94"/>
  <c r="AO812" i="94"/>
  <c r="X812" i="94"/>
  <c r="LV812" i="94"/>
  <c r="HK812" i="94"/>
  <c r="GL812" i="94"/>
  <c r="FE812" i="94"/>
  <c r="ED812" i="94"/>
  <c r="DB812" i="94"/>
  <c r="BZ812" i="94"/>
  <c r="BF812" i="94"/>
  <c r="AL812" i="94"/>
  <c r="LQ812" i="94"/>
  <c r="HG812" i="94"/>
  <c r="GA812" i="94"/>
  <c r="EX812" i="94"/>
  <c r="DY812" i="94"/>
  <c r="CS812" i="94"/>
  <c r="BV812" i="94"/>
  <c r="BB812" i="94"/>
  <c r="AD812" i="94"/>
  <c r="MO812" i="94"/>
  <c r="GI812" i="94"/>
  <c r="DN812" i="94"/>
  <c r="AY812" i="94"/>
  <c r="ML812" i="94"/>
  <c r="FV812" i="94"/>
  <c r="DA812" i="94"/>
  <c r="AT812" i="94"/>
  <c r="LR812" i="94"/>
  <c r="FU812" i="94"/>
  <c r="CP812" i="94"/>
  <c r="AI812" i="94"/>
  <c r="IQ812" i="94"/>
  <c r="FB812" i="94"/>
  <c r="CL812" i="94"/>
  <c r="AB812" i="94"/>
  <c r="HJ812" i="94"/>
  <c r="ET812" i="94"/>
  <c r="BU812" i="94"/>
  <c r="IA812" i="94"/>
  <c r="BE812" i="94"/>
  <c r="HC812" i="94"/>
  <c r="AA812" i="94"/>
  <c r="GU812" i="94"/>
  <c r="EW812" i="94"/>
  <c r="DV812" i="94"/>
  <c r="LZ811" i="94"/>
  <c r="LR811" i="94"/>
  <c r="FX811" i="94"/>
  <c r="FO811" i="94"/>
  <c r="FG811" i="94"/>
  <c r="EY811" i="94"/>
  <c r="EQ811" i="94"/>
  <c r="EI811" i="94"/>
  <c r="BI811" i="94"/>
  <c r="BA811" i="94"/>
  <c r="AS811" i="94"/>
  <c r="AK811" i="94"/>
  <c r="AC811" i="94"/>
  <c r="LY811" i="94"/>
  <c r="LQ811" i="94"/>
  <c r="FV811" i="94"/>
  <c r="FN811" i="94"/>
  <c r="FF811" i="94"/>
  <c r="EX811" i="94"/>
  <c r="EP811" i="94"/>
  <c r="EH811" i="94"/>
  <c r="BH811" i="94"/>
  <c r="AZ811" i="94"/>
  <c r="AR811" i="94"/>
  <c r="AJ811" i="94"/>
  <c r="AB811" i="94"/>
  <c r="LS811" i="94"/>
  <c r="FT811" i="94"/>
  <c r="FJ811" i="94"/>
  <c r="EZ811" i="94"/>
  <c r="EN811" i="94"/>
  <c r="ED811" i="94"/>
  <c r="BB811" i="94"/>
  <c r="AP811" i="94"/>
  <c r="AF811" i="94"/>
  <c r="HZ811" i="94"/>
  <c r="FS811" i="94"/>
  <c r="FI811" i="94"/>
  <c r="EW811" i="94"/>
  <c r="EM811" i="94"/>
  <c r="BK811" i="94"/>
  <c r="AY811" i="94"/>
  <c r="AO811" i="94"/>
  <c r="AE811" i="94"/>
  <c r="GF811" i="94"/>
  <c r="FR811" i="94"/>
  <c r="FH811" i="94"/>
  <c r="EV811" i="94"/>
  <c r="EL811" i="94"/>
  <c r="BJ811" i="94"/>
  <c r="AX811" i="94"/>
  <c r="AN811" i="94"/>
  <c r="AD811" i="94"/>
  <c r="LX811" i="94"/>
  <c r="GE811" i="94"/>
  <c r="FQ811" i="94"/>
  <c r="FE811" i="94"/>
  <c r="EU811" i="94"/>
  <c r="EK811" i="94"/>
  <c r="BG811" i="94"/>
  <c r="AW811" i="94"/>
  <c r="AM811" i="94"/>
  <c r="AA811" i="94"/>
  <c r="LV811" i="94"/>
  <c r="GC811" i="94"/>
  <c r="FM811" i="94"/>
  <c r="FC811" i="94"/>
  <c r="ES811" i="94"/>
  <c r="EG811" i="94"/>
  <c r="BE811" i="94"/>
  <c r="AU811" i="94"/>
  <c r="AI811" i="94"/>
  <c r="Y811" i="94"/>
  <c r="GD811" i="94"/>
  <c r="FA811" i="94"/>
  <c r="BD811" i="94"/>
  <c r="Z811" i="94"/>
  <c r="GB811" i="94"/>
  <c r="ET811" i="94"/>
  <c r="BC811" i="94"/>
  <c r="X811" i="94"/>
  <c r="FU811" i="94"/>
  <c r="ER811" i="94"/>
  <c r="AV811" i="94"/>
  <c r="FP811" i="94"/>
  <c r="EO811" i="94"/>
  <c r="AT811" i="94"/>
  <c r="LW811" i="94"/>
  <c r="FK811" i="94"/>
  <c r="EF811" i="94"/>
  <c r="AL811" i="94"/>
  <c r="EE811" i="94"/>
  <c r="BF811" i="94"/>
  <c r="LU811" i="94"/>
  <c r="AQ811" i="94"/>
  <c r="LT811" i="94"/>
  <c r="AH811" i="94"/>
  <c r="FD811" i="94"/>
  <c r="MN810" i="94"/>
  <c r="MF810" i="94"/>
  <c r="LX810" i="94"/>
  <c r="LG810" i="94"/>
  <c r="IA810" i="94"/>
  <c r="HS810" i="94"/>
  <c r="HK810" i="94"/>
  <c r="HC810" i="94"/>
  <c r="GU810" i="94"/>
  <c r="GM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MM810" i="94"/>
  <c r="ME810" i="94"/>
  <c r="LW810" i="94"/>
  <c r="KY810" i="94"/>
  <c r="HZ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MO810" i="94"/>
  <c r="MC810" i="94"/>
  <c r="LS810" i="94"/>
  <c r="IB810" i="94"/>
  <c r="HP810" i="94"/>
  <c r="HF810" i="94"/>
  <c r="GV810" i="94"/>
  <c r="GJ810" i="94"/>
  <c r="FZ810" i="94"/>
  <c r="FP810" i="94"/>
  <c r="FD810" i="94"/>
  <c r="ET810" i="94"/>
  <c r="EJ810" i="94"/>
  <c r="DX810" i="94"/>
  <c r="DN810" i="94"/>
  <c r="DD810" i="94"/>
  <c r="CR810" i="94"/>
  <c r="CH810" i="94"/>
  <c r="BX810" i="94"/>
  <c r="BL810" i="94"/>
  <c r="BB810" i="94"/>
  <c r="AR810" i="94"/>
  <c r="AF810" i="94"/>
  <c r="ML810" i="94"/>
  <c r="MB810" i="94"/>
  <c r="LR810" i="94"/>
  <c r="HY810" i="94"/>
  <c r="HO810" i="94"/>
  <c r="HE810" i="94"/>
  <c r="GS810" i="94"/>
  <c r="GI810" i="94"/>
  <c r="FY810" i="94"/>
  <c r="FM810" i="94"/>
  <c r="FC810" i="94"/>
  <c r="ES810" i="94"/>
  <c r="EG810" i="94"/>
  <c r="DW810" i="94"/>
  <c r="DM810" i="94"/>
  <c r="DA810" i="94"/>
  <c r="CQ810" i="94"/>
  <c r="CG810" i="94"/>
  <c r="BU810" i="94"/>
  <c r="BK810" i="94"/>
  <c r="BA810" i="94"/>
  <c r="AO810" i="94"/>
  <c r="AE810" i="94"/>
  <c r="MK810" i="94"/>
  <c r="MA810" i="94"/>
  <c r="LQ810" i="94"/>
  <c r="HX810" i="94"/>
  <c r="HN810" i="94"/>
  <c r="HD810" i="94"/>
  <c r="GR810" i="94"/>
  <c r="GH810" i="94"/>
  <c r="FX810" i="94"/>
  <c r="FL810" i="94"/>
  <c r="FB810" i="94"/>
  <c r="ER810" i="94"/>
  <c r="EF810" i="94"/>
  <c r="DV810" i="94"/>
  <c r="DL810" i="94"/>
  <c r="CZ810" i="94"/>
  <c r="CP810" i="94"/>
  <c r="CF810" i="94"/>
  <c r="BT810" i="94"/>
  <c r="BJ810" i="94"/>
  <c r="AZ810" i="94"/>
  <c r="MJ810" i="94"/>
  <c r="LZ810" i="94"/>
  <c r="KA810" i="94"/>
  <c r="HW810" i="94"/>
  <c r="HM810" i="94"/>
  <c r="HA810" i="94"/>
  <c r="GQ810" i="94"/>
  <c r="GG810" i="94"/>
  <c r="FU810" i="94"/>
  <c r="FK810" i="94"/>
  <c r="FA810" i="94"/>
  <c r="EO810" i="94"/>
  <c r="EE810" i="94"/>
  <c r="DU810" i="94"/>
  <c r="DI810" i="94"/>
  <c r="CY810" i="94"/>
  <c r="CO810" i="94"/>
  <c r="CC810" i="94"/>
  <c r="BS810" i="94"/>
  <c r="BI810" i="94"/>
  <c r="AW810" i="94"/>
  <c r="AM810" i="94"/>
  <c r="AC810" i="94"/>
  <c r="MH810" i="94"/>
  <c r="LV810" i="94"/>
  <c r="IM810" i="94"/>
  <c r="HU810" i="94"/>
  <c r="HI810" i="94"/>
  <c r="GY810" i="94"/>
  <c r="GO810" i="94"/>
  <c r="GC810" i="94"/>
  <c r="FS810" i="94"/>
  <c r="FI810" i="94"/>
  <c r="EW810" i="94"/>
  <c r="EM810" i="94"/>
  <c r="EC810" i="94"/>
  <c r="DQ810" i="94"/>
  <c r="DG810" i="94"/>
  <c r="CW810" i="94"/>
  <c r="CK810" i="94"/>
  <c r="CA810" i="94"/>
  <c r="BQ810" i="94"/>
  <c r="BE810" i="94"/>
  <c r="AU810" i="94"/>
  <c r="AK810" i="94"/>
  <c r="Y810" i="94"/>
  <c r="LT810" i="94"/>
  <c r="HH810" i="94"/>
  <c r="GF810" i="94"/>
  <c r="FE810" i="94"/>
  <c r="EB810" i="94"/>
  <c r="CX810" i="94"/>
  <c r="BY810" i="94"/>
  <c r="AT810" i="94"/>
  <c r="X810" i="94"/>
  <c r="IU810" i="94"/>
  <c r="HG810" i="94"/>
  <c r="GB810" i="94"/>
  <c r="EZ810" i="94"/>
  <c r="DY810" i="94"/>
  <c r="CV810" i="94"/>
  <c r="BR810" i="94"/>
  <c r="AS810" i="94"/>
  <c r="NC810" i="94"/>
  <c r="ID810" i="94"/>
  <c r="GZ810" i="94"/>
  <c r="GA810" i="94"/>
  <c r="EV810" i="94"/>
  <c r="DT810" i="94"/>
  <c r="CS810" i="94"/>
  <c r="BP810" i="94"/>
  <c r="AN810" i="94"/>
  <c r="MI810" i="94"/>
  <c r="IC810" i="94"/>
  <c r="GX810" i="94"/>
  <c r="FT810" i="94"/>
  <c r="EU810" i="94"/>
  <c r="DP810" i="94"/>
  <c r="CN810" i="94"/>
  <c r="BM810" i="94"/>
  <c r="AL810" i="94"/>
  <c r="MD810" i="94"/>
  <c r="HT810" i="94"/>
  <c r="GP810" i="94"/>
  <c r="FQ810" i="94"/>
  <c r="EL810" i="94"/>
  <c r="DH810" i="94"/>
  <c r="CI810" i="94"/>
  <c r="BD810" i="94"/>
  <c r="AG810" i="94"/>
  <c r="HV810" i="94"/>
  <c r="FH810" i="94"/>
  <c r="CB810" i="94"/>
  <c r="HQ810" i="94"/>
  <c r="EN810" i="94"/>
  <c r="BZ810" i="94"/>
  <c r="HL810" i="94"/>
  <c r="EK810" i="94"/>
  <c r="BH810" i="94"/>
  <c r="GW810" i="94"/>
  <c r="ED810" i="94"/>
  <c r="BC810" i="94"/>
  <c r="MG810" i="94"/>
  <c r="GK810" i="94"/>
  <c r="DF810" i="94"/>
  <c r="AJ810" i="94"/>
  <c r="LV809" i="94"/>
  <c r="GE809" i="94"/>
  <c r="FW809" i="94"/>
  <c r="FO809" i="94"/>
  <c r="FG809" i="94"/>
  <c r="EY809" i="94"/>
  <c r="EQ809" i="94"/>
  <c r="EI809" i="94"/>
  <c r="EA809" i="94"/>
  <c r="DS809" i="94"/>
  <c r="DK809" i="94"/>
  <c r="DC809" i="94"/>
  <c r="LU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LY809" i="94"/>
  <c r="GF809" i="94"/>
  <c r="FT809" i="94"/>
  <c r="FJ809" i="94"/>
  <c r="EZ809" i="94"/>
  <c r="EN809" i="94"/>
  <c r="ED809" i="94"/>
  <c r="DT809" i="94"/>
  <c r="DH809" i="94"/>
  <c r="CX809" i="94"/>
  <c r="CO809" i="94"/>
  <c r="CF809" i="94"/>
  <c r="BW809" i="94"/>
  <c r="BM809" i="94"/>
  <c r="BD809" i="94"/>
  <c r="AU809" i="94"/>
  <c r="AL809" i="94"/>
  <c r="AC809" i="94"/>
  <c r="LX809" i="94"/>
  <c r="GC809" i="94"/>
  <c r="FS809" i="94"/>
  <c r="FI809" i="94"/>
  <c r="EW809" i="94"/>
  <c r="EM809" i="94"/>
  <c r="EC809" i="94"/>
  <c r="DQ809" i="94"/>
  <c r="DG809" i="94"/>
  <c r="CW809" i="94"/>
  <c r="CN809" i="94"/>
  <c r="CE809" i="94"/>
  <c r="BU809" i="94"/>
  <c r="BL809" i="94"/>
  <c r="BC809" i="94"/>
  <c r="AT809" i="94"/>
  <c r="AK809" i="94"/>
  <c r="AB809" i="94"/>
  <c r="LT809" i="94"/>
  <c r="GA809" i="94"/>
  <c r="FQ809" i="94"/>
  <c r="FE809" i="94"/>
  <c r="EU809" i="94"/>
  <c r="EK809" i="94"/>
  <c r="DY809" i="94"/>
  <c r="DO809" i="94"/>
  <c r="DE809" i="94"/>
  <c r="CU809" i="94"/>
  <c r="CK809" i="94"/>
  <c r="CB809" i="94"/>
  <c r="BS809" i="94"/>
  <c r="BJ809" i="94"/>
  <c r="BA809" i="94"/>
  <c r="AR809" i="94"/>
  <c r="AI809" i="94"/>
  <c r="Y809" i="94"/>
  <c r="LR809" i="94"/>
  <c r="FY809" i="94"/>
  <c r="FM809" i="94"/>
  <c r="FC809" i="94"/>
  <c r="ES809" i="94"/>
  <c r="EG809" i="94"/>
  <c r="DW809" i="94"/>
  <c r="DM809" i="94"/>
  <c r="DA809" i="94"/>
  <c r="CR809" i="94"/>
  <c r="CI809" i="94"/>
  <c r="BZ809" i="94"/>
  <c r="BQ809" i="94"/>
  <c r="BH809" i="94"/>
  <c r="AY809" i="94"/>
  <c r="AO809" i="94"/>
  <c r="AF809" i="94"/>
  <c r="FX809" i="94"/>
  <c r="FB809" i="94"/>
  <c r="EF809" i="94"/>
  <c r="DL809" i="94"/>
  <c r="CQ809" i="94"/>
  <c r="BY809" i="94"/>
  <c r="BG809" i="94"/>
  <c r="AN809" i="94"/>
  <c r="LZ809" i="94"/>
  <c r="FU809" i="94"/>
  <c r="FA809" i="94"/>
  <c r="EE809" i="94"/>
  <c r="DI809" i="94"/>
  <c r="CP809" i="94"/>
  <c r="BX809" i="94"/>
  <c r="BE809" i="94"/>
  <c r="AM809" i="94"/>
  <c r="LW809" i="94"/>
  <c r="FR809" i="94"/>
  <c r="EV809" i="94"/>
  <c r="EB809" i="94"/>
  <c r="DF809" i="94"/>
  <c r="CM809" i="94"/>
  <c r="BT809" i="94"/>
  <c r="BB809" i="94"/>
  <c r="AJ809" i="94"/>
  <c r="LS809" i="94"/>
  <c r="FP809" i="94"/>
  <c r="ET809" i="94"/>
  <c r="DX809" i="94"/>
  <c r="DD809" i="94"/>
  <c r="CJ809" i="94"/>
  <c r="BR809" i="94"/>
  <c r="AZ809" i="94"/>
  <c r="AG809" i="94"/>
  <c r="IC809" i="94"/>
  <c r="FK809" i="94"/>
  <c r="EO809" i="94"/>
  <c r="DU809" i="94"/>
  <c r="CY809" i="94"/>
  <c r="CG809" i="94"/>
  <c r="BO809" i="94"/>
  <c r="AV809" i="94"/>
  <c r="AD809" i="94"/>
  <c r="LQ809" i="94"/>
  <c r="EJ809" i="94"/>
  <c r="CC809" i="94"/>
  <c r="AE809" i="94"/>
  <c r="GB809" i="94"/>
  <c r="DV809" i="94"/>
  <c r="CA809" i="94"/>
  <c r="AA809" i="94"/>
  <c r="FZ809" i="94"/>
  <c r="DP809" i="94"/>
  <c r="BP809" i="94"/>
  <c r="X809" i="94"/>
  <c r="FL809" i="94"/>
  <c r="DN809" i="94"/>
  <c r="BK809" i="94"/>
  <c r="FD809" i="94"/>
  <c r="CV809" i="94"/>
  <c r="AW809" i="94"/>
  <c r="MJ808" i="94"/>
  <c r="MB808" i="94"/>
  <c r="LT808" i="94"/>
  <c r="LG808" i="94"/>
  <c r="KN808" i="94"/>
  <c r="JU808" i="94"/>
  <c r="JF808" i="94"/>
  <c r="IU808" i="94"/>
  <c r="IH808" i="94"/>
  <c r="HZ808" i="94"/>
  <c r="HR808" i="94"/>
  <c r="HJ808" i="94"/>
  <c r="HB808" i="94"/>
  <c r="GT808" i="94"/>
  <c r="GL808" i="94"/>
  <c r="GD808" i="94"/>
  <c r="FV808" i="94"/>
  <c r="FN808" i="94"/>
  <c r="FF808" i="94"/>
  <c r="EX808" i="94"/>
  <c r="EP808" i="94"/>
  <c r="ML808" i="94"/>
  <c r="MC808" i="94"/>
  <c r="LS808" i="94"/>
  <c r="LA808" i="94"/>
  <c r="KF808" i="94"/>
  <c r="JM808" i="94"/>
  <c r="IY808" i="94"/>
  <c r="IJ808" i="94"/>
  <c r="IA808" i="94"/>
  <c r="MK808" i="94"/>
  <c r="MA808" i="94"/>
  <c r="LR808" i="94"/>
  <c r="KY808" i="94"/>
  <c r="KE808" i="94"/>
  <c r="JL808" i="94"/>
  <c r="IW808" i="94"/>
  <c r="II808" i="94"/>
  <c r="HY808" i="94"/>
  <c r="HP808" i="94"/>
  <c r="HG808" i="94"/>
  <c r="GX808" i="94"/>
  <c r="GO808" i="94"/>
  <c r="GF808" i="94"/>
  <c r="FW808" i="94"/>
  <c r="FM808" i="94"/>
  <c r="FD808" i="94"/>
  <c r="EU808" i="94"/>
  <c r="EL808" i="94"/>
  <c r="ED808" i="94"/>
  <c r="DV808" i="94"/>
  <c r="DN808" i="94"/>
  <c r="DF808" i="94"/>
  <c r="CX808" i="94"/>
  <c r="CP808" i="94"/>
  <c r="CH808" i="94"/>
  <c r="BZ808" i="94"/>
  <c r="BR808" i="94"/>
  <c r="BJ808" i="94"/>
  <c r="BB808" i="94"/>
  <c r="AT808" i="94"/>
  <c r="AL808" i="94"/>
  <c r="AD808" i="94"/>
  <c r="MO808" i="94"/>
  <c r="MF808" i="94"/>
  <c r="LW808" i="94"/>
  <c r="LK808" i="94"/>
  <c r="KQ808" i="94"/>
  <c r="JS808" i="94"/>
  <c r="JD808" i="94"/>
  <c r="IP808" i="94"/>
  <c r="ID808" i="94"/>
  <c r="HU808" i="94"/>
  <c r="HL808" i="94"/>
  <c r="HC808" i="94"/>
  <c r="GS808" i="94"/>
  <c r="MN808" i="94"/>
  <c r="LY808" i="94"/>
  <c r="LD808" i="94"/>
  <c r="JX808" i="94"/>
  <c r="IV808" i="94"/>
  <c r="IC808" i="94"/>
  <c r="HO808" i="94"/>
  <c r="HD808" i="94"/>
  <c r="GQ808" i="94"/>
  <c r="GG808" i="94"/>
  <c r="FU808" i="94"/>
  <c r="FK808" i="94"/>
  <c r="FA808" i="94"/>
  <c r="EQ808" i="94"/>
  <c r="EG808" i="94"/>
  <c r="DX808" i="94"/>
  <c r="DO808" i="94"/>
  <c r="DE808" i="94"/>
  <c r="CV808" i="94"/>
  <c r="CM808" i="94"/>
  <c r="CD808" i="94"/>
  <c r="BU808" i="94"/>
  <c r="BL808" i="94"/>
  <c r="BC808" i="94"/>
  <c r="AS808" i="94"/>
  <c r="AJ808" i="94"/>
  <c r="AA808" i="94"/>
  <c r="MM808" i="94"/>
  <c r="LX808" i="94"/>
  <c r="KV808" i="94"/>
  <c r="JP808" i="94"/>
  <c r="IR808" i="94"/>
  <c r="IB808" i="94"/>
  <c r="HN808" i="94"/>
  <c r="HA808" i="94"/>
  <c r="GP808" i="94"/>
  <c r="GE808" i="94"/>
  <c r="FT808" i="94"/>
  <c r="FJ808" i="94"/>
  <c r="EZ808" i="94"/>
  <c r="EO808" i="94"/>
  <c r="EF808" i="94"/>
  <c r="DW808" i="94"/>
  <c r="DM808" i="94"/>
  <c r="DD808" i="94"/>
  <c r="CU808" i="94"/>
  <c r="CL808" i="94"/>
  <c r="CC808" i="94"/>
  <c r="BT808" i="94"/>
  <c r="BK808" i="94"/>
  <c r="BA808" i="94"/>
  <c r="AR808" i="94"/>
  <c r="AI808" i="94"/>
  <c r="Z808" i="94"/>
  <c r="MI808" i="94"/>
  <c r="LV808" i="94"/>
  <c r="KU808" i="94"/>
  <c r="JO808" i="94"/>
  <c r="IQ808" i="94"/>
  <c r="HX808" i="94"/>
  <c r="HM808" i="94"/>
  <c r="GZ808" i="94"/>
  <c r="GN808" i="94"/>
  <c r="GC808" i="94"/>
  <c r="FS808" i="94"/>
  <c r="FI808" i="94"/>
  <c r="EY808" i="94"/>
  <c r="EN808" i="94"/>
  <c r="EE808" i="94"/>
  <c r="DU808" i="94"/>
  <c r="DL808" i="94"/>
  <c r="DC808" i="94"/>
  <c r="CT808" i="94"/>
  <c r="CK808" i="94"/>
  <c r="CB808" i="94"/>
  <c r="BS808" i="94"/>
  <c r="BI808" i="94"/>
  <c r="AZ808" i="94"/>
  <c r="AQ808" i="94"/>
  <c r="AH808" i="94"/>
  <c r="Y808" i="94"/>
  <c r="MH808" i="94"/>
  <c r="LU808" i="94"/>
  <c r="KS808" i="94"/>
  <c r="JK808" i="94"/>
  <c r="IO808" i="94"/>
  <c r="HW808" i="94"/>
  <c r="HK808" i="94"/>
  <c r="GY808" i="94"/>
  <c r="GM808" i="94"/>
  <c r="GB808" i="94"/>
  <c r="FR808" i="94"/>
  <c r="FH808" i="94"/>
  <c r="EW808" i="94"/>
  <c r="EM808" i="94"/>
  <c r="ME808" i="94"/>
  <c r="LO808" i="94"/>
  <c r="KI808" i="94"/>
  <c r="JE808" i="94"/>
  <c r="IG808" i="94"/>
  <c r="HT808" i="94"/>
  <c r="HH808" i="94"/>
  <c r="GV808" i="94"/>
  <c r="GJ808" i="94"/>
  <c r="FZ808" i="94"/>
  <c r="FP808" i="94"/>
  <c r="FE808" i="94"/>
  <c r="ET808" i="94"/>
  <c r="EJ808" i="94"/>
  <c r="EA808" i="94"/>
  <c r="DR808" i="94"/>
  <c r="DI808" i="94"/>
  <c r="CZ808" i="94"/>
  <c r="CQ808" i="94"/>
  <c r="CG808" i="94"/>
  <c r="BX808" i="94"/>
  <c r="BO808" i="94"/>
  <c r="BF808" i="94"/>
  <c r="AW808" i="94"/>
  <c r="AN808" i="94"/>
  <c r="AE808" i="94"/>
  <c r="LI808" i="94"/>
  <c r="IF808" i="94"/>
  <c r="GW808" i="94"/>
  <c r="FX808" i="94"/>
  <c r="ES808" i="94"/>
  <c r="DY808" i="94"/>
  <c r="DG808" i="94"/>
  <c r="CN808" i="94"/>
  <c r="BV808" i="94"/>
  <c r="BD808" i="94"/>
  <c r="AK808" i="94"/>
  <c r="KK808" i="94"/>
  <c r="IE808" i="94"/>
  <c r="GU808" i="94"/>
  <c r="FQ808" i="94"/>
  <c r="ER808" i="94"/>
  <c r="DT808" i="94"/>
  <c r="DB808" i="94"/>
  <c r="CJ808" i="94"/>
  <c r="BQ808" i="94"/>
  <c r="AY808" i="94"/>
  <c r="AG808" i="94"/>
  <c r="KC808" i="94"/>
  <c r="HV808" i="94"/>
  <c r="GR808" i="94"/>
  <c r="FO808" i="94"/>
  <c r="EK808" i="94"/>
  <c r="DS808" i="94"/>
  <c r="DA808" i="94"/>
  <c r="CI808" i="94"/>
  <c r="BP808" i="94"/>
  <c r="AX808" i="94"/>
  <c r="AF808" i="94"/>
  <c r="MG808" i="94"/>
  <c r="KA808" i="94"/>
  <c r="HS808" i="94"/>
  <c r="GK808" i="94"/>
  <c r="FL808" i="94"/>
  <c r="EI808" i="94"/>
  <c r="DQ808" i="94"/>
  <c r="CY808" i="94"/>
  <c r="CF808" i="94"/>
  <c r="BN808" i="94"/>
  <c r="AV808" i="94"/>
  <c r="AC808" i="94"/>
  <c r="LZ808" i="94"/>
  <c r="JC808" i="94"/>
  <c r="HI808" i="94"/>
  <c r="GH808" i="94"/>
  <c r="FC808" i="94"/>
  <c r="EC808" i="94"/>
  <c r="DK808" i="94"/>
  <c r="CS808" i="94"/>
  <c r="CA808" i="94"/>
  <c r="BH808" i="94"/>
  <c r="AP808" i="94"/>
  <c r="X808" i="94"/>
  <c r="LY807" i="94"/>
  <c r="LQ807" i="94"/>
  <c r="FT807" i="94"/>
  <c r="FL807" i="94"/>
  <c r="FD807" i="94"/>
  <c r="EV807" i="94"/>
  <c r="LU807" i="94"/>
  <c r="GB807" i="94"/>
  <c r="FN807" i="94"/>
  <c r="FE807" i="94"/>
  <c r="EU807" i="94"/>
  <c r="EM807" i="94"/>
  <c r="EE807" i="94"/>
  <c r="BE807" i="94"/>
  <c r="AW807" i="94"/>
  <c r="AO807" i="94"/>
  <c r="AG807" i="94"/>
  <c r="Y807" i="94"/>
  <c r="LT807" i="94"/>
  <c r="FV807" i="94"/>
  <c r="FM807" i="94"/>
  <c r="FC807" i="94"/>
  <c r="ET807" i="94"/>
  <c r="EL807" i="94"/>
  <c r="ED807" i="94"/>
  <c r="BD807" i="94"/>
  <c r="AV807" i="94"/>
  <c r="AN807" i="94"/>
  <c r="AF807" i="94"/>
  <c r="LS807" i="94"/>
  <c r="FU807" i="94"/>
  <c r="FK807" i="94"/>
  <c r="FB807" i="94"/>
  <c r="ES807" i="94"/>
  <c r="EK807" i="94"/>
  <c r="BK807" i="94"/>
  <c r="BC807" i="94"/>
  <c r="AU807" i="94"/>
  <c r="AM807" i="94"/>
  <c r="AE807" i="94"/>
  <c r="LX807" i="94"/>
  <c r="GE807" i="94"/>
  <c r="FQ807" i="94"/>
  <c r="FH807" i="94"/>
  <c r="EY807" i="94"/>
  <c r="EP807" i="94"/>
  <c r="EH807" i="94"/>
  <c r="BH807" i="94"/>
  <c r="AZ807" i="94"/>
  <c r="AR807" i="94"/>
  <c r="AJ807" i="94"/>
  <c r="AB807" i="94"/>
  <c r="LV807" i="94"/>
  <c r="FO807" i="94"/>
  <c r="EW807" i="94"/>
  <c r="EF807" i="94"/>
  <c r="AX807" i="94"/>
  <c r="AH807" i="94"/>
  <c r="LR807" i="94"/>
  <c r="FJ807" i="94"/>
  <c r="ER807" i="94"/>
  <c r="BJ807" i="94"/>
  <c r="AT807" i="94"/>
  <c r="AD807" i="94"/>
  <c r="GF807" i="94"/>
  <c r="FI807" i="94"/>
  <c r="EQ807" i="94"/>
  <c r="BI807" i="94"/>
  <c r="AS807" i="94"/>
  <c r="AC807" i="94"/>
  <c r="GD807" i="94"/>
  <c r="FG807" i="94"/>
  <c r="EO807" i="94"/>
  <c r="BG807" i="94"/>
  <c r="AQ807" i="94"/>
  <c r="AA807" i="94"/>
  <c r="FS807" i="94"/>
  <c r="FA807" i="94"/>
  <c r="EJ807" i="94"/>
  <c r="BB807" i="94"/>
  <c r="AL807" i="94"/>
  <c r="X807" i="94"/>
  <c r="MN806" i="94"/>
  <c r="MF806" i="94"/>
  <c r="LX806" i="94"/>
  <c r="ND806" i="94"/>
  <c r="ML806" i="94"/>
  <c r="MD806" i="94"/>
  <c r="LV806" i="94"/>
  <c r="LN806" i="94"/>
  <c r="LF806" i="94"/>
  <c r="KX806" i="94"/>
  <c r="KP806" i="94"/>
  <c r="KH806" i="94"/>
  <c r="JZ806" i="94"/>
  <c r="JR806" i="94"/>
  <c r="JJ806" i="94"/>
  <c r="JB806" i="94"/>
  <c r="IT806" i="94"/>
  <c r="IL806" i="94"/>
  <c r="ID806" i="94"/>
  <c r="HV806" i="94"/>
  <c r="HN806" i="94"/>
  <c r="NA806" i="94"/>
  <c r="MI806" i="94"/>
  <c r="MA806" i="94"/>
  <c r="LS806" i="94"/>
  <c r="LK806" i="94"/>
  <c r="LC806" i="94"/>
  <c r="KU806" i="94"/>
  <c r="KM806" i="94"/>
  <c r="KE806" i="94"/>
  <c r="JW806" i="94"/>
  <c r="JO806" i="94"/>
  <c r="JG806" i="94"/>
  <c r="IY806" i="94"/>
  <c r="IQ806" i="94"/>
  <c r="II806" i="94"/>
  <c r="IA806" i="94"/>
  <c r="HS806" i="94"/>
  <c r="HK806" i="94"/>
  <c r="HC806" i="94"/>
  <c r="GU806" i="94"/>
  <c r="GM806" i="94"/>
  <c r="MZ806" i="94"/>
  <c r="MC806" i="94"/>
  <c r="LQ806" i="94"/>
  <c r="LG806" i="94"/>
  <c r="KV806" i="94"/>
  <c r="KK806" i="94"/>
  <c r="KA806" i="94"/>
  <c r="JP806" i="94"/>
  <c r="JE806" i="94"/>
  <c r="IU806" i="94"/>
  <c r="IJ806" i="94"/>
  <c r="HY806" i="94"/>
  <c r="HO806" i="94"/>
  <c r="HE806" i="94"/>
  <c r="GV806" i="94"/>
  <c r="GL806" i="94"/>
  <c r="GD806" i="94"/>
  <c r="FQ806" i="94"/>
  <c r="FI806" i="94"/>
  <c r="FA806" i="94"/>
  <c r="ES806" i="94"/>
  <c r="EK806" i="94"/>
  <c r="BK806" i="94"/>
  <c r="BC806" i="94"/>
  <c r="AU806" i="94"/>
  <c r="AM806" i="94"/>
  <c r="AE806" i="94"/>
  <c r="MO806" i="94"/>
  <c r="MB806" i="94"/>
  <c r="LP806" i="94"/>
  <c r="LE806" i="94"/>
  <c r="KT806" i="94"/>
  <c r="KJ806" i="94"/>
  <c r="JY806" i="94"/>
  <c r="JN806" i="94"/>
  <c r="JD806" i="94"/>
  <c r="IS806" i="94"/>
  <c r="IH806" i="94"/>
  <c r="HX806" i="94"/>
  <c r="HM806" i="94"/>
  <c r="HD806" i="94"/>
  <c r="GT806" i="94"/>
  <c r="GK806" i="94"/>
  <c r="GC806" i="94"/>
  <c r="FP806" i="94"/>
  <c r="FH806" i="94"/>
  <c r="EZ806" i="94"/>
  <c r="ER806" i="94"/>
  <c r="EJ806" i="94"/>
  <c r="BJ806" i="94"/>
  <c r="BB806" i="94"/>
  <c r="AT806" i="94"/>
  <c r="AL806" i="94"/>
  <c r="AD806" i="94"/>
  <c r="MM806" i="94"/>
  <c r="LZ806" i="94"/>
  <c r="LO806" i="94"/>
  <c r="LD806" i="94"/>
  <c r="KS806" i="94"/>
  <c r="KI806" i="94"/>
  <c r="JX806" i="94"/>
  <c r="JM806" i="94"/>
  <c r="JC806" i="94"/>
  <c r="IR806" i="94"/>
  <c r="IG806" i="94"/>
  <c r="HW806" i="94"/>
  <c r="HL806" i="94"/>
  <c r="HB806" i="94"/>
  <c r="GS806" i="94"/>
  <c r="GJ806" i="94"/>
  <c r="GB806" i="94"/>
  <c r="FO806" i="94"/>
  <c r="FG806" i="94"/>
  <c r="EY806" i="94"/>
  <c r="EQ806" i="94"/>
  <c r="EI806" i="94"/>
  <c r="BI806" i="94"/>
  <c r="BA806" i="94"/>
  <c r="AS806" i="94"/>
  <c r="AK806" i="94"/>
  <c r="AC806" i="94"/>
  <c r="MK806" i="94"/>
  <c r="LY806" i="94"/>
  <c r="LM806" i="94"/>
  <c r="LB806" i="94"/>
  <c r="KR806" i="94"/>
  <c r="KG806" i="94"/>
  <c r="JV806" i="94"/>
  <c r="JL806" i="94"/>
  <c r="JA806" i="94"/>
  <c r="IP806" i="94"/>
  <c r="IF806" i="94"/>
  <c r="HU806" i="94"/>
  <c r="HJ806" i="94"/>
  <c r="HA806" i="94"/>
  <c r="GR806" i="94"/>
  <c r="GI806" i="94"/>
  <c r="FV806" i="94"/>
  <c r="FN806" i="94"/>
  <c r="FF806" i="94"/>
  <c r="EX806" i="94"/>
  <c r="EP806" i="94"/>
  <c r="EH806" i="94"/>
  <c r="BH806" i="94"/>
  <c r="AZ806" i="94"/>
  <c r="AR806" i="94"/>
  <c r="AJ806" i="94"/>
  <c r="AB806" i="94"/>
  <c r="MH806" i="94"/>
  <c r="LU806" i="94"/>
  <c r="LJ806" i="94"/>
  <c r="KZ806" i="94"/>
  <c r="KO806" i="94"/>
  <c r="KD806" i="94"/>
  <c r="JT806" i="94"/>
  <c r="JI806" i="94"/>
  <c r="IX806" i="94"/>
  <c r="IN806" i="94"/>
  <c r="IC806" i="94"/>
  <c r="HR806" i="94"/>
  <c r="HH806" i="94"/>
  <c r="GY806" i="94"/>
  <c r="GP806" i="94"/>
  <c r="GG806" i="94"/>
  <c r="FT806" i="94"/>
  <c r="FL806" i="94"/>
  <c r="FD806" i="94"/>
  <c r="EV806" i="94"/>
  <c r="EN806" i="94"/>
  <c r="EF806" i="94"/>
  <c r="BF806" i="94"/>
  <c r="AX806" i="94"/>
  <c r="AP806" i="94"/>
  <c r="AH806" i="94"/>
  <c r="Z806" i="94"/>
  <c r="LZ805" i="94"/>
  <c r="LR805" i="94"/>
  <c r="FV805" i="94"/>
  <c r="FN805" i="94"/>
  <c r="FF805" i="94"/>
  <c r="EX805" i="94"/>
  <c r="EP805" i="94"/>
  <c r="EH805" i="94"/>
  <c r="CS805" i="94"/>
  <c r="BH805" i="94"/>
  <c r="AZ805" i="94"/>
  <c r="AR805" i="94"/>
  <c r="AJ805" i="94"/>
  <c r="AB805" i="94"/>
  <c r="LY805" i="94"/>
  <c r="LQ805" i="94"/>
  <c r="FU805" i="94"/>
  <c r="FM805" i="94"/>
  <c r="FE805" i="94"/>
  <c r="EW805" i="94"/>
  <c r="EO805" i="94"/>
  <c r="EG805" i="94"/>
  <c r="CK805" i="94"/>
  <c r="BG805" i="94"/>
  <c r="AY805" i="94"/>
  <c r="AQ805" i="94"/>
  <c r="AI805" i="94"/>
  <c r="AA805" i="94"/>
  <c r="LX805" i="94"/>
  <c r="ID805" i="94"/>
  <c r="FT805" i="94"/>
  <c r="FL805" i="94"/>
  <c r="FD805" i="94"/>
  <c r="EV805" i="94"/>
  <c r="EN805" i="94"/>
  <c r="EF805" i="94"/>
  <c r="CC805" i="94"/>
  <c r="BF805" i="94"/>
  <c r="AX805" i="94"/>
  <c r="AP805" i="94"/>
  <c r="AH805" i="94"/>
  <c r="Z805" i="94"/>
  <c r="LW805" i="94"/>
  <c r="GF805" i="94"/>
  <c r="FS805" i="94"/>
  <c r="FK805" i="94"/>
  <c r="FC805" i="94"/>
  <c r="EU805" i="94"/>
  <c r="EM805" i="94"/>
  <c r="EE805" i="94"/>
  <c r="BU805" i="94"/>
  <c r="BE805" i="94"/>
  <c r="AW805" i="94"/>
  <c r="AO805" i="94"/>
  <c r="AG805" i="94"/>
  <c r="Y805" i="94"/>
  <c r="LU805" i="94"/>
  <c r="GD805" i="94"/>
  <c r="FQ805" i="94"/>
  <c r="FI805" i="94"/>
  <c r="FA805" i="94"/>
  <c r="ES805" i="94"/>
  <c r="EK805" i="94"/>
  <c r="DY805" i="94"/>
  <c r="BK805" i="94"/>
  <c r="BC805" i="94"/>
  <c r="AU805" i="94"/>
  <c r="AM805" i="94"/>
  <c r="AE805" i="94"/>
  <c r="NA804" i="94"/>
  <c r="MI804" i="94"/>
  <c r="MA804" i="94"/>
  <c r="LS804" i="94"/>
  <c r="LK804" i="94"/>
  <c r="LC804" i="94"/>
  <c r="KU804" i="94"/>
  <c r="KM804" i="94"/>
  <c r="KE804" i="94"/>
  <c r="JW804" i="94"/>
  <c r="JO804" i="94"/>
  <c r="JG804" i="94"/>
  <c r="IY804" i="94"/>
  <c r="IQ804" i="94"/>
  <c r="II804" i="94"/>
  <c r="IA804" i="94"/>
  <c r="HS804" i="94"/>
  <c r="HK804" i="94"/>
  <c r="HC804" i="94"/>
  <c r="GU804" i="94"/>
  <c r="GM804" i="94"/>
  <c r="GE804" i="94"/>
  <c r="FW804" i="94"/>
  <c r="FO804" i="94"/>
  <c r="FG804" i="94"/>
  <c r="EY804" i="94"/>
  <c r="EQ804" i="94"/>
  <c r="EI804" i="94"/>
  <c r="EA804" i="94"/>
  <c r="DS804" i="94"/>
  <c r="DK804" i="94"/>
  <c r="DC804" i="94"/>
  <c r="CU804" i="94"/>
  <c r="CM804" i="94"/>
  <c r="CE804" i="94"/>
  <c r="BW804" i="94"/>
  <c r="MZ804" i="94"/>
  <c r="MH804" i="94"/>
  <c r="LZ804" i="94"/>
  <c r="LR804" i="94"/>
  <c r="LJ804" i="94"/>
  <c r="LB804" i="94"/>
  <c r="KT804" i="94"/>
  <c r="KL804" i="94"/>
  <c r="KD804" i="94"/>
  <c r="JV804" i="94"/>
  <c r="JN804" i="94"/>
  <c r="JF804" i="94"/>
  <c r="IX804" i="94"/>
  <c r="IP804" i="94"/>
  <c r="IH804" i="94"/>
  <c r="HZ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O804" i="94"/>
  <c r="MG804" i="94"/>
  <c r="LY804" i="94"/>
  <c r="LQ804" i="94"/>
  <c r="LI804" i="94"/>
  <c r="LA804" i="94"/>
  <c r="KS804" i="94"/>
  <c r="KK804" i="94"/>
  <c r="KC804" i="94"/>
  <c r="JU804" i="94"/>
  <c r="JM804" i="94"/>
  <c r="JE804" i="94"/>
  <c r="IW804" i="94"/>
  <c r="IO804" i="94"/>
  <c r="IG804" i="94"/>
  <c r="HY804" i="94"/>
  <c r="HQ804" i="94"/>
  <c r="HI804" i="94"/>
  <c r="HA804" i="94"/>
  <c r="GS804" i="94"/>
  <c r="GK804" i="94"/>
  <c r="GC804" i="94"/>
  <c r="MN804" i="94"/>
  <c r="MF804" i="94"/>
  <c r="LX804" i="94"/>
  <c r="LP804" i="94"/>
  <c r="LH804" i="94"/>
  <c r="KZ804" i="94"/>
  <c r="KR804" i="94"/>
  <c r="KJ804" i="94"/>
  <c r="KB804" i="94"/>
  <c r="JT804" i="94"/>
  <c r="JL804" i="94"/>
  <c r="JD804" i="94"/>
  <c r="IV804" i="94"/>
  <c r="IN804" i="94"/>
  <c r="IF804" i="94"/>
  <c r="ND804" i="94"/>
  <c r="ML804" i="94"/>
  <c r="MD804" i="94"/>
  <c r="LV804" i="94"/>
  <c r="LN804" i="94"/>
  <c r="LF804" i="94"/>
  <c r="KX804" i="94"/>
  <c r="KP804" i="94"/>
  <c r="KH804" i="94"/>
  <c r="JZ804" i="94"/>
  <c r="JR804" i="94"/>
  <c r="JJ804" i="94"/>
  <c r="JB804" i="94"/>
  <c r="IT804" i="94"/>
  <c r="IL804" i="94"/>
  <c r="ID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LU803" i="94"/>
  <c r="GD803" i="94"/>
  <c r="FR803" i="94"/>
  <c r="FJ803" i="94"/>
  <c r="FB803" i="94"/>
  <c r="ET803" i="94"/>
  <c r="EL803" i="94"/>
  <c r="ED803" i="94"/>
  <c r="BR803" i="94"/>
  <c r="BD803" i="94"/>
  <c r="AV803" i="94"/>
  <c r="AN803" i="94"/>
  <c r="AF803" i="94"/>
  <c r="X803" i="94"/>
  <c r="LY803" i="94"/>
  <c r="LQ803" i="94"/>
  <c r="FV803" i="94"/>
  <c r="FN803" i="94"/>
  <c r="FF803" i="94"/>
  <c r="EX803" i="94"/>
  <c r="EP803" i="94"/>
  <c r="EH803" i="94"/>
  <c r="CX803" i="94"/>
  <c r="BH803" i="94"/>
  <c r="AZ803" i="94"/>
  <c r="AR803" i="94"/>
  <c r="AJ803" i="94"/>
  <c r="AB803" i="94"/>
  <c r="MM802" i="94"/>
  <c r="NA802" i="94"/>
  <c r="AE804" i="94"/>
  <c r="AO804" i="94"/>
  <c r="AZ804" i="94"/>
  <c r="BK804" i="94"/>
  <c r="BU804" i="94"/>
  <c r="CI804" i="94"/>
  <c r="CV804" i="94"/>
  <c r="DH804" i="94"/>
  <c r="DU804" i="94"/>
  <c r="EG804" i="94"/>
  <c r="EU804" i="94"/>
  <c r="FH804" i="94"/>
  <c r="FT804" i="94"/>
  <c r="GI804" i="94"/>
  <c r="GY804" i="94"/>
  <c r="HO804" i="94"/>
  <c r="IE804" i="94"/>
  <c r="JA804" i="94"/>
  <c r="JX804" i="94"/>
  <c r="KQ804" i="94"/>
  <c r="LM804" i="94"/>
  <c r="MJ804" i="94"/>
  <c r="AF805" i="94"/>
  <c r="BB805" i="94"/>
  <c r="EI805" i="94"/>
  <c r="FB805" i="94"/>
  <c r="GC805" i="94"/>
  <c r="AF806" i="94"/>
  <c r="AY806" i="94"/>
  <c r="EM806" i="94"/>
  <c r="FJ806" i="94"/>
  <c r="GH806" i="94"/>
  <c r="HG806" i="94"/>
  <c r="IK806" i="94"/>
  <c r="JK806" i="94"/>
  <c r="KN806" i="94"/>
  <c r="LR806" i="94"/>
  <c r="Z807" i="94"/>
  <c r="EI807" i="94"/>
  <c r="LW807" i="94"/>
  <c r="BM808" i="94"/>
  <c r="DJ808" i="94"/>
  <c r="FY808" i="94"/>
  <c r="JG808" i="94"/>
  <c r="CS809" i="94"/>
  <c r="CJ810" i="94"/>
  <c r="AG811" i="94"/>
  <c r="BI813" i="94"/>
  <c r="AL805" i="94"/>
  <c r="BI805" i="94"/>
  <c r="EL805" i="94"/>
  <c r="FH805" i="94"/>
  <c r="LS805" i="94"/>
  <c r="AI806" i="94"/>
  <c r="BE806" i="94"/>
  <c r="ET806" i="94"/>
  <c r="FM806" i="94"/>
  <c r="GO806" i="94"/>
  <c r="HP806" i="94"/>
  <c r="IO806" i="94"/>
  <c r="JS806" i="94"/>
  <c r="KW806" i="94"/>
  <c r="LW806" i="94"/>
  <c r="AK807" i="94"/>
  <c r="EX807" i="94"/>
  <c r="AB808" i="94"/>
  <c r="BY808" i="94"/>
  <c r="DZ808" i="94"/>
  <c r="GI808" i="94"/>
  <c r="LQ808" i="94"/>
  <c r="EL809" i="94"/>
  <c r="DO810" i="94"/>
  <c r="FB811" i="94"/>
  <c r="MG814" i="94"/>
  <c r="X804" i="94"/>
  <c r="AI804" i="94"/>
  <c r="AS804" i="94"/>
  <c r="BD804" i="94"/>
  <c r="BO804" i="94"/>
  <c r="CA804" i="94"/>
  <c r="CN804" i="94"/>
  <c r="CZ804" i="94"/>
  <c r="DM804" i="94"/>
  <c r="DY804" i="94"/>
  <c r="EM804" i="94"/>
  <c r="EZ804" i="94"/>
  <c r="FL804" i="94"/>
  <c r="FY804" i="94"/>
  <c r="GO804" i="94"/>
  <c r="HE804" i="94"/>
  <c r="HU804" i="94"/>
  <c r="IM804" i="94"/>
  <c r="JI804" i="94"/>
  <c r="KF804" i="94"/>
  <c r="KY804" i="94"/>
  <c r="LU804" i="94"/>
  <c r="NB804" i="94"/>
  <c r="AN805" i="94"/>
  <c r="BJ805" i="94"/>
  <c r="EQ805" i="94"/>
  <c r="FJ805" i="94"/>
  <c r="LT805" i="94"/>
  <c r="AN806" i="94"/>
  <c r="BG806" i="94"/>
  <c r="EU806" i="94"/>
  <c r="FR806" i="94"/>
  <c r="GQ806" i="94"/>
  <c r="HQ806" i="94"/>
  <c r="IV806" i="94"/>
  <c r="JU806" i="94"/>
  <c r="KY806" i="94"/>
  <c r="ME806" i="94"/>
  <c r="AP807" i="94"/>
  <c r="EZ807" i="94"/>
  <c r="AM808" i="94"/>
  <c r="CE808" i="94"/>
  <c r="EB808" i="94"/>
  <c r="HE808" i="94"/>
  <c r="MD808" i="94"/>
  <c r="ER809" i="94"/>
  <c r="FJ810" i="94"/>
  <c r="FL811" i="94"/>
  <c r="FH815" i="94"/>
  <c r="LR803" i="94"/>
  <c r="Y804" i="94"/>
  <c r="AJ804" i="94"/>
  <c r="AU804" i="94"/>
  <c r="BE804" i="94"/>
  <c r="BP804" i="94"/>
  <c r="CB804" i="94"/>
  <c r="CO804" i="94"/>
  <c r="DA804" i="94"/>
  <c r="DO804" i="94"/>
  <c r="EB804" i="94"/>
  <c r="EN804" i="94"/>
  <c r="FA804" i="94"/>
  <c r="FM804" i="94"/>
  <c r="GA804" i="94"/>
  <c r="GQ804" i="94"/>
  <c r="HG804" i="94"/>
  <c r="HW804" i="94"/>
  <c r="IR804" i="94"/>
  <c r="JK804" i="94"/>
  <c r="KG804" i="94"/>
  <c r="LD804" i="94"/>
  <c r="LW804" i="94"/>
  <c r="NC804" i="94"/>
  <c r="AS805" i="94"/>
  <c r="BM805" i="94"/>
  <c r="ER805" i="94"/>
  <c r="FO805" i="94"/>
  <c r="LV805" i="94"/>
  <c r="AO806" i="94"/>
  <c r="ED806" i="94"/>
  <c r="EW806" i="94"/>
  <c r="FS806" i="94"/>
  <c r="GW806" i="94"/>
  <c r="HT806" i="94"/>
  <c r="IW806" i="94"/>
  <c r="KB806" i="94"/>
  <c r="LA806" i="94"/>
  <c r="MG806" i="94"/>
  <c r="AY807" i="94"/>
  <c r="FF807" i="94"/>
  <c r="AO808" i="94"/>
  <c r="CO808" i="94"/>
  <c r="EH808" i="94"/>
  <c r="HF808" i="94"/>
  <c r="AQ809" i="94"/>
  <c r="FH809" i="94"/>
  <c r="FR810" i="94"/>
  <c r="BR812" i="94"/>
  <c r="BH816" i="94"/>
  <c r="AK804" i="94"/>
  <c r="AV804" i="94"/>
  <c r="BG804" i="94"/>
  <c r="BQ804" i="94"/>
  <c r="CC804" i="94"/>
  <c r="CQ804" i="94"/>
  <c r="DD804" i="94"/>
  <c r="DP804" i="94"/>
  <c r="EC804" i="94"/>
  <c r="EO804" i="94"/>
  <c r="FC804" i="94"/>
  <c r="FP804" i="94"/>
  <c r="GB804" i="94"/>
  <c r="GR804" i="94"/>
  <c r="HH804" i="94"/>
  <c r="HX804" i="94"/>
  <c r="IS804" i="94"/>
  <c r="JP804" i="94"/>
  <c r="KI804" i="94"/>
  <c r="LE804" i="94"/>
  <c r="MB804" i="94"/>
  <c r="X805" i="94"/>
  <c r="AT805" i="94"/>
  <c r="DI805" i="94"/>
  <c r="ET805" i="94"/>
  <c r="FP805" i="94"/>
  <c r="X806" i="94"/>
  <c r="AQ806" i="94"/>
  <c r="EE806" i="94"/>
  <c r="FB806" i="94"/>
  <c r="FU806" i="94"/>
  <c r="GX806" i="94"/>
  <c r="HZ806" i="94"/>
  <c r="IZ806" i="94"/>
  <c r="KC806" i="94"/>
  <c r="LH806" i="94"/>
  <c r="MJ806" i="94"/>
  <c r="BA807" i="94"/>
  <c r="FP807" i="94"/>
  <c r="AU808" i="94"/>
  <c r="CR808" i="94"/>
  <c r="EV808" i="94"/>
  <c r="HQ808" i="94"/>
  <c r="AS809" i="94"/>
  <c r="AB810" i="94"/>
  <c r="GN810" i="94"/>
  <c r="BW812" i="94"/>
  <c r="H980" i="94"/>
  <c r="FX812" i="94"/>
  <c r="M957" i="94"/>
  <c r="K962" i="94"/>
  <c r="O966" i="94"/>
  <c r="I971" i="94"/>
  <c r="M975" i="94"/>
  <c r="K980" i="94"/>
  <c r="I984" i="94"/>
  <c r="O953" i="94"/>
  <c r="L980" i="94"/>
  <c r="J984" i="94"/>
  <c r="MY816" i="94"/>
  <c r="MQ816" i="94"/>
  <c r="MX816" i="94"/>
  <c r="MP816" i="94"/>
  <c r="MW816" i="94"/>
  <c r="MV816" i="94"/>
  <c r="MU816" i="94"/>
  <c r="MT816" i="94"/>
  <c r="MR816" i="94"/>
  <c r="MS816" i="94"/>
  <c r="MS815" i="94"/>
  <c r="MR815" i="94"/>
  <c r="MY815" i="94"/>
  <c r="MQ815" i="94"/>
  <c r="MX815" i="94"/>
  <c r="MP815" i="94"/>
  <c r="MW815" i="94"/>
  <c r="MT815" i="94"/>
  <c r="MV815" i="94"/>
  <c r="MU815" i="94"/>
  <c r="MU814" i="94"/>
  <c r="MT814" i="94"/>
  <c r="MS814" i="94"/>
  <c r="MR814" i="94"/>
  <c r="MY814" i="94"/>
  <c r="MQ814" i="94"/>
  <c r="MX814" i="94"/>
  <c r="MP814" i="94"/>
  <c r="MW814" i="94"/>
  <c r="MV814" i="94"/>
  <c r="MW813" i="94"/>
  <c r="MV813" i="94"/>
  <c r="MU813" i="94"/>
  <c r="MP813" i="94"/>
  <c r="MT813" i="94"/>
  <c r="MX813" i="94"/>
  <c r="MS813" i="94"/>
  <c r="MR813" i="94"/>
  <c r="MY813" i="94"/>
  <c r="MQ813" i="94"/>
  <c r="MY812" i="94"/>
  <c r="MQ812" i="94"/>
  <c r="MX812" i="94"/>
  <c r="MP812" i="94"/>
  <c r="MR812" i="94"/>
  <c r="MW812" i="94"/>
  <c r="MV812" i="94"/>
  <c r="MU812" i="94"/>
  <c r="MT812" i="94"/>
  <c r="MS812" i="94"/>
  <c r="MS811" i="94"/>
  <c r="MT811" i="94"/>
  <c r="MR811" i="94"/>
  <c r="MY811" i="94"/>
  <c r="MQ811" i="94"/>
  <c r="MX811" i="94"/>
  <c r="MP811" i="94"/>
  <c r="MW811" i="94"/>
  <c r="MV811" i="94"/>
  <c r="MU811" i="94"/>
  <c r="MU810" i="94"/>
  <c r="MT810" i="94"/>
  <c r="MS810" i="94"/>
  <c r="MR810" i="94"/>
  <c r="MY810" i="94"/>
  <c r="MQ810" i="94"/>
  <c r="MX810" i="94"/>
  <c r="MP810" i="94"/>
  <c r="MV810" i="94"/>
  <c r="MW810" i="94"/>
  <c r="MW809" i="94"/>
  <c r="MV809" i="94"/>
  <c r="MP809" i="94"/>
  <c r="MU809" i="94"/>
  <c r="MT809" i="94"/>
  <c r="MS809" i="94"/>
  <c r="MR809" i="94"/>
  <c r="MX809" i="94"/>
  <c r="MY809" i="94"/>
  <c r="MQ809" i="94"/>
  <c r="MY808" i="94"/>
  <c r="MQ808" i="94"/>
  <c r="MX808" i="94"/>
  <c r="MP808" i="94"/>
  <c r="MW808" i="94"/>
  <c r="MV808" i="94"/>
  <c r="MU808" i="94"/>
  <c r="MT808" i="94"/>
  <c r="MR808" i="94"/>
  <c r="MS808" i="94"/>
  <c r="MS807" i="94"/>
  <c r="MR807" i="94"/>
  <c r="MT807" i="94"/>
  <c r="MY807" i="94"/>
  <c r="MQ807" i="94"/>
  <c r="MX807" i="94"/>
  <c r="MP807" i="94"/>
  <c r="MW807" i="94"/>
  <c r="MV807" i="94"/>
  <c r="MU807" i="94"/>
  <c r="MU806" i="94"/>
  <c r="MT806" i="94"/>
  <c r="MS806" i="94"/>
  <c r="MR806" i="94"/>
  <c r="MY806" i="94"/>
  <c r="MQ806" i="94"/>
  <c r="MX806" i="94"/>
  <c r="MP806" i="94"/>
  <c r="MV806" i="94"/>
  <c r="MW806" i="94"/>
  <c r="MW805" i="94"/>
  <c r="MV805" i="94"/>
  <c r="MU805" i="94"/>
  <c r="MP805" i="94"/>
  <c r="MT805" i="94"/>
  <c r="MS805" i="94"/>
  <c r="MR805" i="94"/>
  <c r="MY805" i="94"/>
  <c r="MQ805" i="94"/>
  <c r="MX805" i="94"/>
  <c r="MY804" i="94"/>
  <c r="MQ804" i="94"/>
  <c r="MX804" i="94"/>
  <c r="MP804" i="94"/>
  <c r="MR804" i="94"/>
  <c r="MW804" i="94"/>
  <c r="MV804" i="94"/>
  <c r="MU804" i="94"/>
  <c r="MT804" i="94"/>
  <c r="MS804" i="94"/>
  <c r="MS803" i="94"/>
  <c r="MR803" i="94"/>
  <c r="MY803" i="94"/>
  <c r="MQ803" i="94"/>
  <c r="MX803" i="94"/>
  <c r="MP803" i="94"/>
  <c r="MW803" i="94"/>
  <c r="MV803" i="94"/>
  <c r="MT803" i="94"/>
  <c r="MU803" i="94"/>
  <c r="MU802" i="94"/>
  <c r="MT802" i="94"/>
  <c r="MS802" i="94"/>
  <c r="MR802" i="94"/>
  <c r="MY802" i="94"/>
  <c r="MQ802" i="94"/>
  <c r="MV802" i="94"/>
  <c r="MX802" i="94"/>
  <c r="MP802" i="94"/>
  <c r="MW802" i="94"/>
  <c r="MW801" i="94"/>
  <c r="MV801" i="94"/>
  <c r="MX801" i="94"/>
  <c r="MU801" i="94"/>
  <c r="MT801" i="94"/>
  <c r="MS801" i="94"/>
  <c r="MR801" i="94"/>
  <c r="MP801" i="94"/>
  <c r="MY801" i="94"/>
  <c r="MQ801" i="94"/>
  <c r="MY800" i="94"/>
  <c r="MQ800" i="94"/>
  <c r="MR800" i="94"/>
  <c r="MX800" i="94"/>
  <c r="MP800" i="94"/>
  <c r="MW800" i="94"/>
  <c r="MV800" i="94"/>
  <c r="MU800" i="94"/>
  <c r="MT800" i="94"/>
  <c r="MS800" i="94"/>
  <c r="MS799" i="94"/>
  <c r="MR799" i="94"/>
  <c r="MT799" i="94"/>
  <c r="MY799" i="94"/>
  <c r="MQ799" i="94"/>
  <c r="MX799" i="94"/>
  <c r="MP799" i="94"/>
  <c r="MW799" i="94"/>
  <c r="MV799" i="94"/>
  <c r="MU799" i="94"/>
  <c r="MU798" i="94"/>
  <c r="MT798" i="94"/>
  <c r="MS798" i="94"/>
  <c r="MR798" i="94"/>
  <c r="MY798" i="94"/>
  <c r="MQ798" i="94"/>
  <c r="MX798" i="94"/>
  <c r="MP798" i="94"/>
  <c r="MV798" i="94"/>
  <c r="MW798" i="94"/>
  <c r="MW797" i="94"/>
  <c r="MV797" i="94"/>
  <c r="MU797" i="94"/>
  <c r="MX797" i="94"/>
  <c r="MT797" i="94"/>
  <c r="MS797" i="94"/>
  <c r="MR797" i="94"/>
  <c r="MY797" i="94"/>
  <c r="MQ797" i="94"/>
  <c r="MP797" i="94"/>
  <c r="MY796" i="94"/>
  <c r="MQ796" i="94"/>
  <c r="MX796" i="94"/>
  <c r="MP796" i="94"/>
  <c r="MW796" i="94"/>
  <c r="MV796" i="94"/>
  <c r="MU796" i="94"/>
  <c r="MT796" i="94"/>
  <c r="MR796" i="94"/>
  <c r="MS796" i="94"/>
  <c r="MS795" i="94"/>
  <c r="MR795" i="94"/>
  <c r="MT795" i="94"/>
  <c r="MY795" i="94"/>
  <c r="MQ795" i="94"/>
  <c r="MX795" i="94"/>
  <c r="MP795" i="94"/>
  <c r="MW795" i="94"/>
  <c r="MV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R792" i="94"/>
  <c r="MS792" i="94"/>
  <c r="MS791" i="94"/>
  <c r="MR791" i="94"/>
  <c r="MT791" i="94"/>
  <c r="MY791" i="94"/>
  <c r="MQ791" i="94"/>
  <c r="MX791" i="94"/>
  <c r="MP791" i="94"/>
  <c r="MW791" i="94"/>
  <c r="MV791" i="94"/>
  <c r="MU791" i="94"/>
  <c r="MU790" i="94"/>
  <c r="MT790" i="94"/>
  <c r="MS790" i="94"/>
  <c r="MV790" i="94"/>
  <c r="MR790" i="94"/>
  <c r="MY790" i="94"/>
  <c r="MQ790" i="94"/>
  <c r="MX790" i="94"/>
  <c r="MP790" i="94"/>
  <c r="MW790" i="94"/>
  <c r="MW785" i="94"/>
  <c r="MV785" i="94"/>
  <c r="MP785" i="94"/>
  <c r="MU785" i="94"/>
  <c r="MT785" i="94"/>
  <c r="MS785" i="94"/>
  <c r="MR785" i="94"/>
  <c r="MY785" i="94"/>
  <c r="MQ785" i="94"/>
  <c r="MX785" i="94"/>
  <c r="MY784" i="94"/>
  <c r="MQ784" i="94"/>
  <c r="MX784" i="94"/>
  <c r="MP784" i="94"/>
  <c r="MW784" i="94"/>
  <c r="MV784" i="94"/>
  <c r="MU784" i="94"/>
  <c r="MT784" i="94"/>
  <c r="MR784" i="94"/>
  <c r="MS784" i="94"/>
  <c r="MS783" i="94"/>
  <c r="MR783" i="94"/>
  <c r="MY783" i="94"/>
  <c r="MQ783" i="94"/>
  <c r="MX783" i="94"/>
  <c r="MP783" i="94"/>
  <c r="MW783" i="94"/>
  <c r="MT783" i="94"/>
  <c r="MV783" i="94"/>
  <c r="MU783" i="94"/>
  <c r="MU780" i="94"/>
  <c r="MV780" i="94"/>
  <c r="MT780" i="94"/>
  <c r="MS780" i="94"/>
  <c r="MR780" i="94"/>
  <c r="MY780" i="94"/>
  <c r="MQ780" i="94"/>
  <c r="MX780" i="94"/>
  <c r="MP780" i="94"/>
  <c r="MW780" i="94"/>
  <c r="ML788" i="94"/>
  <c r="MO786" i="94"/>
  <c r="LW793" i="94"/>
  <c r="MI792" i="94"/>
  <c r="LW791" i="94"/>
  <c r="MH790" i="94"/>
  <c r="KZ782" i="94"/>
  <c r="L785" i="94"/>
  <c r="M785" i="94" s="1"/>
  <c r="HR779" i="94"/>
  <c r="HG795" i="94"/>
  <c r="HT789" i="94"/>
  <c r="MM783" i="94"/>
  <c r="H953" i="94"/>
  <c r="K953" i="94"/>
  <c r="I962" i="94"/>
  <c r="O962" i="94"/>
  <c r="M966" i="94"/>
  <c r="K966" i="94"/>
  <c r="Q971" i="94"/>
  <c r="O971" i="94"/>
  <c r="MW779" i="94"/>
  <c r="MV779" i="94"/>
  <c r="MX779" i="94"/>
  <c r="MU779" i="94"/>
  <c r="MT779" i="94"/>
  <c r="MS779" i="94"/>
  <c r="MR779" i="94"/>
  <c r="MP779" i="94"/>
  <c r="MY779" i="94"/>
  <c r="MQ779" i="94"/>
  <c r="EU789" i="94"/>
  <c r="ET787" i="94"/>
  <c r="EY786" i="94"/>
  <c r="H984" i="94"/>
  <c r="AD561" i="94"/>
  <c r="JW812" i="94"/>
  <c r="NC786" i="94"/>
  <c r="AA790" i="94"/>
  <c r="AE790" i="94"/>
  <c r="AI790" i="94"/>
  <c r="AM790" i="94"/>
  <c r="AQ790" i="94"/>
  <c r="AU790" i="94"/>
  <c r="AY790" i="94"/>
  <c r="BC790" i="94"/>
  <c r="BG790" i="94"/>
  <c r="BK790" i="94"/>
  <c r="EJ790" i="94"/>
  <c r="EN790" i="94"/>
  <c r="ER790" i="94"/>
  <c r="EV790" i="94"/>
  <c r="EZ790" i="94"/>
  <c r="FD790" i="94"/>
  <c r="FI790" i="94"/>
  <c r="FN790" i="94"/>
  <c r="FS790" i="94"/>
  <c r="GH790" i="94"/>
  <c r="GM790" i="94"/>
  <c r="GR790" i="94"/>
  <c r="GX790" i="94"/>
  <c r="HC790" i="94"/>
  <c r="HH790" i="94"/>
  <c r="HN790" i="94"/>
  <c r="HS790" i="94"/>
  <c r="HX790" i="94"/>
  <c r="LR790" i="94"/>
  <c r="LW790" i="94"/>
  <c r="MB790" i="94"/>
  <c r="AE791" i="94"/>
  <c r="AM791" i="94"/>
  <c r="AU791" i="94"/>
  <c r="BC791" i="94"/>
  <c r="BK791" i="94"/>
  <c r="EN791" i="94"/>
  <c r="EV791" i="94"/>
  <c r="FD791" i="94"/>
  <c r="FL791" i="94"/>
  <c r="FT791" i="94"/>
  <c r="AB792" i="94"/>
  <c r="AJ792" i="94"/>
  <c r="AR792" i="94"/>
  <c r="AZ792" i="94"/>
  <c r="BH792" i="94"/>
  <c r="BP792" i="94"/>
  <c r="CA792" i="94"/>
  <c r="CK792" i="94"/>
  <c r="CV792" i="94"/>
  <c r="DG792" i="94"/>
  <c r="DQ792" i="94"/>
  <c r="EB792" i="94"/>
  <c r="EO792" i="94"/>
  <c r="EZ792" i="94"/>
  <c r="FK792" i="94"/>
  <c r="GQ792" i="94"/>
  <c r="HG792" i="94"/>
  <c r="HW792" i="94"/>
  <c r="LS792" i="94"/>
  <c r="AD793" i="94"/>
  <c r="AT793" i="94"/>
  <c r="BJ793" i="94"/>
  <c r="BZ793" i="94"/>
  <c r="CP793" i="94"/>
  <c r="DF793" i="94"/>
  <c r="DV793" i="94"/>
  <c r="EP793" i="94"/>
  <c r="FF793" i="94"/>
  <c r="FV793" i="94"/>
  <c r="LX793" i="94"/>
  <c r="LT793" i="94"/>
  <c r="HU793" i="94"/>
  <c r="FU793" i="94"/>
  <c r="FQ793" i="94"/>
  <c r="FM793" i="94"/>
  <c r="FI793" i="94"/>
  <c r="FE793" i="94"/>
  <c r="FA793" i="94"/>
  <c r="EW793" i="94"/>
  <c r="ES793" i="94"/>
  <c r="EO793" i="94"/>
  <c r="EK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Y793" i="94"/>
  <c r="LZ793" i="94"/>
  <c r="LV793" i="94"/>
  <c r="LR793" i="94"/>
  <c r="FS793" i="94"/>
  <c r="FO793" i="94"/>
  <c r="FK793" i="94"/>
  <c r="FG793" i="94"/>
  <c r="FC793" i="94"/>
  <c r="EY793" i="94"/>
  <c r="EU793" i="94"/>
  <c r="EQ793" i="94"/>
  <c r="EM793" i="94"/>
  <c r="EI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LU793" i="94"/>
  <c r="FP793" i="94"/>
  <c r="FH793" i="94"/>
  <c r="EZ793" i="94"/>
  <c r="ER793" i="94"/>
  <c r="EJ793" i="94"/>
  <c r="DX793" i="94"/>
  <c r="DP793" i="94"/>
  <c r="DH793" i="94"/>
  <c r="CZ793" i="94"/>
  <c r="CR793" i="94"/>
  <c r="CJ793" i="94"/>
  <c r="CB793" i="94"/>
  <c r="BT793" i="94"/>
  <c r="BL793" i="94"/>
  <c r="BD793" i="94"/>
  <c r="AV793" i="94"/>
  <c r="AN793" i="94"/>
  <c r="AF793" i="94"/>
  <c r="X793" i="94"/>
  <c r="LY793" i="94"/>
  <c r="LQ793" i="94"/>
  <c r="FT793" i="94"/>
  <c r="FL793" i="94"/>
  <c r="FD793" i="94"/>
  <c r="EV793" i="94"/>
  <c r="EN793" i="94"/>
  <c r="EB793" i="94"/>
  <c r="DT793" i="94"/>
  <c r="DL793" i="94"/>
  <c r="DD793" i="94"/>
  <c r="CV793" i="94"/>
  <c r="CN793" i="94"/>
  <c r="CF793" i="94"/>
  <c r="BX793" i="94"/>
  <c r="BP793" i="94"/>
  <c r="BH793" i="94"/>
  <c r="AZ793" i="94"/>
  <c r="AR793" i="94"/>
  <c r="AJ793" i="94"/>
  <c r="AB793" i="94"/>
  <c r="MN792" i="94"/>
  <c r="MJ792" i="94"/>
  <c r="MF792" i="94"/>
  <c r="MB792" i="94"/>
  <c r="LX792" i="94"/>
  <c r="LT792" i="94"/>
  <c r="HX792" i="94"/>
  <c r="HT792" i="94"/>
  <c r="HP792" i="94"/>
  <c r="HL792" i="94"/>
  <c r="HH792" i="94"/>
  <c r="HD792" i="94"/>
  <c r="GZ792" i="94"/>
  <c r="GV792" i="94"/>
  <c r="GR792" i="94"/>
  <c r="GN792" i="94"/>
  <c r="GJ792" i="94"/>
  <c r="FT792" i="94"/>
  <c r="FP792" i="94"/>
  <c r="ML792" i="94"/>
  <c r="MH792" i="94"/>
  <c r="MD792" i="94"/>
  <c r="LZ792" i="94"/>
  <c r="LV792" i="94"/>
  <c r="LR792" i="94"/>
  <c r="HV792" i="94"/>
  <c r="HR792" i="94"/>
  <c r="HN792" i="94"/>
  <c r="HJ792" i="94"/>
  <c r="HF792" i="94"/>
  <c r="HB792" i="94"/>
  <c r="GX792" i="94"/>
  <c r="GT792" i="94"/>
  <c r="GP792" i="94"/>
  <c r="GL792" i="94"/>
  <c r="GH792" i="94"/>
  <c r="FV792" i="94"/>
  <c r="FR792" i="94"/>
  <c r="FN792" i="94"/>
  <c r="FJ792" i="94"/>
  <c r="FF792" i="94"/>
  <c r="FB792" i="94"/>
  <c r="EX792" i="94"/>
  <c r="ET792" i="94"/>
  <c r="EP792" i="94"/>
  <c r="EL792" i="94"/>
  <c r="DZ792" i="94"/>
  <c r="DV792" i="94"/>
  <c r="DR792" i="94"/>
  <c r="DN792" i="94"/>
  <c r="DJ792" i="94"/>
  <c r="DF792" i="94"/>
  <c r="DB792" i="94"/>
  <c r="CX792" i="94"/>
  <c r="CT792" i="94"/>
  <c r="CP792" i="94"/>
  <c r="CL792" i="94"/>
  <c r="CH792" i="94"/>
  <c r="CD792" i="94"/>
  <c r="BZ792" i="94"/>
  <c r="BV792" i="94"/>
  <c r="BR792" i="94"/>
  <c r="MK792" i="94"/>
  <c r="MC792" i="94"/>
  <c r="LU792" i="94"/>
  <c r="HU792" i="94"/>
  <c r="HM792" i="94"/>
  <c r="HE792" i="94"/>
  <c r="GW792" i="94"/>
  <c r="GO792" i="94"/>
  <c r="GG792" i="94"/>
  <c r="FS792" i="94"/>
  <c r="FL792" i="94"/>
  <c r="FG792" i="94"/>
  <c r="FA792" i="94"/>
  <c r="EV792" i="94"/>
  <c r="EQ792" i="94"/>
  <c r="EK792" i="94"/>
  <c r="EC792" i="94"/>
  <c r="DX792" i="94"/>
  <c r="DS792" i="94"/>
  <c r="DM792" i="94"/>
  <c r="DH792" i="94"/>
  <c r="DC792" i="94"/>
  <c r="CW792" i="94"/>
  <c r="CR792" i="94"/>
  <c r="CM792" i="94"/>
  <c r="CG792" i="94"/>
  <c r="CB792" i="94"/>
  <c r="BW792" i="94"/>
  <c r="BQ792" i="94"/>
  <c r="BM792" i="94"/>
  <c r="BI792" i="94"/>
  <c r="BE792" i="94"/>
  <c r="BA792" i="94"/>
  <c r="AW792" i="94"/>
  <c r="AS792" i="94"/>
  <c r="AO792" i="94"/>
  <c r="AK792" i="94"/>
  <c r="AG792" i="94"/>
  <c r="AC792" i="94"/>
  <c r="Y792" i="94"/>
  <c r="MO792" i="94"/>
  <c r="MG792" i="94"/>
  <c r="LY792" i="94"/>
  <c r="LQ792" i="94"/>
  <c r="HY792" i="94"/>
  <c r="HQ792" i="94"/>
  <c r="HI792" i="94"/>
  <c r="HA792" i="94"/>
  <c r="GS792" i="94"/>
  <c r="GK792" i="94"/>
  <c r="FO792" i="94"/>
  <c r="FI792" i="94"/>
  <c r="FD792" i="94"/>
  <c r="EY792" i="94"/>
  <c r="ES792" i="94"/>
  <c r="EN792" i="94"/>
  <c r="EI792" i="94"/>
  <c r="EA792" i="94"/>
  <c r="DU792" i="94"/>
  <c r="DP792" i="94"/>
  <c r="DK792" i="94"/>
  <c r="DE792" i="94"/>
  <c r="CZ792" i="94"/>
  <c r="CU792" i="94"/>
  <c r="CO792" i="94"/>
  <c r="CJ792" i="94"/>
  <c r="CE792" i="94"/>
  <c r="BY792" i="94"/>
  <c r="BT792" i="94"/>
  <c r="BO792" i="94"/>
  <c r="BK792" i="94"/>
  <c r="BG792" i="94"/>
  <c r="BC792" i="94"/>
  <c r="AY792" i="94"/>
  <c r="AU792" i="94"/>
  <c r="AQ792" i="94"/>
  <c r="AM792" i="94"/>
  <c r="AI792" i="94"/>
  <c r="AE792" i="94"/>
  <c r="AA792" i="94"/>
  <c r="LX791" i="94"/>
  <c r="LT791" i="94"/>
  <c r="FU791" i="94"/>
  <c r="FQ791" i="94"/>
  <c r="FM791" i="94"/>
  <c r="FI791" i="94"/>
  <c r="FE791" i="94"/>
  <c r="FA791" i="94"/>
  <c r="EW791" i="94"/>
  <c r="ES791" i="94"/>
  <c r="EO791" i="94"/>
  <c r="EK791" i="94"/>
  <c r="CK791" i="94"/>
  <c r="BH791" i="94"/>
  <c r="BD791" i="94"/>
  <c r="AZ791" i="94"/>
  <c r="AV791" i="94"/>
  <c r="AR791" i="94"/>
  <c r="AN791" i="94"/>
  <c r="AJ791" i="94"/>
  <c r="AF791" i="94"/>
  <c r="AB791" i="94"/>
  <c r="X791" i="94"/>
  <c r="LZ791" i="94"/>
  <c r="LV791" i="94"/>
  <c r="LR791" i="94"/>
  <c r="FS791" i="94"/>
  <c r="FO791" i="94"/>
  <c r="FK791" i="94"/>
  <c r="FG791" i="94"/>
  <c r="FC791" i="94"/>
  <c r="EY791" i="94"/>
  <c r="EU791" i="94"/>
  <c r="EQ791" i="94"/>
  <c r="EM791" i="94"/>
  <c r="EI791" i="94"/>
  <c r="BJ791" i="94"/>
  <c r="BF791" i="94"/>
  <c r="BB791" i="94"/>
  <c r="AX791" i="94"/>
  <c r="AT791" i="94"/>
  <c r="AP791" i="94"/>
  <c r="AL791" i="94"/>
  <c r="AH791" i="94"/>
  <c r="AD791" i="94"/>
  <c r="Z791" i="94"/>
  <c r="MM790" i="94"/>
  <c r="MI790" i="94"/>
  <c r="MO790" i="94"/>
  <c r="MK790" i="94"/>
  <c r="MG790" i="94"/>
  <c r="MC790" i="94"/>
  <c r="LY790" i="94"/>
  <c r="LU790" i="94"/>
  <c r="LQ790" i="94"/>
  <c r="HY790" i="94"/>
  <c r="HU790" i="94"/>
  <c r="HQ790" i="94"/>
  <c r="HM790" i="94"/>
  <c r="HI790" i="94"/>
  <c r="HE790" i="94"/>
  <c r="HA790" i="94"/>
  <c r="GW790" i="94"/>
  <c r="GS790" i="94"/>
  <c r="GO790" i="94"/>
  <c r="GK790" i="94"/>
  <c r="GG790" i="94"/>
  <c r="FT790" i="94"/>
  <c r="FP790" i="94"/>
  <c r="FL790" i="94"/>
  <c r="FH790" i="94"/>
  <c r="Y790" i="94"/>
  <c r="AC790" i="94"/>
  <c r="AG790" i="94"/>
  <c r="AK790" i="94"/>
  <c r="AO790" i="94"/>
  <c r="AS790" i="94"/>
  <c r="AW790" i="94"/>
  <c r="BA790" i="94"/>
  <c r="BE790" i="94"/>
  <c r="BI790" i="94"/>
  <c r="EL790" i="94"/>
  <c r="EP790" i="94"/>
  <c r="ET790" i="94"/>
  <c r="EX790" i="94"/>
  <c r="FB790" i="94"/>
  <c r="FF790" i="94"/>
  <c r="FK790" i="94"/>
  <c r="FQ790" i="94"/>
  <c r="FV790" i="94"/>
  <c r="GJ790" i="94"/>
  <c r="GP790" i="94"/>
  <c r="GU790" i="94"/>
  <c r="GZ790" i="94"/>
  <c r="HF790" i="94"/>
  <c r="HK790" i="94"/>
  <c r="HP790" i="94"/>
  <c r="HV790" i="94"/>
  <c r="LT790" i="94"/>
  <c r="LZ790" i="94"/>
  <c r="ME790" i="94"/>
  <c r="ML790" i="94"/>
  <c r="AA791" i="94"/>
  <c r="AI791" i="94"/>
  <c r="AQ791" i="94"/>
  <c r="AY791" i="94"/>
  <c r="BG791" i="94"/>
  <c r="EJ791" i="94"/>
  <c r="ER791" i="94"/>
  <c r="EZ791" i="94"/>
  <c r="FH791" i="94"/>
  <c r="FP791" i="94"/>
  <c r="LS791" i="94"/>
  <c r="X792" i="94"/>
  <c r="AF792" i="94"/>
  <c r="AN792" i="94"/>
  <c r="AV792" i="94"/>
  <c r="BD792" i="94"/>
  <c r="BL792" i="94"/>
  <c r="BU792" i="94"/>
  <c r="CF792" i="94"/>
  <c r="CQ792" i="94"/>
  <c r="DA792" i="94"/>
  <c r="DL792" i="94"/>
  <c r="DW792" i="94"/>
  <c r="EJ792" i="94"/>
  <c r="EU792" i="94"/>
  <c r="FE792" i="94"/>
  <c r="FQ792" i="94"/>
  <c r="GI792" i="94"/>
  <c r="GY792" i="94"/>
  <c r="HO792" i="94"/>
  <c r="MA792" i="94"/>
  <c r="AL793" i="94"/>
  <c r="BB793" i="94"/>
  <c r="BR793" i="94"/>
  <c r="CH793" i="94"/>
  <c r="CX793" i="94"/>
  <c r="DN793" i="94"/>
  <c r="EX793" i="94"/>
  <c r="FN793" i="94"/>
  <c r="CU790" i="94"/>
  <c r="HS791" i="94"/>
  <c r="NA782" i="94"/>
  <c r="IA782" i="94"/>
  <c r="IN782" i="94"/>
  <c r="IC782" i="94"/>
  <c r="KJ782" i="94"/>
  <c r="JD782" i="94"/>
  <c r="LP782" i="94"/>
  <c r="MC781" i="94"/>
  <c r="AD781" i="94"/>
  <c r="AL781" i="94"/>
  <c r="AT781" i="94"/>
  <c r="BB781" i="94"/>
  <c r="BS781" i="94"/>
  <c r="CL781" i="94"/>
  <c r="CY781" i="94"/>
  <c r="DR781" i="94"/>
  <c r="EH781" i="94"/>
  <c r="ET781" i="94"/>
  <c r="FB781" i="94"/>
  <c r="FJ781" i="94"/>
  <c r="FV781" i="94"/>
  <c r="LZ781" i="94"/>
  <c r="HU781" i="94"/>
  <c r="Z781" i="94"/>
  <c r="AH781" i="94"/>
  <c r="AP781" i="94"/>
  <c r="AX781" i="94"/>
  <c r="BF781" i="94"/>
  <c r="BJ781" i="94"/>
  <c r="CB781" i="94"/>
  <c r="DH781" i="94"/>
  <c r="ED781" i="94"/>
  <c r="EL781" i="94"/>
  <c r="EP781" i="94"/>
  <c r="EX781" i="94"/>
  <c r="FF781" i="94"/>
  <c r="FN781" i="94"/>
  <c r="FR781" i="94"/>
  <c r="GD781" i="94"/>
  <c r="GO781" i="94"/>
  <c r="LR781" i="94"/>
  <c r="LV781" i="94"/>
  <c r="AA781" i="94"/>
  <c r="AE781" i="94"/>
  <c r="AI781" i="94"/>
  <c r="AM781" i="94"/>
  <c r="AQ781" i="94"/>
  <c r="AU781" i="94"/>
  <c r="AY781" i="94"/>
  <c r="BC781" i="94"/>
  <c r="BG781" i="94"/>
  <c r="BK781" i="94"/>
  <c r="BT781" i="94"/>
  <c r="CD781" i="94"/>
  <c r="CQ781" i="94"/>
  <c r="CZ781" i="94"/>
  <c r="DJ781" i="94"/>
  <c r="DW781" i="94"/>
  <c r="EE781" i="94"/>
  <c r="EI781" i="94"/>
  <c r="EM781" i="94"/>
  <c r="EQ781" i="94"/>
  <c r="EU781" i="94"/>
  <c r="EY781" i="94"/>
  <c r="FC781" i="94"/>
  <c r="FG781" i="94"/>
  <c r="FK781" i="94"/>
  <c r="FO781" i="94"/>
  <c r="FS781" i="94"/>
  <c r="GA781" i="94"/>
  <c r="GE781" i="94"/>
  <c r="HZ781" i="94"/>
  <c r="LS781" i="94"/>
  <c r="LW781" i="94"/>
  <c r="GG788" i="94"/>
  <c r="GK788" i="94"/>
  <c r="GO788" i="94"/>
  <c r="GS788" i="94"/>
  <c r="GW788" i="94"/>
  <c r="HA788" i="94"/>
  <c r="HE788" i="94"/>
  <c r="HI788" i="94"/>
  <c r="HM788" i="94"/>
  <c r="HQ788" i="94"/>
  <c r="HU788" i="94"/>
  <c r="HY788" i="94"/>
  <c r="MC788" i="94"/>
  <c r="MG788" i="94"/>
  <c r="MK788" i="94"/>
  <c r="MO788" i="94"/>
  <c r="GH788" i="94"/>
  <c r="GL788" i="94"/>
  <c r="GP788" i="94"/>
  <c r="GT788" i="94"/>
  <c r="GX788" i="94"/>
  <c r="HB788" i="94"/>
  <c r="HF788" i="94"/>
  <c r="HJ788" i="94"/>
  <c r="HN788" i="94"/>
  <c r="HR788" i="94"/>
  <c r="HV788" i="94"/>
  <c r="MD788" i="94"/>
  <c r="MH788" i="94"/>
  <c r="GG786" i="94"/>
  <c r="GK786" i="94"/>
  <c r="GO786" i="94"/>
  <c r="GS786" i="94"/>
  <c r="GW786" i="94"/>
  <c r="HA786" i="94"/>
  <c r="HE786" i="94"/>
  <c r="HI786" i="94"/>
  <c r="HM786" i="94"/>
  <c r="HQ786" i="94"/>
  <c r="HU786" i="94"/>
  <c r="HY786" i="94"/>
  <c r="MC786" i="94"/>
  <c r="MG786" i="94"/>
  <c r="MK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NA786" i="94"/>
  <c r="IF786" i="94"/>
  <c r="IJ786" i="94"/>
  <c r="IN786" i="94"/>
  <c r="IR786" i="94"/>
  <c r="IV786" i="94"/>
  <c r="IZ786" i="94"/>
  <c r="JD786" i="94"/>
  <c r="JH786" i="94"/>
  <c r="JL786" i="94"/>
  <c r="JP786" i="94"/>
  <c r="JT786" i="94"/>
  <c r="JX786" i="94"/>
  <c r="KB786" i="94"/>
  <c r="KF786" i="94"/>
  <c r="KJ786" i="94"/>
  <c r="KN786" i="94"/>
  <c r="KR786" i="94"/>
  <c r="KV786" i="94"/>
  <c r="KZ786" i="94"/>
  <c r="LD786" i="94"/>
  <c r="LH786" i="94"/>
  <c r="LL786" i="94"/>
  <c r="LP786" i="94"/>
  <c r="NB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IR782" i="94"/>
  <c r="JH782" i="94"/>
  <c r="JX782" i="94"/>
  <c r="KN782" i="94"/>
  <c r="LD782" i="94"/>
  <c r="IF782" i="94"/>
  <c r="IV782" i="94"/>
  <c r="JL782" i="94"/>
  <c r="KB782" i="94"/>
  <c r="KR782" i="94"/>
  <c r="LH782" i="94"/>
  <c r="NB782" i="94"/>
  <c r="IJ782" i="94"/>
  <c r="IZ782" i="94"/>
  <c r="JP782" i="94"/>
  <c r="KF782" i="94"/>
  <c r="KV782" i="94"/>
  <c r="LL782" i="94"/>
  <c r="IG782" i="94"/>
  <c r="IK782" i="94"/>
  <c r="IO782" i="94"/>
  <c r="IS782" i="94"/>
  <c r="IW782" i="94"/>
  <c r="JA782" i="94"/>
  <c r="JE782" i="94"/>
  <c r="JI782" i="94"/>
  <c r="JM782" i="94"/>
  <c r="JQ782" i="94"/>
  <c r="JU782" i="94"/>
  <c r="JY782" i="94"/>
  <c r="KC782" i="94"/>
  <c r="KG782" i="94"/>
  <c r="KK782" i="94"/>
  <c r="KO782" i="94"/>
  <c r="KS782" i="94"/>
  <c r="KW782" i="94"/>
  <c r="LA782" i="94"/>
  <c r="LE782" i="94"/>
  <c r="LI782" i="94"/>
  <c r="LM782" i="94"/>
  <c r="NC782" i="94"/>
  <c r="IH782" i="94"/>
  <c r="IL782" i="94"/>
  <c r="IP782" i="94"/>
  <c r="IT782" i="94"/>
  <c r="IX782" i="94"/>
  <c r="JB782" i="94"/>
  <c r="JF782" i="94"/>
  <c r="JJ782" i="94"/>
  <c r="JN782" i="94"/>
  <c r="JR782" i="94"/>
  <c r="JV782" i="94"/>
  <c r="JZ782" i="94"/>
  <c r="KD782" i="94"/>
  <c r="KH782" i="94"/>
  <c r="KL782" i="94"/>
  <c r="KP782" i="94"/>
  <c r="KT782" i="94"/>
  <c r="KX782" i="94"/>
  <c r="LB782" i="94"/>
  <c r="LF782" i="94"/>
  <c r="LJ782" i="94"/>
  <c r="LN782" i="94"/>
  <c r="MZ782" i="94"/>
  <c r="ND782" i="94"/>
  <c r="IE782" i="94"/>
  <c r="II782" i="94"/>
  <c r="IM782" i="94"/>
  <c r="IQ782" i="94"/>
  <c r="IU782" i="94"/>
  <c r="IY782" i="94"/>
  <c r="JC782" i="94"/>
  <c r="JG782" i="94"/>
  <c r="JK782" i="94"/>
  <c r="JO782" i="94"/>
  <c r="JS782" i="94"/>
  <c r="JW782" i="94"/>
  <c r="KA782" i="94"/>
  <c r="KE782" i="94"/>
  <c r="KI782" i="94"/>
  <c r="KM782" i="94"/>
  <c r="KQ782" i="94"/>
  <c r="KU782" i="94"/>
  <c r="KY782" i="94"/>
  <c r="LC782" i="94"/>
  <c r="LG782" i="94"/>
  <c r="LK782" i="94"/>
  <c r="LO782" i="94"/>
  <c r="HM781" i="94"/>
  <c r="MW789" i="94"/>
  <c r="MS789" i="94"/>
  <c r="MV789" i="94"/>
  <c r="MY789" i="94"/>
  <c r="MU789" i="94"/>
  <c r="MQ789" i="94"/>
  <c r="MX789" i="94"/>
  <c r="MT789" i="94"/>
  <c r="MP789" i="94"/>
  <c r="MR789" i="94"/>
  <c r="MY788" i="94"/>
  <c r="MU788" i="94"/>
  <c r="MQ788" i="94"/>
  <c r="MW788" i="94"/>
  <c r="MV788" i="94"/>
  <c r="MX788" i="94"/>
  <c r="MT788" i="94"/>
  <c r="MP788" i="94"/>
  <c r="MS788" i="94"/>
  <c r="MR788" i="94"/>
  <c r="MW787" i="94"/>
  <c r="MS787" i="94"/>
  <c r="MT787" i="94"/>
  <c r="MV787" i="94"/>
  <c r="MR787" i="94"/>
  <c r="MX787" i="94"/>
  <c r="MP787" i="94"/>
  <c r="MY787" i="94"/>
  <c r="MU787" i="94"/>
  <c r="MQ787" i="94"/>
  <c r="LY787" i="94"/>
  <c r="MY786" i="94"/>
  <c r="MU786" i="94"/>
  <c r="MQ786" i="94"/>
  <c r="MX786" i="94"/>
  <c r="MT786" i="94"/>
  <c r="MP786" i="94"/>
  <c r="MW786" i="94"/>
  <c r="MS786" i="94"/>
  <c r="MV786" i="94"/>
  <c r="MR786" i="94"/>
  <c r="AA787" i="94"/>
  <c r="AE787" i="94"/>
  <c r="AI787" i="94"/>
  <c r="AM787" i="94"/>
  <c r="AQ787" i="94"/>
  <c r="AU787" i="94"/>
  <c r="AY787" i="94"/>
  <c r="BC787" i="94"/>
  <c r="BG787" i="94"/>
  <c r="BK787" i="94"/>
  <c r="CO787" i="94"/>
  <c r="DU787" i="94"/>
  <c r="EJ787" i="94"/>
  <c r="EN787" i="94"/>
  <c r="ER787" i="94"/>
  <c r="EV787" i="94"/>
  <c r="EZ787" i="94"/>
  <c r="FD787" i="94"/>
  <c r="FH787" i="94"/>
  <c r="FL787" i="94"/>
  <c r="FP787" i="94"/>
  <c r="FT787" i="94"/>
  <c r="LR787" i="94"/>
  <c r="LV787" i="94"/>
  <c r="LZ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Q787" i="94"/>
  <c r="LU787" i="94"/>
  <c r="HW787" i="94"/>
  <c r="MY782" i="94"/>
  <c r="MU782" i="94"/>
  <c r="MQ782" i="94"/>
  <c r="MR782" i="94"/>
  <c r="MX782" i="94"/>
  <c r="MT782" i="94"/>
  <c r="MP782" i="94"/>
  <c r="MW782" i="94"/>
  <c r="MS782" i="94"/>
  <c r="MV782" i="94"/>
  <c r="MW781" i="94"/>
  <c r="MS781" i="94"/>
  <c r="MV781" i="94"/>
  <c r="MR781" i="94"/>
  <c r="MY781" i="94"/>
  <c r="MU781" i="94"/>
  <c r="MQ781" i="94"/>
  <c r="MX781" i="94"/>
  <c r="MT781" i="94"/>
  <c r="MP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G817" i="94" s="1"/>
  <c r="N835" i="94" s="1"/>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W817" i="94"/>
  <c r="K830" i="94" s="1"/>
  <c r="K854"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L817" i="94" l="1"/>
  <c r="O933" i="94" s="1"/>
  <c r="FS817" i="94"/>
  <c r="L936" i="94" s="1"/>
  <c r="BJ817" i="94"/>
  <c r="N833" i="94" s="1"/>
  <c r="AN817" i="94"/>
  <c r="L828" i="94" s="1"/>
  <c r="L848" i="94" s="1"/>
  <c r="GC817" i="94"/>
  <c r="L938" i="94" s="1"/>
  <c r="EF817" i="94"/>
  <c r="M835" i="94" s="1"/>
  <c r="GE817" i="94"/>
  <c r="N938" i="94" s="1"/>
  <c r="EZ817" i="94"/>
  <c r="M931" i="94" s="1"/>
  <c r="P931" i="94" s="1"/>
  <c r="GF817" i="94"/>
  <c r="O938" i="94" s="1"/>
  <c r="GD817" i="94"/>
  <c r="M938" i="94" s="1"/>
  <c r="EE817" i="94"/>
  <c r="L835" i="94" s="1"/>
  <c r="EH817" i="94"/>
  <c r="O835" i="94" s="1"/>
  <c r="LY817" i="94"/>
  <c r="BA817" i="94"/>
  <c r="O830" i="94" s="1"/>
  <c r="O854" i="94" s="1"/>
  <c r="LQ817" i="94"/>
  <c r="X817" i="94"/>
  <c r="K825" i="94" s="1"/>
  <c r="K839" i="94" s="1"/>
  <c r="FD817" i="94"/>
  <c r="L932" i="94" s="1"/>
  <c r="AA817" i="94"/>
  <c r="N825" i="94" s="1"/>
  <c r="N839" i="94" s="1"/>
  <c r="FF817" i="94"/>
  <c r="N932" i="94" s="1"/>
  <c r="ES817" i="94"/>
  <c r="K930" i="94" s="1"/>
  <c r="LX817" i="94"/>
  <c r="AG817" i="94"/>
  <c r="O826" i="94" s="1"/>
  <c r="O842" i="94" s="1"/>
  <c r="FI817" i="94"/>
  <c r="L933" i="94" s="1"/>
  <c r="AD817" i="94"/>
  <c r="L826" i="94" s="1"/>
  <c r="L842" i="94" s="1"/>
  <c r="LU817" i="94"/>
  <c r="LS817" i="94"/>
  <c r="AR817" i="94"/>
  <c r="K829" i="94" s="1"/>
  <c r="K851" i="94" s="1"/>
  <c r="LR817" i="94"/>
  <c r="ER817" i="94"/>
  <c r="O929" i="94" s="1"/>
  <c r="EX817" i="94"/>
  <c r="K931" i="94" s="1"/>
  <c r="EJ817" i="94"/>
  <c r="L928" i="94" s="1"/>
  <c r="AO817" i="94"/>
  <c r="M828" i="94" s="1"/>
  <c r="M848" i="94" s="1"/>
  <c r="AJ817" i="94"/>
  <c r="M827" i="94" s="1"/>
  <c r="M845" i="94" s="1"/>
  <c r="EK817" i="94"/>
  <c r="M928" i="94" s="1"/>
  <c r="AQ817" i="94"/>
  <c r="O828" i="94" s="1"/>
  <c r="O848" i="94" s="1"/>
  <c r="FB817" i="94"/>
  <c r="O931" i="94" s="1"/>
  <c r="FU817" i="94"/>
  <c r="N936" i="94" s="1"/>
  <c r="FM817" i="94"/>
  <c r="K934" i="94" s="1"/>
  <c r="FJ817" i="94"/>
  <c r="M933" i="94" s="1"/>
  <c r="AF817" i="94"/>
  <c r="N826" i="94" s="1"/>
  <c r="N842" i="94" s="1"/>
  <c r="AK817" i="94"/>
  <c r="N827" i="94" s="1"/>
  <c r="N845" i="94" s="1"/>
  <c r="BD817" i="94"/>
  <c r="M831" i="94" s="1"/>
  <c r="M857" i="94" s="1"/>
  <c r="EL817" i="94"/>
  <c r="N928" i="94" s="1"/>
  <c r="Y817" i="94"/>
  <c r="L825" i="94" s="1"/>
  <c r="L839" i="94" s="1"/>
  <c r="EM817" i="94"/>
  <c r="O928" i="94" s="1"/>
  <c r="GB817" i="94"/>
  <c r="K938" i="94" s="1"/>
  <c r="FA817" i="94"/>
  <c r="N931" i="94" s="1"/>
  <c r="BH817" i="94"/>
  <c r="L833" i="94" s="1"/>
  <c r="AB817" i="94"/>
  <c r="O825" i="94" s="1"/>
  <c r="O839" i="94" s="1"/>
  <c r="FH817" i="94"/>
  <c r="K933" i="94" s="1"/>
  <c r="AI817" i="94"/>
  <c r="L827" i="94" s="1"/>
  <c r="L845" i="94" s="1"/>
  <c r="FP817" i="94"/>
  <c r="N934" i="94" s="1"/>
  <c r="BE817" i="94"/>
  <c r="N831" i="94" s="1"/>
  <c r="AZ817" i="94"/>
  <c r="N830" i="94" s="1"/>
  <c r="N854" i="94" s="1"/>
  <c r="BG817" i="94"/>
  <c r="K833" i="94" s="1"/>
  <c r="FR817" i="94"/>
  <c r="K936" i="94" s="1"/>
  <c r="LT817" i="94"/>
  <c r="AC817" i="94"/>
  <c r="K826" i="94" s="1"/>
  <c r="K842" i="94" s="1"/>
  <c r="BI817" i="94"/>
  <c r="M833" i="94" s="1"/>
  <c r="FV817" i="94"/>
  <c r="O936" i="94" s="1"/>
  <c r="AT817" i="94"/>
  <c r="M829" i="94" s="1"/>
  <c r="M851" i="94" s="1"/>
  <c r="AS817" i="94"/>
  <c r="L829" i="94" s="1"/>
  <c r="FT817" i="94"/>
  <c r="M936" i="94" s="1"/>
  <c r="AX817" i="94"/>
  <c r="L830" i="94" s="1"/>
  <c r="L854" i="94" s="1"/>
  <c r="EN817" i="94"/>
  <c r="K929" i="94" s="1"/>
  <c r="AU817" i="94"/>
  <c r="N829" i="94" s="1"/>
  <c r="N851" i="94" s="1"/>
  <c r="FN817" i="94"/>
  <c r="L934" i="94" s="1"/>
  <c r="LZ817" i="94"/>
  <c r="EY817" i="94"/>
  <c r="L931" i="94" s="1"/>
  <c r="FE817" i="94"/>
  <c r="M932" i="94" s="1"/>
  <c r="AV817" i="94"/>
  <c r="O829" i="94" s="1"/>
  <c r="LV817" i="94"/>
  <c r="EV817" i="94"/>
  <c r="N930" i="94" s="1"/>
  <c r="AM817" i="94"/>
  <c r="K828" i="94" s="1"/>
  <c r="K848" i="94" s="1"/>
  <c r="EP817" i="94"/>
  <c r="M929" i="94" s="1"/>
  <c r="ET817" i="94"/>
  <c r="L930" i="94" s="1"/>
  <c r="FG817" i="94"/>
  <c r="O932" i="94" s="1"/>
  <c r="FO817" i="94"/>
  <c r="M934" i="94" s="1"/>
  <c r="EI817" i="94"/>
  <c r="K928" i="94" s="1"/>
  <c r="AE817" i="94"/>
  <c r="M826" i="94" s="1"/>
  <c r="M842" i="94" s="1"/>
  <c r="BF817" i="94"/>
  <c r="O831" i="94" s="1"/>
  <c r="O857" i="94" s="1"/>
  <c r="Z817" i="94"/>
  <c r="M825" i="94" s="1"/>
  <c r="M839" i="94" s="1"/>
  <c r="BC817" i="94"/>
  <c r="L831" i="94" s="1"/>
  <c r="L857" i="94" s="1"/>
  <c r="AP817" i="94"/>
  <c r="N828" i="94" s="1"/>
  <c r="N848" i="94" s="1"/>
  <c r="EQ817" i="94"/>
  <c r="N929" i="94" s="1"/>
  <c r="LW817" i="94"/>
  <c r="AL817" i="94"/>
  <c r="O827" i="94" s="1"/>
  <c r="O845" i="94" s="1"/>
  <c r="HZ817" i="94"/>
  <c r="HH817" i="94"/>
  <c r="HQ817" i="94"/>
  <c r="L889" i="94" s="1"/>
  <c r="FK817" i="94"/>
  <c r="N933" i="94" s="1"/>
  <c r="ED817" i="94"/>
  <c r="K835" i="94" s="1"/>
  <c r="P835" i="94" s="1"/>
  <c r="Q938" i="94" s="1"/>
  <c r="BK817" i="94"/>
  <c r="O833" i="94" s="1"/>
  <c r="EU817" i="94"/>
  <c r="M930" i="94" s="1"/>
  <c r="BB817" i="94"/>
  <c r="K831" i="94" s="1"/>
  <c r="K857" i="94" s="1"/>
  <c r="GX817" i="94"/>
  <c r="M885" i="94" s="1"/>
  <c r="ME817" i="94"/>
  <c r="GV817" i="94"/>
  <c r="K885" i="94" s="1"/>
  <c r="HE817" i="94"/>
  <c r="O886" i="94" s="1"/>
  <c r="GH817" i="94"/>
  <c r="L882" i="94" s="1"/>
  <c r="HO817" i="94"/>
  <c r="O888" i="94" s="1"/>
  <c r="GO817" i="94"/>
  <c r="N883" i="94" s="1"/>
  <c r="HK817" i="94"/>
  <c r="K888" i="94" s="1"/>
  <c r="HT817" i="94"/>
  <c r="O889" i="94" s="1"/>
  <c r="GP817" i="94"/>
  <c r="O883" i="94" s="1"/>
  <c r="HJ817" i="94"/>
  <c r="HX817" i="94"/>
  <c r="GT817" i="94"/>
  <c r="EW817" i="94"/>
  <c r="O930" i="94" s="1"/>
  <c r="AY817" i="94"/>
  <c r="M830" i="94" s="1"/>
  <c r="M854" i="94" s="1"/>
  <c r="FQ817" i="94"/>
  <c r="O934" i="94" s="1"/>
  <c r="AH817" i="94"/>
  <c r="K827" i="94" s="1"/>
  <c r="K845" i="94" s="1"/>
  <c r="HG817" i="94"/>
  <c r="FC817" i="94"/>
  <c r="K932" i="94" s="1"/>
  <c r="GJ817" i="94"/>
  <c r="N882" i="94" s="1"/>
  <c r="EO817" i="94"/>
  <c r="L929" i="94" s="1"/>
  <c r="HW817" i="94"/>
  <c r="HI817" i="94"/>
  <c r="HP817" i="94"/>
  <c r="K889" i="94" s="1"/>
  <c r="GU817" i="94"/>
  <c r="HL817" i="94"/>
  <c r="L888" i="94" s="1"/>
  <c r="GG817" i="94"/>
  <c r="K882" i="94" s="1"/>
  <c r="GI817" i="94"/>
  <c r="M882" i="94" s="1"/>
  <c r="MJ817" i="94"/>
  <c r="MD817" i="94"/>
  <c r="HF817" i="94"/>
  <c r="MK817" i="94"/>
  <c r="HU817" i="94"/>
  <c r="GY817" i="94"/>
  <c r="N885" i="94" s="1"/>
  <c r="ML817" i="94"/>
  <c r="JY817" i="94"/>
  <c r="L898" i="94" s="1"/>
  <c r="IC817" i="94"/>
  <c r="IA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8" i="94" l="1"/>
  <c r="P936" i="94"/>
  <c r="P928" i="94"/>
  <c r="P829" i="94"/>
  <c r="Q932" i="94" s="1"/>
  <c r="P933" i="94"/>
  <c r="P825" i="94"/>
  <c r="P839" i="94" s="1"/>
  <c r="N840" i="94" s="1"/>
  <c r="N841" i="94" s="1"/>
  <c r="P833" i="94"/>
  <c r="Q936" i="94" s="1"/>
  <c r="P202" i="94"/>
  <c r="N832" i="94"/>
  <c r="N834" i="94" s="1"/>
  <c r="N836" i="94" s="1"/>
  <c r="N942" i="94" s="1"/>
  <c r="P828" i="94"/>
  <c r="P826" i="94"/>
  <c r="Q929" i="94" s="1"/>
  <c r="L935" i="94"/>
  <c r="L937" i="94" s="1"/>
  <c r="L939" i="94" s="1"/>
  <c r="M935" i="94"/>
  <c r="M937" i="94" s="1"/>
  <c r="M939" i="94" s="1"/>
  <c r="P934" i="94"/>
  <c r="N935" i="94"/>
  <c r="N937" i="94" s="1"/>
  <c r="N939" i="94" s="1"/>
  <c r="P831" i="94"/>
  <c r="P857" i="94" s="1"/>
  <c r="M858" i="94" s="1"/>
  <c r="M859" i="94" s="1"/>
  <c r="K924" i="94"/>
  <c r="O832" i="94"/>
  <c r="O834" i="94" s="1"/>
  <c r="O836" i="94" s="1"/>
  <c r="O942" i="94" s="1"/>
  <c r="L832" i="94"/>
  <c r="L834" i="94" s="1"/>
  <c r="L836" i="94" s="1"/>
  <c r="K935" i="94"/>
  <c r="K937" i="94" s="1"/>
  <c r="K939" i="94" s="1"/>
  <c r="P827" i="94"/>
  <c r="P845" i="94" s="1"/>
  <c r="M846" i="94" s="1"/>
  <c r="M847" i="94" s="1"/>
  <c r="P930" i="94"/>
  <c r="M887" i="94"/>
  <c r="N884" i="94"/>
  <c r="N887" i="94"/>
  <c r="L921" i="94"/>
  <c r="K920" i="94"/>
  <c r="K832" i="94"/>
  <c r="K834" i="94" s="1"/>
  <c r="O890" i="94"/>
  <c r="P929" i="94"/>
  <c r="P888" i="94"/>
  <c r="O884" i="94"/>
  <c r="O887" i="94"/>
  <c r="Q931" i="94"/>
  <c r="L890" i="94"/>
  <c r="M832" i="94"/>
  <c r="M834" i="94" s="1"/>
  <c r="M836" i="94" s="1"/>
  <c r="P932" i="94"/>
  <c r="O935" i="94"/>
  <c r="O937" i="94" s="1"/>
  <c r="O939" i="94" s="1"/>
  <c r="L922" i="94"/>
  <c r="P830" i="94"/>
  <c r="Q933" i="94" s="1"/>
  <c r="L920" i="94"/>
  <c r="K919" i="94"/>
  <c r="O923" i="94"/>
  <c r="L924" i="94"/>
  <c r="K890" i="94"/>
  <c r="P889" i="94"/>
  <c r="P885" i="94"/>
  <c r="K884" i="94"/>
  <c r="K887" i="94"/>
  <c r="L887" i="94"/>
  <c r="M890" i="94"/>
  <c r="P851" i="94"/>
  <c r="L852" i="94" s="1"/>
  <c r="L853" i="94" s="1"/>
  <c r="N890" i="94"/>
  <c r="M884" i="94"/>
  <c r="P867" i="94"/>
  <c r="P866" i="94"/>
  <c r="P1008" i="94"/>
  <c r="K922" i="94"/>
  <c r="N923" i="94"/>
  <c r="P908" i="94"/>
  <c r="N869" i="94"/>
  <c r="L884" i="94"/>
  <c r="K923" i="94"/>
  <c r="H101"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48" i="94"/>
  <c r="O849" i="94" s="1"/>
  <c r="O850" i="94" s="1"/>
  <c r="P875" i="94"/>
  <c r="K869" i="94"/>
  <c r="P858" i="94"/>
  <c r="P859" i="94" s="1"/>
  <c r="K840" i="94"/>
  <c r="K841" i="94" s="1"/>
  <c r="F493" i="94"/>
  <c r="E484" i="94"/>
  <c r="G480" i="94" s="1"/>
  <c r="L373" i="94"/>
  <c r="L63" i="94"/>
  <c r="M840" i="94" l="1"/>
  <c r="M841" i="94" s="1"/>
  <c r="L840" i="94"/>
  <c r="L841" i="94" s="1"/>
  <c r="Q928" i="94"/>
  <c r="P840" i="94"/>
  <c r="P841" i="94" s="1"/>
  <c r="N846" i="94"/>
  <c r="N847" i="94" s="1"/>
  <c r="O840" i="94"/>
  <c r="O841" i="94" s="1"/>
  <c r="L942" i="94"/>
  <c r="O846" i="94"/>
  <c r="O847" i="94" s="1"/>
  <c r="N858" i="94"/>
  <c r="N859" i="94" s="1"/>
  <c r="P846" i="94"/>
  <c r="P847" i="94" s="1"/>
  <c r="O858" i="94"/>
  <c r="O859" i="94" s="1"/>
  <c r="L846" i="94"/>
  <c r="L847" i="94" s="1"/>
  <c r="Q930" i="94"/>
  <c r="K846" i="94"/>
  <c r="K847" i="94" s="1"/>
  <c r="M942" i="94"/>
  <c r="K858" i="94"/>
  <c r="K859" i="94" s="1"/>
  <c r="L858" i="94"/>
  <c r="L859" i="94" s="1"/>
  <c r="P832" i="94"/>
  <c r="Q934" i="94"/>
  <c r="P834" i="94"/>
  <c r="P939" i="94"/>
  <c r="P919" i="94"/>
  <c r="K849" i="94"/>
  <c r="K850" i="94" s="1"/>
  <c r="P937" i="94"/>
  <c r="P935" i="94"/>
  <c r="P854" i="94"/>
  <c r="O855" i="94" s="1"/>
  <c r="O856" i="94" s="1"/>
  <c r="P925" i="94"/>
  <c r="K836" i="94"/>
  <c r="P836" i="94" s="1"/>
  <c r="N852" i="94"/>
  <c r="N853" i="94" s="1"/>
  <c r="K852" i="94"/>
  <c r="K853" i="94" s="1"/>
  <c r="P852" i="94"/>
  <c r="P853" i="94" s="1"/>
  <c r="M852" i="94"/>
  <c r="M853" i="94" s="1"/>
  <c r="M843" i="94"/>
  <c r="M844" i="94" s="1"/>
  <c r="O852" i="94"/>
  <c r="O853" i="94" s="1"/>
  <c r="P887" i="94"/>
  <c r="P890" i="94"/>
  <c r="P884" i="94"/>
  <c r="P849" i="94"/>
  <c r="P850"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P855" i="94" l="1"/>
  <c r="P856" i="94" s="1"/>
  <c r="K855" i="94"/>
  <c r="K856" i="94" s="1"/>
  <c r="N855" i="94"/>
  <c r="N856" i="94" s="1"/>
  <c r="L855" i="94"/>
  <c r="L856" i="94" s="1"/>
  <c r="M855" i="94"/>
  <c r="M856" i="94" s="1"/>
  <c r="P1011" i="94"/>
  <c r="K942" i="94"/>
  <c r="Q1010" i="94"/>
  <c r="Q101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C21" i="74" s="1"/>
  <c r="C1049" i="94" s="1"/>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9" i="75" s="1"/>
  <c r="J788" i="94" s="1"/>
  <c r="L788" i="94" s="1"/>
  <c r="M788" i="94"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E128" i="74" s="1"/>
  <c r="E1156" i="94" s="1"/>
  <c r="K91" i="74"/>
  <c r="G91" i="74"/>
  <c r="C91" i="74"/>
  <c r="K59" i="74"/>
  <c r="G59" i="74"/>
  <c r="C59" i="74"/>
  <c r="J27" i="74"/>
  <c r="J35" i="74" s="1"/>
  <c r="J1063" i="94" s="1"/>
  <c r="F27" i="74"/>
  <c r="F35" i="74" s="1"/>
  <c r="F1063" i="94" s="1"/>
  <c r="B27" i="74"/>
  <c r="C121" i="74"/>
  <c r="E91" i="74"/>
  <c r="I59" i="74"/>
  <c r="H27" i="74"/>
  <c r="D27" i="74"/>
  <c r="D121" i="74"/>
  <c r="D128" i="74" s="1"/>
  <c r="D1156" i="94" s="1"/>
  <c r="J91" i="74"/>
  <c r="F91" i="74"/>
  <c r="B91" i="74"/>
  <c r="J59" i="74"/>
  <c r="F59" i="74"/>
  <c r="B59" i="74"/>
  <c r="I27" i="74"/>
  <c r="E27" i="74"/>
  <c r="E35" i="74" s="1"/>
  <c r="E1063" i="94" s="1"/>
  <c r="I91" i="74"/>
  <c r="I98" i="74" s="1"/>
  <c r="I1126" i="94" s="1"/>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1059" i="94" s="1"/>
  <c r="H75" i="74"/>
  <c r="H1103" i="94" s="1"/>
  <c r="I75" i="74"/>
  <c r="I1103" i="94" s="1"/>
  <c r="J75" i="74"/>
  <c r="J1103" i="94" s="1"/>
  <c r="K75" i="74"/>
  <c r="K1103" i="94" s="1"/>
  <c r="J610" i="94" l="1"/>
  <c r="J611" i="94" s="1"/>
  <c r="C68" i="74"/>
  <c r="C1096" i="94" s="1"/>
  <c r="F99" i="74"/>
  <c r="F1127" i="94" s="1"/>
  <c r="I99" i="74"/>
  <c r="I1127" i="94" s="1"/>
  <c r="I1120" i="94"/>
  <c r="H23" i="87"/>
  <c r="E1087" i="94"/>
  <c r="F98" i="74"/>
  <c r="F1126" i="94" s="1"/>
  <c r="H34" i="87"/>
  <c r="F1119" i="94"/>
  <c r="H39" i="87"/>
  <c r="K1119" i="94"/>
  <c r="I68" i="74"/>
  <c r="I1096" i="94" s="1"/>
  <c r="I1088" i="94"/>
  <c r="H11" i="87"/>
  <c r="C1055" i="94"/>
  <c r="H13" i="87"/>
  <c r="E1055" i="94"/>
  <c r="H42" i="87"/>
  <c r="D1149" i="94"/>
  <c r="H18" i="87"/>
  <c r="J1055" i="94"/>
  <c r="C11" i="86"/>
  <c r="B1068" i="94"/>
  <c r="H19" i="87"/>
  <c r="K1055" i="94"/>
  <c r="E68" i="74"/>
  <c r="E1096" i="94" s="1"/>
  <c r="E1088" i="94"/>
  <c r="H67" i="74"/>
  <c r="H1095" i="94" s="1"/>
  <c r="H26" i="87"/>
  <c r="H1087" i="94"/>
  <c r="I35" i="74"/>
  <c r="I1063" i="94" s="1"/>
  <c r="H17" i="87"/>
  <c r="I1055" i="94"/>
  <c r="D35" i="74"/>
  <c r="D1063" i="94" s="1"/>
  <c r="H12" i="87"/>
  <c r="D1055" i="94"/>
  <c r="C67" i="74"/>
  <c r="C1095" i="94" s="1"/>
  <c r="H21" i="87"/>
  <c r="C1087" i="94"/>
  <c r="B99" i="74"/>
  <c r="B1127" i="94" s="1"/>
  <c r="B1120" i="94"/>
  <c r="J99" i="74"/>
  <c r="J1127" i="94" s="1"/>
  <c r="J1120" i="94"/>
  <c r="F68" i="78"/>
  <c r="E514" i="94"/>
  <c r="F514" i="94" s="1"/>
  <c r="F36" i="74"/>
  <c r="F1064" i="94" s="1"/>
  <c r="F1056" i="94"/>
  <c r="B67" i="74"/>
  <c r="B1095" i="94" s="1"/>
  <c r="H20" i="87"/>
  <c r="B1087" i="94"/>
  <c r="D67" i="74"/>
  <c r="D1095" i="94" s="1"/>
  <c r="H22" i="87"/>
  <c r="D1087" i="94"/>
  <c r="I36" i="74"/>
  <c r="I1064" i="94" s="1"/>
  <c r="I1056" i="94"/>
  <c r="C12" i="86"/>
  <c r="B1069" i="94"/>
  <c r="C36" i="74"/>
  <c r="C1064" i="94" s="1"/>
  <c r="C1056" i="94"/>
  <c r="H98" i="74"/>
  <c r="H1126" i="94" s="1"/>
  <c r="H36" i="87"/>
  <c r="H1119" i="94"/>
  <c r="H24" i="87"/>
  <c r="F1087" i="94"/>
  <c r="H27" i="87"/>
  <c r="I1087" i="94"/>
  <c r="H29" i="87"/>
  <c r="K1087" i="94"/>
  <c r="G35" i="74"/>
  <c r="G1063" i="94" s="1"/>
  <c r="H15" i="87"/>
  <c r="G1055" i="94"/>
  <c r="J18" i="75"/>
  <c r="J787" i="94" s="1"/>
  <c r="L787" i="94" s="1"/>
  <c r="M787" i="94" s="1"/>
  <c r="D98" i="74"/>
  <c r="D1126" i="94" s="1"/>
  <c r="H32" i="87"/>
  <c r="D1119" i="94"/>
  <c r="H35" i="74"/>
  <c r="H1063" i="94" s="1"/>
  <c r="H16" i="87"/>
  <c r="H1055" i="94"/>
  <c r="F68" i="74"/>
  <c r="F1096" i="94" s="1"/>
  <c r="F1088" i="94"/>
  <c r="J36" i="74"/>
  <c r="J1064" i="94" s="1"/>
  <c r="E16" i="87"/>
  <c r="H1054" i="94"/>
  <c r="C129" i="74"/>
  <c r="C1157" i="94" s="1"/>
  <c r="C1150" i="94"/>
  <c r="B128" i="74"/>
  <c r="B1156" i="94" s="1"/>
  <c r="H40" i="87"/>
  <c r="B1149" i="94"/>
  <c r="J67" i="74"/>
  <c r="J1095" i="94" s="1"/>
  <c r="H28" i="87"/>
  <c r="J1087" i="94"/>
  <c r="E98" i="74"/>
  <c r="E1126" i="94" s="1"/>
  <c r="H33" i="87"/>
  <c r="E1119" i="94"/>
  <c r="H31" i="87"/>
  <c r="C1119" i="94"/>
  <c r="E129" i="74"/>
  <c r="E1157" i="94" s="1"/>
  <c r="E1150" i="94"/>
  <c r="E21" i="87"/>
  <c r="C1086" i="94"/>
  <c r="G67" i="74"/>
  <c r="G1095" i="94" s="1"/>
  <c r="H25" i="87"/>
  <c r="G1087" i="94"/>
  <c r="K36" i="74"/>
  <c r="K1064" i="94" s="1"/>
  <c r="F129" i="74"/>
  <c r="F1157" i="94" s="1"/>
  <c r="F1150" i="94"/>
  <c r="H44" i="87"/>
  <c r="F1149" i="94"/>
  <c r="H30" i="87"/>
  <c r="B1119" i="94"/>
  <c r="H41" i="87"/>
  <c r="C1149" i="94"/>
  <c r="H35" i="87"/>
  <c r="G1119" i="94"/>
  <c r="E39" i="87"/>
  <c r="K1118" i="94"/>
  <c r="R1144" i="94"/>
  <c r="S1144" i="94" s="1"/>
  <c r="D99" i="74"/>
  <c r="D1127" i="94" s="1"/>
  <c r="D1120" i="94"/>
  <c r="H10" i="87"/>
  <c r="B1055" i="94"/>
  <c r="C99" i="74"/>
  <c r="C1127" i="94" s="1"/>
  <c r="C1120" i="94"/>
  <c r="H68" i="74"/>
  <c r="H1096" i="94" s="1"/>
  <c r="H1088" i="94"/>
  <c r="H37" i="87"/>
  <c r="I1119" i="94"/>
  <c r="J98" i="74"/>
  <c r="J1126" i="94" s="1"/>
  <c r="H38" i="87"/>
  <c r="J1119" i="94"/>
  <c r="H14" i="87"/>
  <c r="F1055" i="94"/>
  <c r="H43" i="87"/>
  <c r="E1149" i="94"/>
  <c r="C127" i="74"/>
  <c r="C1155" i="94" s="1"/>
  <c r="E41" i="87"/>
  <c r="C1148" i="94"/>
  <c r="K58" i="74"/>
  <c r="P418" i="94"/>
  <c r="J89" i="74"/>
  <c r="B38" i="87" s="1"/>
  <c r="F36" i="78"/>
  <c r="F482" i="94" s="1"/>
  <c r="L411" i="94"/>
  <c r="L412" i="94" s="1"/>
  <c r="C119" i="74"/>
  <c r="C1147" i="94" s="1"/>
  <c r="K25" i="74"/>
  <c r="B19" i="87" s="1"/>
  <c r="H25" i="74"/>
  <c r="B16" i="87" s="1"/>
  <c r="D89" i="74"/>
  <c r="F84" i="92"/>
  <c r="A2" i="88"/>
  <c r="H1" i="95"/>
  <c r="P6" i="75"/>
  <c r="T1833" i="94"/>
  <c r="P775" i="94"/>
  <c r="N775" i="94"/>
  <c r="O65" i="94"/>
  <c r="K40" i="66"/>
  <c r="I65" i="94"/>
  <c r="B63" i="74"/>
  <c r="P422" i="94"/>
  <c r="F119" i="74"/>
  <c r="B44" i="87" s="1"/>
  <c r="H89" i="74"/>
  <c r="H1117" i="94" s="1"/>
  <c r="E25" i="74"/>
  <c r="B13" i="87" s="1"/>
  <c r="C57" i="74"/>
  <c r="C1085" i="94" s="1"/>
  <c r="J25" i="74"/>
  <c r="B18" i="87" s="1"/>
  <c r="G25" i="74"/>
  <c r="K89" i="74"/>
  <c r="F25" i="74"/>
  <c r="B119" i="74"/>
  <c r="J57" i="74"/>
  <c r="C25" i="74"/>
  <c r="G89" i="74"/>
  <c r="K57" i="74"/>
  <c r="K65" i="82" s="1"/>
  <c r="B89" i="74"/>
  <c r="F57" i="74"/>
  <c r="E119" i="74"/>
  <c r="D57" i="74"/>
  <c r="H57" i="74"/>
  <c r="E57" i="74"/>
  <c r="F89" i="74"/>
  <c r="E89" i="74"/>
  <c r="C89" i="74"/>
  <c r="G57" i="74"/>
  <c r="B25" i="74"/>
  <c r="B39" i="74" s="1"/>
  <c r="C10" i="86" s="1"/>
  <c r="B57" i="74"/>
  <c r="I25" i="74"/>
  <c r="D119" i="74"/>
  <c r="I57" i="74"/>
  <c r="D25" i="74"/>
  <c r="I89" i="74"/>
  <c r="E65" i="89"/>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6" i="74"/>
  <c r="K1094" i="94" s="1"/>
  <c r="E51" i="86"/>
  <c r="B129" i="74"/>
  <c r="B1157" i="94" s="1"/>
  <c r="I58" i="74"/>
  <c r="D26" i="74"/>
  <c r="C90" i="74"/>
  <c r="G90" i="74"/>
  <c r="C34" i="86"/>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D21" i="74" s="1"/>
  <c r="D1049" i="94" s="1"/>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B5" i="92" l="1"/>
  <c r="L18" i="75"/>
  <c r="M18" i="75" s="1"/>
  <c r="H45" i="82"/>
  <c r="R1082" i="94"/>
  <c r="S1082" i="94" s="1"/>
  <c r="E23" i="87"/>
  <c r="E1086" i="94"/>
  <c r="E20" i="87"/>
  <c r="B1086" i="94"/>
  <c r="E42" i="87"/>
  <c r="D1148" i="94"/>
  <c r="E17" i="87"/>
  <c r="I1054" i="94"/>
  <c r="E12" i="87"/>
  <c r="D1054" i="94"/>
  <c r="H65" i="82"/>
  <c r="R1114" i="94"/>
  <c r="S1114" i="94" s="1"/>
  <c r="E27" i="87"/>
  <c r="I1086" i="94"/>
  <c r="E40" i="87"/>
  <c r="B1148" i="94"/>
  <c r="E15" i="87"/>
  <c r="G1054" i="94"/>
  <c r="E34" i="87"/>
  <c r="F1118" i="94"/>
  <c r="E37" i="87"/>
  <c r="I1118" i="94"/>
  <c r="E127" i="74"/>
  <c r="E1155" i="94" s="1"/>
  <c r="E43" i="87"/>
  <c r="E1148" i="94"/>
  <c r="E13" i="87"/>
  <c r="E1054" i="94"/>
  <c r="E22" i="87"/>
  <c r="D1086" i="94"/>
  <c r="K34" i="74"/>
  <c r="K1062" i="94" s="1"/>
  <c r="E19" i="87"/>
  <c r="K1054" i="94"/>
  <c r="E66" i="74"/>
  <c r="E1094" i="94" s="1"/>
  <c r="E38" i="87"/>
  <c r="J1118" i="94"/>
  <c r="E18" i="87"/>
  <c r="J1054" i="94"/>
  <c r="E36" i="87"/>
  <c r="H1118" i="94"/>
  <c r="E26" i="87"/>
  <c r="H1086" i="94"/>
  <c r="E25" i="87"/>
  <c r="G1086" i="94"/>
  <c r="E14" i="87"/>
  <c r="F1054" i="94"/>
  <c r="E11" i="87"/>
  <c r="C1054" i="94"/>
  <c r="E33" i="87"/>
  <c r="E1118" i="94"/>
  <c r="H1053" i="94"/>
  <c r="G45" i="82"/>
  <c r="E28" i="87"/>
  <c r="J1086" i="94"/>
  <c r="E32" i="87"/>
  <c r="D1118" i="94"/>
  <c r="G97" i="74"/>
  <c r="G1125" i="94" s="1"/>
  <c r="E35" i="87"/>
  <c r="G1118" i="94"/>
  <c r="I45" i="82"/>
  <c r="E10" i="87"/>
  <c r="B1054" i="94"/>
  <c r="E30" i="87"/>
  <c r="B1118" i="94"/>
  <c r="E44" i="87"/>
  <c r="F1148" i="94"/>
  <c r="F65" i="82"/>
  <c r="E24" i="87"/>
  <c r="F1086" i="94"/>
  <c r="E31" i="87"/>
  <c r="C1118" i="94"/>
  <c r="E65" i="82"/>
  <c r="E29" i="87"/>
  <c r="K1086" i="94"/>
  <c r="H18" i="84"/>
  <c r="J18" i="84" s="1"/>
  <c r="K1053" i="94"/>
  <c r="B36" i="87"/>
  <c r="G1053" i="94"/>
  <c r="J1053" i="94"/>
  <c r="B15" i="87"/>
  <c r="J1117" i="94"/>
  <c r="B41" i="87"/>
  <c r="F1147" i="94"/>
  <c r="K45" i="82"/>
  <c r="J45" i="82"/>
  <c r="G65" i="82"/>
  <c r="J2057" i="94"/>
  <c r="G1881" i="94"/>
  <c r="P1215" i="94"/>
  <c r="I438" i="94"/>
  <c r="F34" i="78"/>
  <c r="F481" i="94"/>
  <c r="F480" i="94" s="1"/>
  <c r="L154" i="75"/>
  <c r="M154" i="75"/>
  <c r="B91" i="95"/>
  <c r="B238" i="91"/>
  <c r="B139" i="95"/>
  <c r="B397" i="91"/>
  <c r="B187" i="95"/>
  <c r="B555" i="91"/>
  <c r="B182" i="95"/>
  <c r="B538" i="91"/>
  <c r="B144" i="95"/>
  <c r="B414" i="91"/>
  <c r="B78" i="95"/>
  <c r="B187" i="91"/>
  <c r="B38" i="95"/>
  <c r="B63" i="91"/>
  <c r="B192" i="95"/>
  <c r="B572" i="91"/>
  <c r="B67" i="95"/>
  <c r="B159" i="91"/>
  <c r="B58" i="95"/>
  <c r="B125" i="91"/>
  <c r="B178" i="95"/>
  <c r="B521" i="91"/>
  <c r="B154" i="95"/>
  <c r="B442" i="91"/>
  <c r="B158" i="95"/>
  <c r="B459" i="91"/>
  <c r="B54" i="95"/>
  <c r="B108" i="91"/>
  <c r="B102" i="95"/>
  <c r="B266" i="91"/>
  <c r="B48" i="95"/>
  <c r="B97" i="91"/>
  <c r="B96" i="95"/>
  <c r="B255" i="91"/>
  <c r="B115" i="95"/>
  <c r="B317" i="91"/>
  <c r="B34" i="95"/>
  <c r="B46" i="91"/>
  <c r="B43" i="95"/>
  <c r="B80" i="91"/>
  <c r="B120" i="95"/>
  <c r="B334" i="91"/>
  <c r="B86" i="95"/>
  <c r="B221" i="91"/>
  <c r="B110" i="95"/>
  <c r="B300" i="91"/>
  <c r="B168" i="95"/>
  <c r="B493" i="91"/>
  <c r="B130" i="95"/>
  <c r="B363" i="91"/>
  <c r="B163" i="95"/>
  <c r="B476" i="91"/>
  <c r="B72" i="95"/>
  <c r="B176" i="91"/>
  <c r="B106" i="95"/>
  <c r="B283" i="91"/>
  <c r="B30" i="95"/>
  <c r="B29" i="91"/>
  <c r="B134" i="95"/>
  <c r="B380" i="91"/>
  <c r="B82" i="95"/>
  <c r="B204" i="91"/>
  <c r="B174" i="95"/>
  <c r="B504" i="91"/>
  <c r="B62" i="95"/>
  <c r="B142" i="91"/>
  <c r="B126" i="95"/>
  <c r="B346" i="91"/>
  <c r="B150" i="95"/>
  <c r="B425" i="91"/>
  <c r="B1091" i="94"/>
  <c r="J1059" i="94"/>
  <c r="E1059" i="94"/>
  <c r="I1059" i="94"/>
  <c r="F34" i="86"/>
  <c r="E1091" i="94"/>
  <c r="F1091" i="94"/>
  <c r="D1091" i="94"/>
  <c r="B1059" i="94"/>
  <c r="B43" i="74"/>
  <c r="F1059" i="94"/>
  <c r="C1091" i="94"/>
  <c r="B1067" i="94"/>
  <c r="F45" i="82"/>
  <c r="C39" i="74"/>
  <c r="D39" i="74" s="1"/>
  <c r="E1053" i="94"/>
  <c r="D1117" i="94"/>
  <c r="B21" i="87"/>
  <c r="B32" i="87"/>
  <c r="H92" i="73"/>
  <c r="T1836" i="94"/>
  <c r="H1262" i="94"/>
  <c r="Q998" i="94"/>
  <c r="K65" i="94"/>
  <c r="O333" i="72"/>
  <c r="O1988" i="94" s="1"/>
  <c r="Q340" i="72"/>
  <c r="H14" i="86"/>
  <c r="G1059" i="94"/>
  <c r="E34" i="86"/>
  <c r="K1059" i="94"/>
  <c r="E14" i="86"/>
  <c r="D1059" i="94"/>
  <c r="I14" i="86"/>
  <c r="H1059" i="94"/>
  <c r="B12" i="87"/>
  <c r="D1053" i="94"/>
  <c r="B20" i="87"/>
  <c r="B1085" i="94"/>
  <c r="B26" i="87"/>
  <c r="H1085" i="94"/>
  <c r="B30" i="87"/>
  <c r="B1117" i="94"/>
  <c r="B35" i="87"/>
  <c r="G1117" i="94"/>
  <c r="B40" i="87"/>
  <c r="B1147" i="94"/>
  <c r="B27" i="87"/>
  <c r="I1085" i="94"/>
  <c r="B10" i="87"/>
  <c r="B1053" i="94"/>
  <c r="B22" i="87"/>
  <c r="D1085" i="94"/>
  <c r="B14" i="87"/>
  <c r="F1053" i="94"/>
  <c r="B45" i="82"/>
  <c r="B42" i="87"/>
  <c r="D1147" i="94"/>
  <c r="B25" i="87"/>
  <c r="G1085" i="94"/>
  <c r="B33" i="87"/>
  <c r="E1117" i="94"/>
  <c r="B43" i="87"/>
  <c r="E1147" i="94"/>
  <c r="B11" i="87"/>
  <c r="C1053" i="94"/>
  <c r="B39" i="87"/>
  <c r="K1117" i="94"/>
  <c r="C75" i="84"/>
  <c r="K75" i="84" s="1"/>
  <c r="K77" i="84" s="1"/>
  <c r="C45" i="82"/>
  <c r="B37" i="87"/>
  <c r="I1117" i="94"/>
  <c r="B17" i="87"/>
  <c r="I1053" i="94"/>
  <c r="B31" i="87"/>
  <c r="C1117" i="94"/>
  <c r="B34" i="87"/>
  <c r="F1117" i="94"/>
  <c r="B23" i="87"/>
  <c r="E1085" i="94"/>
  <c r="B24" i="87"/>
  <c r="F1085" i="94"/>
  <c r="B29" i="87"/>
  <c r="K1085" i="94"/>
  <c r="B28" i="87"/>
  <c r="J1085" i="94"/>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E21" i="74" s="1"/>
  <c r="E1049" i="94" s="1"/>
  <c r="P140" i="75"/>
  <c r="K151" i="75"/>
  <c r="P130" i="75"/>
  <c r="M149" i="75"/>
  <c r="O125" i="75"/>
  <c r="P138" i="75"/>
  <c r="R30" i="74"/>
  <c r="R1058" i="94" s="1"/>
  <c r="O166" i="75"/>
  <c r="O168" i="75" s="1"/>
  <c r="O170" i="75" s="1"/>
  <c r="P108" i="75"/>
  <c r="P93" i="75"/>
  <c r="K37" i="84"/>
  <c r="J151" i="78"/>
  <c r="J153" i="78" s="1"/>
  <c r="E3" i="86"/>
  <c r="B4" i="82"/>
  <c r="C18" i="84"/>
  <c r="J402" i="72"/>
  <c r="G226" i="72"/>
  <c r="J226" i="72" s="1"/>
  <c r="K9" i="88"/>
  <c r="K23" i="88" s="1"/>
  <c r="K28" i="88" s="1"/>
  <c r="F39" i="88" s="1"/>
  <c r="I59" i="68"/>
  <c r="P141" i="75"/>
  <c r="M152" i="75"/>
  <c r="P114" i="75"/>
  <c r="G14" i="86"/>
  <c r="Q58" i="73"/>
  <c r="Q1228" i="94" s="1"/>
  <c r="G101" i="90" l="1"/>
  <c r="I75" i="84"/>
  <c r="I77" i="84" s="1"/>
  <c r="C77" i="84"/>
  <c r="C80" i="84" s="1"/>
  <c r="C40" i="84"/>
  <c r="G75" i="84"/>
  <c r="G77" i="84" s="1"/>
  <c r="E75" i="84"/>
  <c r="E77" i="84" s="1"/>
  <c r="P428" i="94"/>
  <c r="P429" i="94"/>
  <c r="I439" i="94"/>
  <c r="M2058" i="94"/>
  <c r="J2058" i="94"/>
  <c r="J2059" i="94" s="1"/>
  <c r="I58" i="73"/>
  <c r="F1228" i="94"/>
  <c r="I1228" i="94" s="1"/>
  <c r="I1232" i="94"/>
  <c r="I49" i="73"/>
  <c r="F1219" i="94"/>
  <c r="I1219" i="94" s="1"/>
  <c r="I1225" i="94"/>
  <c r="N1232" i="94"/>
  <c r="I51" i="73"/>
  <c r="F1221" i="94"/>
  <c r="I1221" i="94" s="1"/>
  <c r="I45" i="73"/>
  <c r="F1215" i="94"/>
  <c r="I1215" i="94" s="1"/>
  <c r="N1225" i="94"/>
  <c r="H57" i="73"/>
  <c r="H1227" i="94" s="1"/>
  <c r="F1227" i="94"/>
  <c r="I1227" i="94" s="1"/>
  <c r="H63" i="73"/>
  <c r="H1233" i="94" s="1"/>
  <c r="F1233" i="94"/>
  <c r="N996" i="94"/>
  <c r="B1071" i="94"/>
  <c r="C43" i="74"/>
  <c r="D1067" i="94"/>
  <c r="C1067" i="94"/>
  <c r="D10" i="86"/>
  <c r="E10" i="86"/>
  <c r="E39" i="74"/>
  <c r="E30" i="74"/>
  <c r="E1058" i="94" s="1"/>
  <c r="D1058"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F13" i="74"/>
  <c r="F21" i="74" s="1"/>
  <c r="F1049" i="94" s="1"/>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P430" i="94" l="1"/>
  <c r="N1230" i="94"/>
  <c r="N65" i="73"/>
  <c r="K1235" i="94"/>
  <c r="M45" i="73"/>
  <c r="M1215" i="94" s="1"/>
  <c r="K1215" i="94"/>
  <c r="N1215" i="94" s="1"/>
  <c r="K1230" i="94"/>
  <c r="I1230" i="94"/>
  <c r="I1218" i="94"/>
  <c r="N1211" i="94"/>
  <c r="I66" i="73"/>
  <c r="F1236" i="94"/>
  <c r="I1236" i="94" s="1"/>
  <c r="M43" i="73"/>
  <c r="M1213" i="94" s="1"/>
  <c r="K1213" i="94"/>
  <c r="N1213" i="94" s="1"/>
  <c r="I1211" i="94"/>
  <c r="I1216" i="94" s="1"/>
  <c r="F1216" i="94"/>
  <c r="F1230" i="94"/>
  <c r="K463" i="73"/>
  <c r="K1633" i="94"/>
  <c r="N66" i="73"/>
  <c r="K1236" i="94"/>
  <c r="N1236" i="94" s="1"/>
  <c r="I52" i="73"/>
  <c r="F1222" i="94"/>
  <c r="I1222" i="94" s="1"/>
  <c r="N1630" i="94"/>
  <c r="N1629" i="94"/>
  <c r="C1071" i="94"/>
  <c r="D43" i="74"/>
  <c r="E1067" i="94"/>
  <c r="F39" i="74"/>
  <c r="F10" i="86"/>
  <c r="E53" i="82"/>
  <c r="F30" i="74"/>
  <c r="F1058" i="94" s="1"/>
  <c r="E14" i="74"/>
  <c r="E1042" i="94" s="1"/>
  <c r="B1042"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G21" i="74" s="1"/>
  <c r="G1049" i="94" s="1"/>
  <c r="F23" i="74"/>
  <c r="F1051" i="94" s="1"/>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J460" i="73"/>
  <c r="N59" i="73"/>
  <c r="M59" i="73"/>
  <c r="M1229" i="94" s="1"/>
  <c r="F20" i="74"/>
  <c r="H65" i="73"/>
  <c r="H1235" i="94" s="1"/>
  <c r="F67" i="73"/>
  <c r="I65" i="73"/>
  <c r="O19" i="86"/>
  <c r="O23" i="86" s="1"/>
  <c r="O25" i="86" s="1"/>
  <c r="O31" i="86" s="1"/>
  <c r="N56" i="73"/>
  <c r="K60" i="73"/>
  <c r="M56" i="73"/>
  <c r="M1226" i="94" s="1"/>
  <c r="I61" i="66"/>
  <c r="G30" i="74" l="1"/>
  <c r="G1058" i="94" s="1"/>
  <c r="F53" i="82"/>
  <c r="I1237" i="94"/>
  <c r="I1223" i="94"/>
  <c r="N67" i="73"/>
  <c r="F1237" i="94"/>
  <c r="H1239" i="94"/>
  <c r="K1216" i="94"/>
  <c r="H8" i="88"/>
  <c r="I8" i="88" s="1"/>
  <c r="J600" i="94"/>
  <c r="J601" i="94" s="1"/>
  <c r="J603" i="94" s="1"/>
  <c r="N1216" i="94"/>
  <c r="N1235" i="94"/>
  <c r="N1237" i="94" s="1"/>
  <c r="K1237" i="94"/>
  <c r="M600" i="94"/>
  <c r="M601" i="94" s="1"/>
  <c r="M603" i="94" s="1"/>
  <c r="F1223" i="94"/>
  <c r="D1071" i="94"/>
  <c r="E43" i="74"/>
  <c r="F1067" i="94"/>
  <c r="G39" i="74"/>
  <c r="G10" i="86"/>
  <c r="E1048" i="94"/>
  <c r="D1048" i="94"/>
  <c r="F1048" i="94"/>
  <c r="C1048" i="94"/>
  <c r="N1003" i="94"/>
  <c r="Q1003" i="94"/>
  <c r="Q1015"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N1634" i="94" s="1"/>
  <c r="O1634"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H21" i="74" s="1"/>
  <c r="H1049" i="94" s="1"/>
  <c r="G23" i="74"/>
  <c r="G1051" i="94" s="1"/>
  <c r="G14" i="74"/>
  <c r="G1042" i="94" s="1"/>
  <c r="G20" i="74"/>
  <c r="P154" i="78"/>
  <c r="P155" i="78" s="1"/>
  <c r="P157" i="78" s="1"/>
  <c r="E172" i="90"/>
  <c r="E173" i="90" s="1"/>
  <c r="B22" i="74"/>
  <c r="B1050" i="94" s="1"/>
  <c r="C66" i="84"/>
  <c r="N234" i="75"/>
  <c r="Q234" i="75"/>
  <c r="Q246" i="75"/>
  <c r="I53" i="73"/>
  <c r="F69" i="73"/>
  <c r="F1239" i="94" l="1"/>
  <c r="J604" i="94"/>
  <c r="C20" i="84"/>
  <c r="O2077" i="94"/>
  <c r="O2078" i="94" s="1"/>
  <c r="O2083" i="94"/>
  <c r="O2084" i="94" s="1"/>
  <c r="I1941" i="94"/>
  <c r="N1631" i="94"/>
  <c r="O1402" i="94"/>
  <c r="AE562" i="94"/>
  <c r="M1478" i="94"/>
  <c r="L1478" i="94" s="1"/>
  <c r="M1475" i="94"/>
  <c r="L1475" i="94" s="1"/>
  <c r="AE559" i="94"/>
  <c r="AE560" i="94"/>
  <c r="AE563" i="94"/>
  <c r="AE561" i="94"/>
  <c r="AE564" i="94"/>
  <c r="Q229" i="75"/>
  <c r="N227" i="75" s="1"/>
  <c r="M1239" i="94"/>
  <c r="K1239" i="94"/>
  <c r="D15" i="74"/>
  <c r="D16" i="74" s="1"/>
  <c r="D1044" i="94" s="1"/>
  <c r="E1071" i="94"/>
  <c r="F43" i="74"/>
  <c r="G1067" i="94"/>
  <c r="H39" i="74"/>
  <c r="H10" i="86"/>
  <c r="G1048" i="94"/>
  <c r="F15" i="74"/>
  <c r="B1043" i="94"/>
  <c r="C15" i="74"/>
  <c r="B16" i="74"/>
  <c r="L4" i="95" s="1"/>
  <c r="C53" i="84"/>
  <c r="G53" i="84" s="1"/>
  <c r="G54" i="84" s="1"/>
  <c r="G15" i="74"/>
  <c r="G1043" i="9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H15" i="74"/>
  <c r="H1043" i="94" s="1"/>
  <c r="H14" i="74"/>
  <c r="H1042" i="94" s="1"/>
  <c r="H20" i="74"/>
  <c r="I22" i="74" l="1"/>
  <c r="I1050" i="94" s="1"/>
  <c r="I21" i="74"/>
  <c r="I1049" i="94" s="1"/>
  <c r="G16" i="74"/>
  <c r="G1044" i="94" s="1"/>
  <c r="O58" i="72"/>
  <c r="O1713" i="94" s="1"/>
  <c r="N1633" i="94"/>
  <c r="K1634" i="94"/>
  <c r="AF562" i="94"/>
  <c r="AF559" i="94"/>
  <c r="E53" i="84"/>
  <c r="E54" i="84" s="1"/>
  <c r="E56" i="84" s="1"/>
  <c r="E64" i="84" s="1"/>
  <c r="E70" i="84" s="1"/>
  <c r="E76" i="84" s="1"/>
  <c r="E73" i="84" s="1"/>
  <c r="I53" i="84"/>
  <c r="I54" i="84" s="1"/>
  <c r="I56" i="84" s="1"/>
  <c r="I64" i="84" s="1"/>
  <c r="K53" i="84"/>
  <c r="K54" i="84" s="1"/>
  <c r="K56" i="84" s="1"/>
  <c r="K64" i="84" s="1"/>
  <c r="K70" i="84" s="1"/>
  <c r="K72" i="84" s="1"/>
  <c r="E1043" i="94"/>
  <c r="C1043" i="94"/>
  <c r="B38" i="74"/>
  <c r="B1066" i="94" s="1"/>
  <c r="G38" i="74"/>
  <c r="G1066" i="94" s="1"/>
  <c r="D1043" i="94"/>
  <c r="D38" i="74"/>
  <c r="D1066" i="94" s="1"/>
  <c r="F1071" i="94"/>
  <c r="G43" i="74"/>
  <c r="H1067" i="94"/>
  <c r="I39" i="74"/>
  <c r="I10" i="86"/>
  <c r="H1048" i="94"/>
  <c r="J4" i="91"/>
  <c r="B19" i="74"/>
  <c r="B1047" i="94" s="1"/>
  <c r="C54" i="84"/>
  <c r="C56" i="84" s="1"/>
  <c r="C64" i="84" s="1"/>
  <c r="C70" i="84" s="1"/>
  <c r="C76" i="84" s="1"/>
  <c r="C73" i="84" s="1"/>
  <c r="K5" i="74"/>
  <c r="K1033" i="94" s="1"/>
  <c r="C16" i="74"/>
  <c r="C1044" i="94" s="1"/>
  <c r="K7" i="74"/>
  <c r="K1035" i="94" s="1"/>
  <c r="B1044" i="94"/>
  <c r="E16" i="74"/>
  <c r="E1044" i="94" s="1"/>
  <c r="F1043" i="94"/>
  <c r="F16" i="74"/>
  <c r="F38" i="74" s="1"/>
  <c r="F1066"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I70" i="84"/>
  <c r="I76" i="84" s="1"/>
  <c r="I73" i="84" s="1"/>
  <c r="G56" i="84"/>
  <c r="G64" i="84" s="1"/>
  <c r="G70" i="84" s="1"/>
  <c r="D19" i="74"/>
  <c r="D1047" i="94" s="1"/>
  <c r="G19" i="74"/>
  <c r="G1047" i="94" s="1"/>
  <c r="C33" i="86"/>
  <c r="D13" i="86"/>
  <c r="H16" i="74"/>
  <c r="H1044" i="94" s="1"/>
  <c r="E13" i="86"/>
  <c r="I53" i="82"/>
  <c r="J30" i="74"/>
  <c r="J1058" i="94" s="1"/>
  <c r="L240" i="72"/>
  <c r="K240" i="72"/>
  <c r="I23" i="74"/>
  <c r="I1051" i="94" s="1"/>
  <c r="J13" i="74"/>
  <c r="J21" i="74" s="1"/>
  <c r="J1049" i="94" s="1"/>
  <c r="I15" i="74"/>
  <c r="I1043" i="94" s="1"/>
  <c r="I14" i="74"/>
  <c r="I1042" i="94" s="1"/>
  <c r="I20" i="74"/>
  <c r="I13" i="86"/>
  <c r="H13" i="86"/>
  <c r="F13" i="86"/>
  <c r="G13" i="86"/>
  <c r="A9" i="83"/>
  <c r="O50" i="72" l="1"/>
  <c r="O1705" i="94" s="1"/>
  <c r="R1705" i="94" s="1"/>
  <c r="E118" i="78"/>
  <c r="E564" i="94" s="1"/>
  <c r="A564" i="94" s="1"/>
  <c r="C19" i="74"/>
  <c r="C1047" i="94" s="1"/>
  <c r="H38" i="74"/>
  <c r="H1066" i="94" s="1"/>
  <c r="C38" i="74"/>
  <c r="C1066" i="94" s="1"/>
  <c r="E38" i="74"/>
  <c r="E1066" i="94" s="1"/>
  <c r="G1071" i="94"/>
  <c r="H43" i="74"/>
  <c r="I1067" i="94"/>
  <c r="J39" i="74"/>
  <c r="C30" i="86"/>
  <c r="I1048" i="94"/>
  <c r="C72" i="84"/>
  <c r="B24" i="74"/>
  <c r="F1044" i="94"/>
  <c r="F19" i="74"/>
  <c r="E19" i="74"/>
  <c r="E1047" i="94" s="1"/>
  <c r="P1713" i="94"/>
  <c r="P50" i="72"/>
  <c r="P1705" i="94" s="1"/>
  <c r="K21" i="88"/>
  <c r="K30" i="88" s="1"/>
  <c r="K34" i="88" s="1"/>
  <c r="J169" i="78"/>
  <c r="J615" i="94" s="1"/>
  <c r="J617" i="94" s="1"/>
  <c r="J619" i="94" s="1"/>
  <c r="J622" i="94" s="1"/>
  <c r="J626" i="94" s="1"/>
  <c r="K13" i="88"/>
  <c r="I72" i="84"/>
  <c r="E72" i="84"/>
  <c r="K76" i="84"/>
  <c r="K73" i="84" s="1"/>
  <c r="D24" i="74"/>
  <c r="G72" i="84"/>
  <c r="G76" i="84"/>
  <c r="G73" i="84" s="1"/>
  <c r="G24" i="74"/>
  <c r="K30" i="74"/>
  <c r="K1058" i="94" s="1"/>
  <c r="J53" i="82"/>
  <c r="K13" i="74"/>
  <c r="K21" i="74" s="1"/>
  <c r="K1049" i="94" s="1"/>
  <c r="J23" i="74"/>
  <c r="J1051" i="94" s="1"/>
  <c r="J14" i="74"/>
  <c r="J1042" i="94" s="1"/>
  <c r="J15" i="74"/>
  <c r="J1043" i="94" s="1"/>
  <c r="J20" i="74"/>
  <c r="J22" i="74"/>
  <c r="J1050" i="94" s="1"/>
  <c r="I16" i="74"/>
  <c r="I1044" i="94" s="1"/>
  <c r="H19" i="74"/>
  <c r="H1047" i="94" s="1"/>
  <c r="J630" i="94" l="1"/>
  <c r="M628" i="94"/>
  <c r="C24" i="74"/>
  <c r="C33" i="74" s="1"/>
  <c r="C1061" i="94" s="1"/>
  <c r="E24" i="74"/>
  <c r="E33" i="74" s="1"/>
  <c r="E1061" i="94" s="1"/>
  <c r="R50" i="72"/>
  <c r="A118" i="78"/>
  <c r="I38" i="74"/>
  <c r="I1066" i="94" s="1"/>
  <c r="G33" i="74"/>
  <c r="G1061" i="94" s="1"/>
  <c r="G37" i="74"/>
  <c r="G1065" i="94" s="1"/>
  <c r="D33" i="74"/>
  <c r="D1061" i="94" s="1"/>
  <c r="D37" i="74"/>
  <c r="D1065" i="94" s="1"/>
  <c r="B44" i="82"/>
  <c r="B51" i="82" s="1"/>
  <c r="B37" i="74"/>
  <c r="B1065" i="94" s="1"/>
  <c r="B33" i="74"/>
  <c r="B1061" i="94" s="1"/>
  <c r="H1071" i="94"/>
  <c r="I43" i="74"/>
  <c r="J1067" i="94"/>
  <c r="K39" i="74"/>
  <c r="D30" i="86"/>
  <c r="J1048" i="94"/>
  <c r="B1052" i="94"/>
  <c r="B32" i="74"/>
  <c r="F1047" i="94"/>
  <c r="F24" i="74"/>
  <c r="G44" i="82"/>
  <c r="G51" i="82" s="1"/>
  <c r="G1052" i="94"/>
  <c r="C1052" i="94"/>
  <c r="E44" i="82"/>
  <c r="E46" i="82" s="1"/>
  <c r="D44" i="82"/>
  <c r="D46" i="82" s="1"/>
  <c r="D1052" i="94"/>
  <c r="J171" i="78"/>
  <c r="J173" i="78" s="1"/>
  <c r="E32" i="74"/>
  <c r="D32" i="74"/>
  <c r="D1060" i="94" s="1"/>
  <c r="G32" i="74"/>
  <c r="I19" i="74"/>
  <c r="K23" i="74"/>
  <c r="K1051" i="94" s="1"/>
  <c r="B45" i="74"/>
  <c r="B53" i="74" s="1"/>
  <c r="B1081" i="94" s="1"/>
  <c r="K14" i="74"/>
  <c r="K1042" i="94" s="1"/>
  <c r="K15" i="74"/>
  <c r="K1043" i="94" s="1"/>
  <c r="K20" i="74"/>
  <c r="K22" i="74"/>
  <c r="K1050" i="94" s="1"/>
  <c r="H24" i="74"/>
  <c r="D33" i="86"/>
  <c r="B62" i="74"/>
  <c r="B1090" i="94" s="1"/>
  <c r="K53" i="82"/>
  <c r="J16" i="74"/>
  <c r="J1044" i="94" s="1"/>
  <c r="C44" i="82" l="1"/>
  <c r="C46" i="82" s="1"/>
  <c r="B15" i="82"/>
  <c r="J176" i="78"/>
  <c r="J180" i="78" s="1"/>
  <c r="E1052" i="94"/>
  <c r="E37" i="74"/>
  <c r="E1065" i="94" s="1"/>
  <c r="C32" i="74"/>
  <c r="C1060" i="94" s="1"/>
  <c r="C37" i="74"/>
  <c r="C1065" i="94" s="1"/>
  <c r="B46" i="82"/>
  <c r="F33" i="74"/>
  <c r="F1061" i="94" s="1"/>
  <c r="F37" i="74"/>
  <c r="F1065" i="94" s="1"/>
  <c r="H1052" i="94"/>
  <c r="H33" i="74"/>
  <c r="H1061" i="94" s="1"/>
  <c r="H37" i="74"/>
  <c r="H1065" i="94" s="1"/>
  <c r="J38" i="74"/>
  <c r="J1066" i="94" s="1"/>
  <c r="I1071" i="94"/>
  <c r="J43" i="74"/>
  <c r="K1067" i="94"/>
  <c r="B71" i="74"/>
  <c r="E30" i="86"/>
  <c r="K1048" i="94"/>
  <c r="B1060" i="94"/>
  <c r="C9" i="86"/>
  <c r="C17" i="86" s="1"/>
  <c r="C18" i="86" s="1"/>
  <c r="C20" i="86" s="1"/>
  <c r="C24" i="86" s="1"/>
  <c r="K6" i="86" s="1"/>
  <c r="G66" i="86" s="1"/>
  <c r="N85" i="85" s="1"/>
  <c r="S20" i="74"/>
  <c r="S1048" i="94" s="1"/>
  <c r="G46" i="82"/>
  <c r="F1052" i="94"/>
  <c r="F44" i="82"/>
  <c r="F32" i="74"/>
  <c r="D51" i="82"/>
  <c r="E51" i="82"/>
  <c r="H9" i="86"/>
  <c r="H17" i="86" s="1"/>
  <c r="H18" i="86" s="1"/>
  <c r="H20" i="86" s="1"/>
  <c r="H24" i="86" s="1"/>
  <c r="K11" i="86" s="1"/>
  <c r="G1060" i="94"/>
  <c r="F9" i="86"/>
  <c r="F17" i="86" s="1"/>
  <c r="F18" i="86" s="1"/>
  <c r="F20" i="86" s="1"/>
  <c r="F24" i="86" s="1"/>
  <c r="K9" i="86" s="1"/>
  <c r="E1060" i="94"/>
  <c r="I24" i="74"/>
  <c r="I1047" i="94"/>
  <c r="E9" i="86"/>
  <c r="E17" i="86" s="1"/>
  <c r="E18" i="86" s="1"/>
  <c r="E20" i="86" s="1"/>
  <c r="E24" i="86" s="1"/>
  <c r="K8" i="86" s="1"/>
  <c r="J19" i="74"/>
  <c r="H44" i="82"/>
  <c r="H32" i="74"/>
  <c r="H1060" i="94" s="1"/>
  <c r="K16" i="74"/>
  <c r="K1044" i="94" s="1"/>
  <c r="C45" i="74"/>
  <c r="C53" i="74" s="1"/>
  <c r="C1081" i="94" s="1"/>
  <c r="B55" i="74"/>
  <c r="B1083" i="94" s="1"/>
  <c r="B47" i="74"/>
  <c r="B1075" i="94" s="1"/>
  <c r="B46" i="74"/>
  <c r="B1074" i="94" s="1"/>
  <c r="B52" i="74"/>
  <c r="B54" i="74"/>
  <c r="B1082" i="94" s="1"/>
  <c r="C62" i="74"/>
  <c r="C1090" i="94" s="1"/>
  <c r="B73" i="82"/>
  <c r="E33" i="86"/>
  <c r="C51" i="82" l="1"/>
  <c r="M182" i="78"/>
  <c r="J184" i="78"/>
  <c r="S23" i="74"/>
  <c r="S1051" i="94" s="1"/>
  <c r="D9" i="86"/>
  <c r="D17" i="86" s="1"/>
  <c r="D18" i="86" s="1"/>
  <c r="D20" i="86" s="1"/>
  <c r="D24" i="86" s="1"/>
  <c r="K7" i="86" s="1"/>
  <c r="S22" i="74"/>
  <c r="S1050" i="94" s="1"/>
  <c r="S25" i="74"/>
  <c r="S1053" i="94" s="1"/>
  <c r="S21" i="74"/>
  <c r="S1049" i="94" s="1"/>
  <c r="K38" i="74"/>
  <c r="K1066" i="94" s="1"/>
  <c r="I1052" i="94"/>
  <c r="I33" i="74"/>
  <c r="I1061" i="94" s="1"/>
  <c r="I37" i="74"/>
  <c r="I1065" i="94" s="1"/>
  <c r="J1071" i="94"/>
  <c r="K43" i="74"/>
  <c r="B1099" i="94"/>
  <c r="C71" i="74"/>
  <c r="F30" i="86"/>
  <c r="B1080" i="94"/>
  <c r="S24" i="74"/>
  <c r="S1052" i="94" s="1"/>
  <c r="F1060" i="94"/>
  <c r="G9" i="86"/>
  <c r="G17" i="86" s="1"/>
  <c r="G18" i="86" s="1"/>
  <c r="G20" i="86" s="1"/>
  <c r="G24" i="86" s="1"/>
  <c r="K10" i="86" s="1"/>
  <c r="F46" i="82"/>
  <c r="F51" i="82"/>
  <c r="I44" i="82"/>
  <c r="I46" i="82" s="1"/>
  <c r="J24" i="74"/>
  <c r="J1047" i="94"/>
  <c r="I32" i="74"/>
  <c r="I1060" i="94" s="1"/>
  <c r="C73" i="82"/>
  <c r="D62" i="74"/>
  <c r="D1090" i="94" s="1"/>
  <c r="C47" i="74"/>
  <c r="C1075" i="94" s="1"/>
  <c r="C55" i="74"/>
  <c r="C1083" i="94" s="1"/>
  <c r="D45" i="74"/>
  <c r="D53" i="74" s="1"/>
  <c r="D1081" i="94" s="1"/>
  <c r="C46" i="74"/>
  <c r="C1074" i="94" s="1"/>
  <c r="C52" i="74"/>
  <c r="C54" i="74"/>
  <c r="C1082" i="94" s="1"/>
  <c r="B48" i="74"/>
  <c r="B1076" i="94" s="1"/>
  <c r="I9" i="86"/>
  <c r="S26" i="74"/>
  <c r="S1054" i="94" s="1"/>
  <c r="H51" i="82"/>
  <c r="H46" i="82"/>
  <c r="F33" i="86"/>
  <c r="K19" i="74"/>
  <c r="K1047" i="94" s="1"/>
  <c r="M61" i="85" l="1"/>
  <c r="P61" i="85" s="1"/>
  <c r="I9" i="66"/>
  <c r="I34" i="94"/>
  <c r="L49" i="68"/>
  <c r="C21" i="86"/>
  <c r="E99" i="78"/>
  <c r="L50" i="68"/>
  <c r="B70" i="74"/>
  <c r="B1098" i="94" s="1"/>
  <c r="J1052" i="94"/>
  <c r="J33" i="74"/>
  <c r="J1061" i="94" s="1"/>
  <c r="J37" i="74"/>
  <c r="J1065" i="94" s="1"/>
  <c r="K1071" i="94"/>
  <c r="B75" i="74"/>
  <c r="C1099" i="94"/>
  <c r="D71" i="74"/>
  <c r="G30" i="86"/>
  <c r="C1080" i="94"/>
  <c r="I51" i="82"/>
  <c r="J44" i="82"/>
  <c r="J46" i="82" s="1"/>
  <c r="J32" i="74"/>
  <c r="J1060" i="94" s="1"/>
  <c r="C29" i="86"/>
  <c r="C37" i="86" s="1"/>
  <c r="C38" i="86" s="1"/>
  <c r="C40" i="86" s="1"/>
  <c r="C44" i="86" s="1"/>
  <c r="K13" i="86" s="1"/>
  <c r="S27" i="74"/>
  <c r="S1055" i="94" s="1"/>
  <c r="I17" i="86"/>
  <c r="I18" i="86" s="1"/>
  <c r="I20" i="86" s="1"/>
  <c r="I24" i="86" s="1"/>
  <c r="K12" i="86" s="1"/>
  <c r="E45" i="74"/>
  <c r="E53" i="74" s="1"/>
  <c r="E1081" i="94" s="1"/>
  <c r="D55" i="74"/>
  <c r="D1083" i="94" s="1"/>
  <c r="D47" i="74"/>
  <c r="D1075" i="94" s="1"/>
  <c r="D46" i="74"/>
  <c r="D1074" i="94" s="1"/>
  <c r="D52" i="74"/>
  <c r="D54" i="74"/>
  <c r="D1082" i="94" s="1"/>
  <c r="E62" i="74"/>
  <c r="E1090" i="94" s="1"/>
  <c r="D73" i="82"/>
  <c r="D29" i="86"/>
  <c r="G33" i="86"/>
  <c r="K24" i="74"/>
  <c r="B51" i="74"/>
  <c r="B1079" i="94" s="1"/>
  <c r="C48" i="74"/>
  <c r="C1076" i="94" s="1"/>
  <c r="N49" i="68" l="1"/>
  <c r="N428" i="94" s="1"/>
  <c r="L428" i="94"/>
  <c r="B14" i="82"/>
  <c r="L429" i="94"/>
  <c r="N50" i="68"/>
  <c r="N429" i="94" s="1"/>
  <c r="E545" i="94"/>
  <c r="J545" i="94" s="1"/>
  <c r="J99" i="78"/>
  <c r="C22" i="86"/>
  <c r="C42" i="86" s="1"/>
  <c r="D42" i="86" s="1"/>
  <c r="E42" i="86" s="1"/>
  <c r="C41" i="86"/>
  <c r="D41" i="86" s="1"/>
  <c r="E41" i="86" s="1"/>
  <c r="D21" i="86"/>
  <c r="J51" i="82"/>
  <c r="K1052" i="94"/>
  <c r="K33" i="74"/>
  <c r="K1061" i="94" s="1"/>
  <c r="K37" i="74"/>
  <c r="K1065" i="94" s="1"/>
  <c r="C70" i="74"/>
  <c r="C1098" i="94" s="1"/>
  <c r="B1103" i="94"/>
  <c r="C75" i="74"/>
  <c r="D1099" i="94"/>
  <c r="E71" i="74"/>
  <c r="S28" i="74"/>
  <c r="S1056" i="94" s="1"/>
  <c r="H30" i="86"/>
  <c r="D1080" i="94"/>
  <c r="C51" i="74"/>
  <c r="E73" i="82"/>
  <c r="F62" i="74"/>
  <c r="F1090" i="94" s="1"/>
  <c r="D48" i="74"/>
  <c r="D1076" i="94" s="1"/>
  <c r="B56" i="74"/>
  <c r="D37" i="86"/>
  <c r="D38" i="86" s="1"/>
  <c r="D40" i="86" s="1"/>
  <c r="D44" i="86" s="1"/>
  <c r="K14" i="86" s="1"/>
  <c r="K44" i="82"/>
  <c r="K32" i="74"/>
  <c r="K1060" i="94" s="1"/>
  <c r="E46" i="74"/>
  <c r="E1074" i="94" s="1"/>
  <c r="E55" i="74"/>
  <c r="E1083" i="94" s="1"/>
  <c r="F45" i="74"/>
  <c r="F53" i="74" s="1"/>
  <c r="F1081" i="94" s="1"/>
  <c r="E47" i="74"/>
  <c r="E1075" i="94" s="1"/>
  <c r="E52" i="74"/>
  <c r="E54" i="74"/>
  <c r="E1082" i="94" s="1"/>
  <c r="H33" i="86"/>
  <c r="B20" i="82" l="1"/>
  <c r="B21" i="82" s="1"/>
  <c r="G20" i="82"/>
  <c r="E21" i="86"/>
  <c r="D22" i="86"/>
  <c r="D70" i="74"/>
  <c r="D1098" i="94" s="1"/>
  <c r="B1084" i="94"/>
  <c r="B65" i="74"/>
  <c r="B1093" i="94" s="1"/>
  <c r="B69" i="74"/>
  <c r="B1097" i="94" s="1"/>
  <c r="C1103" i="94"/>
  <c r="D75" i="74"/>
  <c r="E1099" i="94"/>
  <c r="F71" i="74"/>
  <c r="I30" i="86"/>
  <c r="E1080" i="94"/>
  <c r="C56" i="74"/>
  <c r="C1079" i="94"/>
  <c r="D51" i="74"/>
  <c r="D1079" i="94" s="1"/>
  <c r="F55" i="74"/>
  <c r="F1083" i="94" s="1"/>
  <c r="F47" i="74"/>
  <c r="F1075" i="94" s="1"/>
  <c r="F46" i="74"/>
  <c r="F1074" i="94" s="1"/>
  <c r="G45" i="74"/>
  <c r="G53" i="74" s="1"/>
  <c r="G1081" i="94" s="1"/>
  <c r="F52" i="74"/>
  <c r="F54" i="74"/>
  <c r="F1082" i="94" s="1"/>
  <c r="E48" i="74"/>
  <c r="E1076" i="94" s="1"/>
  <c r="E29" i="86"/>
  <c r="S29" i="74"/>
  <c r="S1057" i="94" s="1"/>
  <c r="F73" i="82"/>
  <c r="G62" i="74"/>
  <c r="G1090" i="94" s="1"/>
  <c r="K51" i="82"/>
  <c r="K46" i="82"/>
  <c r="B25" i="82" s="1"/>
  <c r="I33" i="86"/>
  <c r="B64" i="82"/>
  <c r="B64" i="74"/>
  <c r="B1092" i="94" s="1"/>
  <c r="E22" i="86" l="1"/>
  <c r="F21" i="86"/>
  <c r="E70" i="74"/>
  <c r="E1098" i="94" s="1"/>
  <c r="C1084" i="94"/>
  <c r="C69" i="74"/>
  <c r="C1097" i="94" s="1"/>
  <c r="C65" i="74"/>
  <c r="C1093" i="94" s="1"/>
  <c r="D1103" i="94"/>
  <c r="E75" i="74"/>
  <c r="F1099" i="94"/>
  <c r="G71" i="74"/>
  <c r="C50" i="86"/>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H53" i="74" s="1"/>
  <c r="H1081" i="94" s="1"/>
  <c r="G46" i="74"/>
  <c r="G1074" i="94" s="1"/>
  <c r="G52" i="74"/>
  <c r="G54" i="74"/>
  <c r="G1082" i="94" s="1"/>
  <c r="F22" i="86" l="1"/>
  <c r="G21" i="86"/>
  <c r="F70" i="74"/>
  <c r="F1098" i="94" s="1"/>
  <c r="D1084" i="94"/>
  <c r="D65" i="74"/>
  <c r="D1093" i="94" s="1"/>
  <c r="D69" i="74"/>
  <c r="D1097" i="94" s="1"/>
  <c r="E1103" i="94"/>
  <c r="F75" i="74"/>
  <c r="G1099" i="94"/>
  <c r="H71" i="74"/>
  <c r="D50" i="86"/>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I53" i="74" s="1"/>
  <c r="I1081" i="94" s="1"/>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E65" i="74"/>
  <c r="E1093" i="94" s="1"/>
  <c r="E69" i="74"/>
  <c r="E1097" i="94" s="1"/>
  <c r="G70" i="74"/>
  <c r="G1098" i="94" s="1"/>
  <c r="F1103" i="94"/>
  <c r="G75" i="74"/>
  <c r="G1103" i="94" s="1"/>
  <c r="H1099" i="94"/>
  <c r="I71" i="74"/>
  <c r="E50" i="86"/>
  <c r="H1080" i="94"/>
  <c r="E64" i="82"/>
  <c r="E71" i="82" s="1"/>
  <c r="E74" i="82" s="1"/>
  <c r="E1084" i="94"/>
  <c r="E64" i="74"/>
  <c r="B76" i="82"/>
  <c r="E53" i="86"/>
  <c r="H29" i="86"/>
  <c r="S32" i="74"/>
  <c r="S1060" i="94" s="1"/>
  <c r="J45" i="74"/>
  <c r="J53" i="74" s="1"/>
  <c r="J1081" i="94" s="1"/>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E57" i="86" l="1"/>
  <c r="E58" i="86" s="1"/>
  <c r="E60" i="86" s="1"/>
  <c r="E64" i="86" s="1"/>
  <c r="K22" i="86" s="1"/>
  <c r="I21" i="86"/>
  <c r="I22" i="86" s="1"/>
  <c r="H22" i="86"/>
  <c r="H70" i="74"/>
  <c r="H1098" i="94" s="1"/>
  <c r="F1084" i="94"/>
  <c r="F65" i="74"/>
  <c r="F1093" i="94" s="1"/>
  <c r="F69" i="74"/>
  <c r="F1097" i="94" s="1"/>
  <c r="I1099" i="94"/>
  <c r="J71" i="74"/>
  <c r="F50" i="86"/>
  <c r="I1080" i="94"/>
  <c r="E66" i="82"/>
  <c r="S33" i="74"/>
  <c r="S1061" i="94" s="1"/>
  <c r="E1092" i="94"/>
  <c r="I29" i="86"/>
  <c r="I37" i="86" s="1"/>
  <c r="I38" i="86" s="1"/>
  <c r="I40" i="86" s="1"/>
  <c r="I44" i="86" s="1"/>
  <c r="K19" i="86" s="1"/>
  <c r="J47" i="74"/>
  <c r="J1075" i="94" s="1"/>
  <c r="K45" i="74"/>
  <c r="K53" i="74" s="1"/>
  <c r="K1081" i="94" s="1"/>
  <c r="J55" i="74"/>
  <c r="J1083" i="94" s="1"/>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l="1"/>
  <c r="F58" i="86" s="1"/>
  <c r="F60" i="86" s="1"/>
  <c r="F64" i="86" s="1"/>
  <c r="K23" i="86" s="1"/>
  <c r="I70" i="74"/>
  <c r="I1098" i="94" s="1"/>
  <c r="G1084" i="94"/>
  <c r="G69" i="74"/>
  <c r="G1097" i="94" s="1"/>
  <c r="G65" i="74"/>
  <c r="G1093" i="94" s="1"/>
  <c r="J1099" i="94"/>
  <c r="K71" i="74"/>
  <c r="G50" i="86"/>
  <c r="J1080" i="94"/>
  <c r="I51" i="74"/>
  <c r="F66" i="82"/>
  <c r="F71" i="82"/>
  <c r="F74" i="82" s="1"/>
  <c r="G53" i="86"/>
  <c r="G64" i="82"/>
  <c r="G64" i="74"/>
  <c r="G1092" i="94" s="1"/>
  <c r="J48" i="74"/>
  <c r="J1076" i="94" s="1"/>
  <c r="C49" i="86"/>
  <c r="S34" i="74"/>
  <c r="K73" i="82"/>
  <c r="B94" i="74"/>
  <c r="B1122" i="94" s="1"/>
  <c r="B77" i="74"/>
  <c r="B85" i="74" s="1"/>
  <c r="B1113" i="94" s="1"/>
  <c r="K55" i="74"/>
  <c r="K1083" i="94" s="1"/>
  <c r="K46" i="74"/>
  <c r="K1074" i="94" s="1"/>
  <c r="K47" i="74"/>
  <c r="K1075" i="94" s="1"/>
  <c r="K52" i="74"/>
  <c r="K54" i="74"/>
  <c r="K1082" i="94" s="1"/>
  <c r="H56" i="74"/>
  <c r="H1084" i="94" l="1"/>
  <c r="H69" i="74"/>
  <c r="H1097" i="94" s="1"/>
  <c r="H65" i="74"/>
  <c r="H1093" i="94" s="1"/>
  <c r="J70" i="74"/>
  <c r="J1098" i="94" s="1"/>
  <c r="K1099" i="94"/>
  <c r="C85" i="90"/>
  <c r="L93" i="85"/>
  <c r="O8" i="86"/>
  <c r="O14" i="86" s="1"/>
  <c r="O33" i="86" s="1"/>
  <c r="H63" i="86" s="1"/>
  <c r="L63" i="85"/>
  <c r="B102" i="74"/>
  <c r="G57" i="86"/>
  <c r="G58" i="86" s="1"/>
  <c r="G60" i="86" s="1"/>
  <c r="G64" i="86" s="1"/>
  <c r="K24" i="86" s="1"/>
  <c r="H50" i="86"/>
  <c r="K1080" i="94"/>
  <c r="F45" i="68"/>
  <c r="F424" i="94" s="1"/>
  <c r="S1062" i="94"/>
  <c r="I56" i="74"/>
  <c r="I1079" i="94"/>
  <c r="J51" i="74"/>
  <c r="C57" i="86"/>
  <c r="C58" i="86" s="1"/>
  <c r="C60" i="86" s="1"/>
  <c r="C64" i="86" s="1"/>
  <c r="K20" i="86" s="1"/>
  <c r="F75" i="82"/>
  <c r="F76" i="82" s="1"/>
  <c r="B87" i="74"/>
  <c r="B1115" i="94" s="1"/>
  <c r="B78" i="74"/>
  <c r="B1106" i="94" s="1"/>
  <c r="B79" i="74"/>
  <c r="B1107" i="94" s="1"/>
  <c r="C77" i="74"/>
  <c r="C85" i="74" s="1"/>
  <c r="C1113" i="94" s="1"/>
  <c r="B84" i="74"/>
  <c r="B86" i="74"/>
  <c r="B1114" i="94" s="1"/>
  <c r="S35" i="74"/>
  <c r="S1063" i="94" s="1"/>
  <c r="H64" i="82"/>
  <c r="H64" i="74"/>
  <c r="H1092" i="94" s="1"/>
  <c r="H53" i="86"/>
  <c r="G66" i="82"/>
  <c r="G71" i="82"/>
  <c r="G74" i="82" s="1"/>
  <c r="K48" i="74"/>
  <c r="K1076" i="94" s="1"/>
  <c r="C94" i="74"/>
  <c r="C1122" i="94" s="1"/>
  <c r="I1084" i="94" l="1"/>
  <c r="I65" i="74"/>
  <c r="I1093" i="94" s="1"/>
  <c r="I69" i="74"/>
  <c r="I1097" i="94" s="1"/>
  <c r="K70" i="74"/>
  <c r="K1098" i="94" s="1"/>
  <c r="H57" i="86"/>
  <c r="H58" i="86" s="1"/>
  <c r="H60" i="86" s="1"/>
  <c r="H64" i="86" s="1"/>
  <c r="K25" i="86" s="1"/>
  <c r="B1130" i="94"/>
  <c r="C102" i="74"/>
  <c r="B1112" i="94"/>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C1106" i="94" s="1"/>
  <c r="D77" i="74"/>
  <c r="D85" i="74" s="1"/>
  <c r="D1113" i="94" s="1"/>
  <c r="C87" i="74"/>
  <c r="C1115" i="94" s="1"/>
  <c r="C79" i="74"/>
  <c r="C1107" i="94" s="1"/>
  <c r="C84" i="74"/>
  <c r="C86" i="74"/>
  <c r="C1114" i="94" s="1"/>
  <c r="G75" i="82"/>
  <c r="G76" i="82" s="1"/>
  <c r="J1084" i="94" l="1"/>
  <c r="J65" i="74"/>
  <c r="J1093" i="94" s="1"/>
  <c r="J69" i="74"/>
  <c r="J1097" i="94" s="1"/>
  <c r="B101" i="74"/>
  <c r="B1129" i="94" s="1"/>
  <c r="C1130" i="94"/>
  <c r="D102" i="74"/>
  <c r="C1112" i="94"/>
  <c r="I66" i="82"/>
  <c r="J64" i="74"/>
  <c r="J1092" i="94" s="1"/>
  <c r="J64" i="82"/>
  <c r="J66" i="82" s="1"/>
  <c r="F85" i="92"/>
  <c r="F89" i="92" s="1"/>
  <c r="F105" i="92" s="1"/>
  <c r="E77" i="74"/>
  <c r="E85" i="74" s="1"/>
  <c r="E1113" i="94" s="1"/>
  <c r="D78" i="74"/>
  <c r="D1106" i="94" s="1"/>
  <c r="D79" i="74"/>
  <c r="D1107" i="94" s="1"/>
  <c r="D87" i="74"/>
  <c r="D1115" i="94" s="1"/>
  <c r="D84" i="74"/>
  <c r="D86" i="74"/>
  <c r="D1114" i="94" s="1"/>
  <c r="C80" i="74"/>
  <c r="C1108" i="94" s="1"/>
  <c r="I75" i="82"/>
  <c r="I76" i="82" s="1"/>
  <c r="E94" i="74"/>
  <c r="E1122" i="94" s="1"/>
  <c r="B83" i="74"/>
  <c r="B1111" i="94" s="1"/>
  <c r="H75" i="82"/>
  <c r="H76" i="82" s="1"/>
  <c r="K56" i="74"/>
  <c r="J71" i="82" l="1"/>
  <c r="J74" i="82" s="1"/>
  <c r="J75" i="82" s="1"/>
  <c r="J76" i="82" s="1"/>
  <c r="C101" i="74"/>
  <c r="C1129" i="94" s="1"/>
  <c r="K1084" i="94"/>
  <c r="K69" i="74"/>
  <c r="K1097" i="94" s="1"/>
  <c r="K65" i="74"/>
  <c r="K1093" i="94" s="1"/>
  <c r="D1130" i="94"/>
  <c r="E102" i="74"/>
  <c r="D1112" i="94"/>
  <c r="S38" i="74"/>
  <c r="S1066" i="94" s="1"/>
  <c r="C83" i="74"/>
  <c r="C1111" i="94" s="1"/>
  <c r="F94" i="74"/>
  <c r="F1122" i="94" s="1"/>
  <c r="K64" i="74"/>
  <c r="K1092" i="94" s="1"/>
  <c r="K64" i="82"/>
  <c r="D80" i="74"/>
  <c r="D1108" i="94" s="1"/>
  <c r="F77" i="74"/>
  <c r="F85" i="74" s="1"/>
  <c r="F1113" i="94" s="1"/>
  <c r="E87" i="74"/>
  <c r="E1115" i="94" s="1"/>
  <c r="E78" i="74"/>
  <c r="E1106" i="94" s="1"/>
  <c r="E79" i="74"/>
  <c r="E1107" i="94" s="1"/>
  <c r="E84" i="74"/>
  <c r="E86" i="74"/>
  <c r="E1114" i="94" s="1"/>
  <c r="B88" i="74"/>
  <c r="D101" i="74" l="1"/>
  <c r="D1129" i="94" s="1"/>
  <c r="B96" i="74"/>
  <c r="B1124" i="94" s="1"/>
  <c r="B100" i="74"/>
  <c r="B1128" i="94" s="1"/>
  <c r="E1130" i="94"/>
  <c r="F102" i="74"/>
  <c r="E1112" i="94"/>
  <c r="B95" i="74"/>
  <c r="B1123" i="94" s="1"/>
  <c r="B1116" i="94"/>
  <c r="C88" i="74"/>
  <c r="D83" i="74"/>
  <c r="D1111" i="94" s="1"/>
  <c r="E80" i="74"/>
  <c r="E1108" i="94" s="1"/>
  <c r="K71" i="82"/>
  <c r="K74" i="82" s="1"/>
  <c r="K66" i="82"/>
  <c r="F87" i="74"/>
  <c r="F1115" i="94" s="1"/>
  <c r="G77" i="74"/>
  <c r="G85" i="74" s="1"/>
  <c r="G1113" i="94" s="1"/>
  <c r="F79" i="74"/>
  <c r="F1107" i="94" s="1"/>
  <c r="F78" i="74"/>
  <c r="F1106" i="94" s="1"/>
  <c r="F84" i="74"/>
  <c r="F86" i="74"/>
  <c r="F1114" i="94" s="1"/>
  <c r="S39" i="74"/>
  <c r="S1067" i="94" s="1"/>
  <c r="G94" i="74"/>
  <c r="G1122" i="94" s="1"/>
  <c r="E101" i="74" l="1"/>
  <c r="E1129" i="94" s="1"/>
  <c r="C96" i="74"/>
  <c r="C1124" i="94" s="1"/>
  <c r="C100" i="74"/>
  <c r="C1128" i="94" s="1"/>
  <c r="F1130" i="94"/>
  <c r="G102" i="74"/>
  <c r="F1112" i="94"/>
  <c r="C95" i="74"/>
  <c r="C1123" i="94" s="1"/>
  <c r="C1116" i="94"/>
  <c r="E83" i="74"/>
  <c r="E1111" i="94" s="1"/>
  <c r="G78" i="74"/>
  <c r="G1106" i="94" s="1"/>
  <c r="G87" i="74"/>
  <c r="G1115" i="94" s="1"/>
  <c r="G79" i="74"/>
  <c r="G1107" i="94" s="1"/>
  <c r="H77" i="74"/>
  <c r="H85" i="74" s="1"/>
  <c r="H1113" i="94" s="1"/>
  <c r="G84" i="74"/>
  <c r="G86" i="74"/>
  <c r="G1114" i="94" s="1"/>
  <c r="K75" i="82"/>
  <c r="K76" i="82" s="1"/>
  <c r="H94" i="74"/>
  <c r="H1122" i="94" s="1"/>
  <c r="F80" i="74"/>
  <c r="F1108" i="94" s="1"/>
  <c r="D88" i="74"/>
  <c r="F101" i="74" l="1"/>
  <c r="F1129" i="94" s="1"/>
  <c r="D96" i="74"/>
  <c r="D1124" i="94" s="1"/>
  <c r="D100" i="74"/>
  <c r="D1128" i="94" s="1"/>
  <c r="G1130" i="94"/>
  <c r="H102" i="74"/>
  <c r="G1112" i="94"/>
  <c r="D95" i="74"/>
  <c r="D1123" i="94" s="1"/>
  <c r="D1116" i="94"/>
  <c r="E88" i="74"/>
  <c r="F83" i="74"/>
  <c r="F1111" i="94" s="1"/>
  <c r="H87" i="74"/>
  <c r="H1115" i="94" s="1"/>
  <c r="H79" i="74"/>
  <c r="H1107" i="94" s="1"/>
  <c r="H78" i="74"/>
  <c r="H1106" i="94" s="1"/>
  <c r="I77" i="74"/>
  <c r="I85" i="74" s="1"/>
  <c r="I1113" i="94" s="1"/>
  <c r="H84" i="74"/>
  <c r="H86" i="74"/>
  <c r="H1114" i="94" s="1"/>
  <c r="G80" i="74"/>
  <c r="G1108" i="94" s="1"/>
  <c r="I94" i="74"/>
  <c r="I1122" i="94" s="1"/>
  <c r="G101" i="74" l="1"/>
  <c r="G1129" i="94" s="1"/>
  <c r="E96" i="74"/>
  <c r="E1124" i="94" s="1"/>
  <c r="E100" i="74"/>
  <c r="E1128" i="94" s="1"/>
  <c r="H1130" i="94"/>
  <c r="I102" i="74"/>
  <c r="H1112" i="94"/>
  <c r="E95" i="74"/>
  <c r="E1123" i="94" s="1"/>
  <c r="E1116" i="94"/>
  <c r="F88" i="74"/>
  <c r="G83" i="74"/>
  <c r="G1111" i="94" s="1"/>
  <c r="I87" i="74"/>
  <c r="I1115" i="94" s="1"/>
  <c r="I78" i="74"/>
  <c r="I1106" i="94" s="1"/>
  <c r="J77" i="74"/>
  <c r="J85" i="74" s="1"/>
  <c r="J1113" i="94" s="1"/>
  <c r="I79" i="74"/>
  <c r="I1107" i="94" s="1"/>
  <c r="I84" i="74"/>
  <c r="I86" i="74"/>
  <c r="I1114" i="94" s="1"/>
  <c r="H80" i="74"/>
  <c r="H1108" i="94" s="1"/>
  <c r="J94" i="74"/>
  <c r="J1122" i="94" s="1"/>
  <c r="H101" i="74" l="1"/>
  <c r="H1129" i="94" s="1"/>
  <c r="F100" i="74"/>
  <c r="F1128" i="94" s="1"/>
  <c r="F96" i="74"/>
  <c r="F1124" i="94" s="1"/>
  <c r="I1130" i="94"/>
  <c r="J102" i="74"/>
  <c r="I1112" i="94"/>
  <c r="F95" i="74"/>
  <c r="F1123" i="94" s="1"/>
  <c r="F1116" i="94"/>
  <c r="J79" i="74"/>
  <c r="J1107" i="94" s="1"/>
  <c r="K77" i="74"/>
  <c r="K85" i="74" s="1"/>
  <c r="K1113" i="94" s="1"/>
  <c r="J78" i="74"/>
  <c r="J1106" i="94" s="1"/>
  <c r="J87" i="74"/>
  <c r="J1115" i="94" s="1"/>
  <c r="J84" i="74"/>
  <c r="J86" i="74"/>
  <c r="J1114" i="94" s="1"/>
  <c r="I80" i="74"/>
  <c r="I1108" i="94" s="1"/>
  <c r="K94" i="74"/>
  <c r="K1122" i="94" s="1"/>
  <c r="G88" i="74"/>
  <c r="H83" i="74"/>
  <c r="H1111" i="94" s="1"/>
  <c r="I101" i="74" l="1"/>
  <c r="I1129" i="94" s="1"/>
  <c r="G96" i="74"/>
  <c r="G1124" i="94" s="1"/>
  <c r="G100" i="74"/>
  <c r="G1128" i="94" s="1"/>
  <c r="J1130" i="94"/>
  <c r="K102" i="74"/>
  <c r="J1112" i="94"/>
  <c r="G95" i="74"/>
  <c r="G1123" i="94" s="1"/>
  <c r="G1116" i="94"/>
  <c r="H88" i="74"/>
  <c r="J80" i="74"/>
  <c r="J1108" i="94" s="1"/>
  <c r="B124" i="74"/>
  <c r="B1152" i="94" s="1"/>
  <c r="K79" i="74"/>
  <c r="K1107" i="94" s="1"/>
  <c r="B107" i="74"/>
  <c r="B115" i="74" s="1"/>
  <c r="B1143" i="94" s="1"/>
  <c r="K87" i="74"/>
  <c r="K1115" i="94" s="1"/>
  <c r="K78" i="74"/>
  <c r="K1106" i="94" s="1"/>
  <c r="K84" i="74"/>
  <c r="K86" i="74"/>
  <c r="K1114" i="94" s="1"/>
  <c r="I83" i="74"/>
  <c r="I1111" i="94" s="1"/>
  <c r="J101" i="74" l="1"/>
  <c r="J1129" i="94" s="1"/>
  <c r="H96" i="74"/>
  <c r="H1124" i="94" s="1"/>
  <c r="H100" i="74"/>
  <c r="H1128" i="94" s="1"/>
  <c r="K1130" i="94"/>
  <c r="B132" i="74"/>
  <c r="K1112" i="94"/>
  <c r="H95" i="74"/>
  <c r="H1123" i="94" s="1"/>
  <c r="H1116" i="94"/>
  <c r="J83" i="74"/>
  <c r="K80" i="74"/>
  <c r="K1108" i="94" s="1"/>
  <c r="C124" i="74"/>
  <c r="C1152" i="94" s="1"/>
  <c r="I88" i="74"/>
  <c r="B108" i="74"/>
  <c r="B1136" i="94" s="1"/>
  <c r="C107" i="74"/>
  <c r="C115" i="74" s="1"/>
  <c r="C1143" i="94" s="1"/>
  <c r="B109" i="74"/>
  <c r="B1137" i="94" s="1"/>
  <c r="B117" i="74"/>
  <c r="B1145" i="94" s="1"/>
  <c r="B114" i="74"/>
  <c r="B116" i="74"/>
  <c r="B1144" i="94" s="1"/>
  <c r="K101" i="74" l="1"/>
  <c r="K1129" i="94" s="1"/>
  <c r="I96" i="74"/>
  <c r="I1124" i="94" s="1"/>
  <c r="I100" i="74"/>
  <c r="I1128" i="94" s="1"/>
  <c r="B1160" i="94"/>
  <c r="C132" i="74"/>
  <c r="B1142" i="94"/>
  <c r="I95" i="74"/>
  <c r="I1123" i="94" s="1"/>
  <c r="I1116" i="94"/>
  <c r="J88" i="74"/>
  <c r="J1111" i="94"/>
  <c r="K83" i="74"/>
  <c r="D107" i="74"/>
  <c r="D115" i="74" s="1"/>
  <c r="D1143" i="94" s="1"/>
  <c r="C108" i="74"/>
  <c r="C1136" i="94" s="1"/>
  <c r="C117" i="74"/>
  <c r="C1145" i="94" s="1"/>
  <c r="C109" i="74"/>
  <c r="C1137" i="94" s="1"/>
  <c r="C114" i="74"/>
  <c r="C116" i="74"/>
  <c r="C1144" i="94" s="1"/>
  <c r="D124" i="74"/>
  <c r="D1152" i="94" s="1"/>
  <c r="B110" i="74"/>
  <c r="B1138" i="94" s="1"/>
  <c r="B131" i="74" l="1"/>
  <c r="B1159" i="94" s="1"/>
  <c r="J96" i="74"/>
  <c r="J1124" i="94" s="1"/>
  <c r="J100" i="74"/>
  <c r="J1128" i="94" s="1"/>
  <c r="C1160" i="94"/>
  <c r="D132" i="74"/>
  <c r="C1142" i="94"/>
  <c r="K88" i="74"/>
  <c r="K1111" i="94"/>
  <c r="J95" i="74"/>
  <c r="J1123" i="94" s="1"/>
  <c r="J1116" i="94"/>
  <c r="B113" i="74"/>
  <c r="B1141" i="94" s="1"/>
  <c r="C110" i="74"/>
  <c r="C1138" i="94" s="1"/>
  <c r="E124" i="74"/>
  <c r="E1152" i="94" s="1"/>
  <c r="D117" i="74"/>
  <c r="D1145" i="94" s="1"/>
  <c r="D108" i="74"/>
  <c r="D1136" i="94" s="1"/>
  <c r="E107" i="74"/>
  <c r="E115" i="74" s="1"/>
  <c r="E1143" i="94" s="1"/>
  <c r="D109" i="74"/>
  <c r="D1137" i="94" s="1"/>
  <c r="D114" i="74"/>
  <c r="D116" i="74"/>
  <c r="D1144" i="94" s="1"/>
  <c r="C131" i="74" l="1"/>
  <c r="C1159" i="94" s="1"/>
  <c r="K100" i="74"/>
  <c r="K1128" i="94" s="1"/>
  <c r="K96" i="74"/>
  <c r="K1124" i="94" s="1"/>
  <c r="D1160" i="94"/>
  <c r="E132" i="74"/>
  <c r="D1142" i="94"/>
  <c r="K95" i="74"/>
  <c r="K1123" i="94" s="1"/>
  <c r="K1116" i="94"/>
  <c r="B118" i="74"/>
  <c r="C113" i="74"/>
  <c r="C1141" i="94" s="1"/>
  <c r="F124" i="74"/>
  <c r="F1152" i="94" s="1"/>
  <c r="F107" i="74"/>
  <c r="F115" i="74" s="1"/>
  <c r="F1143" i="94" s="1"/>
  <c r="E108" i="74"/>
  <c r="E1136" i="94" s="1"/>
  <c r="E117" i="74"/>
  <c r="E1145" i="94" s="1"/>
  <c r="E109" i="74"/>
  <c r="E1137" i="94" s="1"/>
  <c r="E114" i="74"/>
  <c r="E116" i="74"/>
  <c r="E1144" i="94" s="1"/>
  <c r="D110" i="74"/>
  <c r="D1138" i="94" s="1"/>
  <c r="D131" i="74" l="1"/>
  <c r="D1159" i="94" s="1"/>
  <c r="B130" i="74"/>
  <c r="B1158" i="94" s="1"/>
  <c r="B126" i="74"/>
  <c r="B1154" i="94" s="1"/>
  <c r="E1160" i="94"/>
  <c r="F132" i="74"/>
  <c r="F1160" i="94" s="1"/>
  <c r="E1142" i="94"/>
  <c r="B125" i="74"/>
  <c r="B1153" i="94" s="1"/>
  <c r="B1146" i="94"/>
  <c r="C118" i="74"/>
  <c r="E110" i="74"/>
  <c r="E1138" i="94" s="1"/>
  <c r="F117" i="74"/>
  <c r="F1145" i="94" s="1"/>
  <c r="F109" i="74"/>
  <c r="F1137" i="94" s="1"/>
  <c r="F108" i="74"/>
  <c r="F1136" i="94" s="1"/>
  <c r="F114" i="74"/>
  <c r="F116" i="74"/>
  <c r="F1144" i="94" s="1"/>
  <c r="D113" i="74"/>
  <c r="D1141" i="94" s="1"/>
  <c r="E131" i="74" l="1"/>
  <c r="E1159" i="94" s="1"/>
  <c r="C126" i="74"/>
  <c r="C1154" i="94" s="1"/>
  <c r="C130" i="74"/>
  <c r="C1158" i="94" s="1"/>
  <c r="F1142" i="94"/>
  <c r="C125" i="74"/>
  <c r="C1153" i="94" s="1"/>
  <c r="C1146" i="94"/>
  <c r="E113" i="74"/>
  <c r="E1141" i="94" s="1"/>
  <c r="F110" i="74"/>
  <c r="F1138" i="94" s="1"/>
  <c r="D118" i="74"/>
  <c r="F131" i="74" l="1"/>
  <c r="F1159" i="94" s="1"/>
  <c r="D130" i="74"/>
  <c r="D1158" i="94" s="1"/>
  <c r="D126" i="74"/>
  <c r="D1154"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c r="O2098" i="94" s="1"/>
  <c r="O1661" i="94" s="1"/>
  <c r="P316" i="72"/>
  <c r="P1971" i="94" s="1"/>
  <c r="P2098" i="94" s="1"/>
  <c r="P1956" i="94"/>
  <c r="P1661" i="94" l="1"/>
  <c r="P210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<sst xmlns="http://schemas.openxmlformats.org/spreadsheetml/2006/main" count="19360" uniqueCount="7151">
  <si>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</si>
  <si>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</si>
  <si>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</si>
  <si>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</si>
  <si>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</si>
  <si>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</si>
  <si>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</si>
  <si>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</si>
  <si>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</si>
  <si>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</si>
  <si>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</si>
  <si>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</si>
  <si>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</si>
  <si>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</si>
  <si>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</si>
  <si>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</si>
  <si>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</si>
  <si>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</si>
  <si>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</si>
  <si>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</si>
  <si>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</si>
  <si>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</si>
  <si>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</si>
  <si>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</si>
  <si>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</si>
  <si>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</si>
  <si>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</si>
  <si>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</si>
  <si>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</si>
  <si>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</si>
  <si>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</si>
  <si>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</si>
  <si>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</si>
  <si>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</si>
  <si>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</si>
  <si>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</si>
  <si>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</si>
  <si>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</si>
  <si>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</si>
  <si>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</si>
  <si>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</si>
  <si>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</si>
  <si>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</si>
  <si>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</si>
  <si>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</si>
  <si>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</si>
  <si>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</si>
  <si>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</si>
  <si>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</si>
  <si>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</si>
  <si>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</si>
  <si>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</si>
  <si>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</si>
  <si>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</si>
  <si>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</si>
  <si>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</si>
  <si>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</si>
  <si>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</si>
  <si>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</si>
  <si>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</si>
  <si>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</si>
  <si>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</si>
  <si>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</si>
  <si>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</si>
  <si>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</si>
  <si>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</si>
  <si>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</si>
  <si>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</si>
  <si>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</si>
  <si>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</si>
  <si>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</si>
  <si>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</si>
  <si>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</si>
  <si>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</si>
  <si>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</si>
  <si>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</si>
  <si>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</si>
  <si>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</si>
  <si>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</si>
  <si>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</si>
  <si>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</si>
  <si>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</si>
  <si>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</si>
  <si>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</si>
  <si>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</si>
  <si>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</si>
  <si>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</si>
  <si>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</si>
  <si>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</si>
  <si>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</si>
  <si>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</si>
  <si>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</si>
  <si>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</si>
  <si>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</si>
  <si>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</si>
  <si>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</si>
  <si>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</si>
  <si>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</si>
  <si>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</si>
  <si>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</si>
  <si>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</si>
  <si>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</si>
  <si>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</si>
  <si>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</si>
  <si>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</si>
  <si>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</si>
  <si>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</si>
  <si>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</si>
  <si>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</si>
  <si>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</si>
  <si>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</si>
  <si>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</si>
  <si>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</si>
  <si>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</si>
  <si>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</si>
  <si>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</si>
  <si>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</si>
  <si>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</si>
  <si>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</si>
  <si>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</si>
  <si>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</si>
  <si>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</si>
  <si>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</si>
  <si>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</si>
  <si>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</si>
  <si>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</si>
  <si>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</si>
  <si>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</si>
  <si>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</si>
  <si>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</si>
  <si>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</si>
  <si>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</si>
  <si>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</si>
  <si>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</si>
  <si>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</si>
  <si>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</si>
  <si>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</si>
  <si>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</si>
  <si>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</si>
  <si>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</si>
  <si>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</si>
  <si>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</si>
  <si>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</si>
  <si>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</si>
  <si>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</si>
  <si>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</si>
  <si>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</si>
  <si>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</si>
  <si>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</si>
  <si>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</si>
  <si>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</si>
  <si>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</si>
  <si>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</si>
  <si>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</si>
  <si>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</si>
  <si>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</si>
  <si>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</si>
  <si>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</si>
  <si>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</si>
  <si>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</si>
  <si>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</si>
  <si>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</si>
  <si>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</si>
  <si>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</si>
  <si>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</si>
  <si>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</si>
  <si>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</si>
  <si>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</si>
  <si>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</si>
  <si>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</si>
  <si>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</si>
  <si>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</si>
  <si>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</si>
  <si>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</si>
  <si>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</si>
  <si>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</si>
  <si>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</si>
  <si>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</si>
  <si>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</si>
  <si>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</si>
  <si>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</si>
  <si>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</si>
  <si>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</si>
  <si>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</si>
  <si>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</si>
  <si>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</si>
  <si>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</si>
  <si>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</si>
  <si>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</si>
  <si>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</si>
  <si>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</si>
  <si>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</si>
  <si>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</si>
  <si>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</si>
  <si>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</si>
  <si>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</si>
  <si>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</si>
  <si>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</si>
  <si>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</si>
  <si>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</si>
  <si>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</si>
  <si>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</si>
  <si>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</si>
  <si>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</si>
  <si>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</si>
  <si>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</si>
  <si>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</si>
  <si>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</si>
  <si>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</si>
  <si>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</si>
  <si>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</si>
  <si>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</si>
  <si>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</si>
  <si>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</si>
  <si>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</si>
  <si>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</si>
  <si>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</si>
  <si>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</si>
  <si>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</si>
  <si>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</si>
  <si>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</si>
  <si>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</si>
  <si>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</si>
  <si>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</si>
  <si>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</si>
  <si>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</si>
  <si>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</si>
  <si>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</si>
  <si>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</si>
  <si>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</si>
  <si>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</si>
  <si>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</si>
  <si>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</si>
  <si>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</si>
  <si>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</si>
  <si>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</si>
  <si>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</si>
  <si>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</si>
  <si>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</si>
  <si>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</si>
  <si>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</si>
  <si>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</si>
  <si>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</si>
  <si>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</si>
  <si>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</si>
  <si>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</si>
  <si>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</si>
  <si>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</si>
  <si>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</si>
  <si>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</si>
  <si>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</si>
  <si>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</si>
  <si>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</si>
  <si>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</si>
  <si>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</si>
  <si>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</si>
  <si>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</si>
  <si>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</si>
  <si>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</si>
  <si>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</si>
  <si>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</si>
  <si>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</si>
  <si>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</si>
  <si>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</si>
  <si>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</si>
  <si>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</si>
  <si>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</si>
  <si>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</si>
  <si>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</si>
  <si>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</si>
  <si>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</si>
  <si>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</si>
  <si>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</si>
  <si>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</si>
  <si>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</si>
  <si>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</si>
  <si>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</si>
  <si>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</si>
  <si>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</si>
  <si>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</si>
  <si>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</si>
  <si>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</si>
  <si>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</si>
  <si>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</si>
  <si>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</si>
  <si>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</si>
  <si>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</si>
  <si>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</si>
  <si>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</si>
  <si>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</si>
  <si>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</si>
  <si>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</si>
  <si>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</si>
  <si>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</si>
  <si>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</si>
  <si>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</si>
  <si>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</si>
  <si>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</si>
  <si>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</si>
  <si>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</si>
  <si>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</si>
  <si>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</si>
  <si>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</si>
  <si>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</si>
  <si>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</si>
  <si>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</si>
  <si>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</si>
  <si>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</si>
  <si>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</si>
  <si>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</si>
  <si>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</si>
  <si>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</si>
  <si>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</si>
  <si>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</si>
  <si>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</si>
  <si>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</si>
  <si>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</si>
  <si>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</si>
  <si>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</si>
  <si>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</si>
  <si>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</si>
  <si>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</si>
  <si>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</si>
  <si>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</si>
  <si>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</si>
  <si>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</si>
  <si>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</si>
  <si>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</si>
  <si>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</si>
  <si>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</si>
  <si>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</si>
  <si>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</si>
  <si>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</si>
  <si>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</si>
  <si>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</si>
  <si>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</si>
  <si>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</si>
  <si>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</si>
  <si>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</si>
  <si>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</si>
  <si>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</si>
  <si>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</si>
  <si>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</si>
  <si>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</si>
  <si>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</si>
  <si>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</si>
  <si>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</si>
  <si>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</si>
  <si>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</si>
  <si>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</si>
  <si>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</si>
  <si>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</si>
  <si>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</si>
  <si>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</si>
  <si>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</si>
  <si>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</si>
  <si>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</si>
  <si>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</si>
  <si>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</si>
  <si>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</si>
  <si>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</si>
  <si>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</si>
  <si>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</si>
  <si>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</si>
  <si>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</si>
  <si>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</si>
  <si>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</si>
  <si>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</si>
  <si>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</si>
  <si>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</si>
  <si>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</si>
  <si>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</si>
  <si>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</si>
  <si>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</si>
  <si>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</si>
  <si>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</si>
  <si>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</si>
  <si>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</si>
  <si>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</si>
  <si>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</si>
  <si>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</si>
  <si>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</si>
  <si>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</si>
  <si>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</si>
  <si>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</si>
  <si>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</si>
  <si>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</si>
  <si>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</si>
  <si>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</si>
  <si>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</si>
  <si>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</si>
  <si>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</si>
  <si>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</si>
  <si>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</si>
  <si>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</si>
  <si>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</si>
  <si>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</si>
  <si>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</si>
  <si>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</si>
  <si>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</si>
  <si>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</si>
  <si>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</si>
  <si>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</si>
  <si>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</si>
  <si>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</si>
  <si>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</si>
  <si>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</si>
  <si>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</si>
  <si>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</si>
  <si>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</si>
  <si>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</si>
  <si>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</si>
  <si>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</si>
  <si>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</si>
  <si>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</si>
  <si>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</si>
  <si>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</si>
  <si>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</si>
  <si>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</si>
  <si>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</si>
  <si>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</si>
  <si>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</si>
  <si>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</si>
  <si>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</si>
  <si>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</si>
  <si>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</si>
  <si>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</si>
  <si>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</si>
  <si>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</si>
  <si>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</si>
  <si>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</si>
  <si>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</si>
  <si>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</si>
  <si>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</si>
  <si>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</si>
  <si>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</si>
  <si>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</si>
  <si>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</si>
  <si>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</si>
  <si>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</si>
  <si>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</si>
  <si>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</si>
  <si>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</si>
  <si>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</si>
  <si>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</si>
  <si>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</si>
  <si>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</si>
  <si>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</si>
  <si>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</si>
  <si>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</si>
  <si>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</si>
  <si>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</si>
  <si>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</si>
  <si>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</si>
  <si>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</si>
  <si>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</si>
  <si>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</si>
  <si>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</si>
  <si>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</si>
  <si>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</si>
  <si>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</si>
  <si>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</si>
  <si>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</si>
  <si>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</si>
  <si>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</si>
  <si>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</si>
  <si>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</si>
  <si>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</si>
  <si>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</si>
  <si>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</si>
  <si>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</si>
  <si>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</si>
  <si>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</si>
  <si>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</si>
  <si>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</si>
  <si>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</si>
  <si>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</si>
  <si>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</si>
  <si>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</si>
  <si>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</si>
  <si>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</si>
  <si>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</si>
  <si>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</si>
  <si>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</si>
  <si>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</si>
  <si>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</si>
  <si>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</si>
  <si>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</si>
  <si>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</si>
  <si>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</si>
  <si>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</si>
  <si>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</si>
  <si>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</si>
  <si>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</si>
  <si>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</si>
  <si>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</si>
  <si>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</si>
  <si>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</si>
  <si>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</si>
  <si>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</si>
  <si>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</si>
  <si>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</si>
  <si>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</si>
  <si>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</si>
  <si>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</si>
  <si>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</si>
  <si>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</si>
  <si>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</si>
  <si>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</si>
  <si>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</si>
  <si>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</si>
  <si>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</si>
  <si>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</si>
  <si>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</si>
  <si>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</si>
  <si>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</si>
  <si>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</si>
  <si>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</si>
  <si>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</si>
  <si>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</si>
  <si>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</si>
  <si>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</si>
  <si>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</si>
  <si>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</si>
  <si>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</si>
  <si>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</si>
  <si>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</si>
  <si>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</si>
  <si>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</si>
  <si>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</si>
  <si>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</si>
  <si>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</si>
  <si>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</si>
  <si>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</si>
  <si>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</si>
  <si>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</si>
  <si>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</si>
  <si>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</si>
  <si>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</si>
  <si>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</si>
  <si>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</si>
  <si>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</si>
  <si>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</si>
  <si>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</si>
  <si>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</si>
  <si>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</si>
  <si>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</si>
  <si>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</si>
  <si>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</si>
  <si>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</si>
  <si>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</si>
  <si>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</si>
  <si>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</si>
  <si>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</si>
  <si>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</si>
  <si>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</si>
  <si>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</si>
  <si>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</si>
  <si>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</si>
  <si>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</si>
  <si>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</si>
  <si>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</si>
  <si>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</si>
  <si>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</si>
  <si>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</si>
  <si>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</si>
  <si>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</si>
  <si>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</si>
  <si>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</si>
  <si>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</si>
  <si>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</si>
  <si>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</si>
  <si>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</si>
  <si>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</si>
  <si>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</si>
  <si>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</si>
  <si>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</si>
  <si>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</si>
  <si>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</si>
  <si>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</si>
  <si>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</si>
  <si>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</si>
  <si>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</si>
  <si>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</si>
  <si>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</si>
  <si>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</si>
  <si>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</si>
  <si>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</si>
  <si>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</si>
  <si>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</si>
  <si>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</si>
  <si>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</si>
  <si>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</si>
  <si>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</si>
  <si>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</si>
  <si>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</si>
  <si>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</si>
  <si>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</si>
  <si>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</si>
  <si>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</si>
  <si>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</si>
  <si>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</si>
  <si>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</si>
  <si>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</si>
  <si>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</si>
  <si>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</si>
  <si>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</si>
  <si>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</si>
  <si>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</si>
  <si>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</si>
  <si>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</si>
  <si>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</si>
  <si>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</si>
  <si>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</si>
  <si>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</si>
  <si>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</si>
  <si>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</si>
  <si>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</si>
  <si>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</si>
  <si>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</si>
  <si>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</si>
  <si>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</si>
  <si>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</si>
  <si>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</si>
  <si>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</si>
  <si>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</si>
  <si>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</si>
  <si>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</si>
  <si>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</si>
  <si>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</si>
  <si>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</si>
  <si>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</si>
  <si>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</si>
  <si>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</si>
  <si>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</si>
  <si>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</si>
  <si>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</si>
  <si>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</si>
  <si>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</si>
  <si>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</si>
  <si>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</si>
  <si>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</si>
  <si>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</si>
  <si>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</si>
  <si>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</si>
  <si>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</si>
  <si>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</si>
  <si>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</si>
  <si>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</si>
  <si>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</si>
  <si>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</si>
  <si>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</si>
  <si>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</si>
  <si>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</si>
  <si>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</si>
  <si>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</si>
  <si>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</si>
  <si>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</si>
  <si>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</si>
  <si>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</si>
  <si>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</si>
  <si>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</si>
  <si>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</si>
  <si>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</si>
  <si>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</si>
  <si>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</si>
  <si>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</si>
  <si>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</si>
  <si>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</si>
  <si>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</si>
  <si>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</si>
  <si>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</si>
  <si>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</si>
  <si>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</si>
  <si>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</si>
  <si>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</si>
  <si>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</si>
  <si>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</si>
  <si>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</si>
  <si>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</si>
  <si>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</si>
  <si>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</si>
  <si>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</si>
  <si>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</si>
  <si>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</si>
  <si>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</si>
  <si>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</si>
  <si>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</si>
  <si>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</si>
  <si>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</si>
  <si>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</si>
  <si>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</si>
  <si>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</si>
  <si>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</si>
  <si>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</si>
  <si>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</si>
  <si>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</si>
  <si>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</si>
  <si>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</si>
  <si>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</si>
  <si>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</si>
  <si>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</si>
  <si>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</si>
  <si>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</si>
  <si>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</si>
  <si>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</si>
  <si>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</si>
  <si>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</si>
  <si>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</si>
  <si>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</si>
  <si>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</si>
  <si>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</si>
  <si>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</si>
  <si>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</si>
  <si>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</si>
  <si>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</si>
  <si>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</si>
  <si>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</si>
  <si>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</si>
  <si>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</si>
  <si>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</si>
  <si>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</si>
  <si>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</si>
  <si>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</si>
  <si>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</si>
  <si>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</si>
  <si>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</si>
  <si>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</si>
  <si>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</si>
  <si>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</si>
  <si>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</si>
  <si>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</si>
  <si>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</si>
  <si>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</si>
  <si>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</si>
  <si>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</si>
  <si>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</si>
  <si>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</si>
  <si>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</si>
  <si>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</si>
  <si>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</si>
  <si>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</si>
  <si>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</si>
  <si>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</si>
  <si>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</si>
  <si>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</si>
  <si>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</si>
  <si>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</si>
  <si>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</si>
  <si>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</si>
  <si>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</si>
  <si>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</si>
  <si>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</si>
  <si>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</si>
  <si>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</si>
  <si>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</si>
  <si>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</si>
  <si>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</si>
  <si>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</si>
  <si>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</si>
  <si>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</si>
  <si>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</si>
  <si>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</si>
  <si>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</si>
  <si>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</si>
  <si>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</si>
  <si>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</si>
  <si>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</si>
  <si>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</si>
  <si>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</si>
  <si>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</si>
  <si>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</si>
  <si>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</si>
  <si>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</si>
  <si>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</si>
  <si>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</si>
  <si>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</si>
  <si>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</si>
  <si>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</si>
  <si>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</si>
  <si>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</si>
  <si>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</si>
  <si>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</si>
  <si>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</si>
  <si>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</si>
  <si>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</si>
  <si>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</si>
  <si>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</si>
  <si>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</si>
  <si>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</si>
  <si>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</si>
  <si>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</si>
  <si>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</si>
  <si>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</si>
  <si>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</si>
  <si>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</si>
  <si>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</si>
  <si>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</si>
  <si>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</si>
  <si>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</si>
  <si>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</si>
  <si>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</si>
  <si>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</si>
  <si>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</si>
  <si>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</si>
  <si>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</si>
  <si>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</si>
  <si>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</si>
  <si>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</si>
  <si>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</si>
  <si>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</si>
  <si>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</si>
  <si>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</si>
  <si>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</si>
  <si>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</si>
  <si>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</si>
  <si>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</si>
  <si>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</si>
  <si>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</si>
  <si>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</si>
  <si>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</si>
  <si>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</si>
  <si>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</si>
  <si>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</si>
  <si>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</si>
  <si>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</si>
  <si>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</si>
  <si>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</si>
  <si>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</si>
  <si>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</si>
  <si>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</si>
  <si>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</si>
  <si>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</si>
  <si>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</si>
  <si>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</si>
  <si>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</si>
  <si>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</si>
  <si>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</si>
  <si>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</si>
  <si>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</si>
  <si>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</si>
  <si>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</si>
  <si>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</si>
  <si>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</si>
  <si>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</si>
  <si>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</si>
  <si>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</si>
  <si>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</si>
  <si>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</si>
  <si>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</si>
  <si>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</si>
  <si>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</si>
  <si>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</si>
  <si>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</si>
  <si>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</si>
  <si>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</si>
  <si>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</si>
  <si>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</si>
  <si>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</si>
  <si>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</si>
  <si>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</si>
  <si>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</si>
  <si>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</si>
  <si>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</si>
  <si>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</si>
  <si>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</si>
  <si>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</si>
  <si>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</si>
  <si>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</si>
  <si>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</si>
  <si>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</si>
  <si>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</si>
  <si>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</si>
  <si>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</si>
  <si>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</si>
  <si>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</si>
  <si>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</si>
  <si>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</si>
  <si>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</si>
  <si>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</si>
  <si>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</si>
  <si>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</si>
  <si>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</si>
  <si>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</si>
  <si>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</si>
  <si>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</si>
  <si>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</si>
  <si>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</si>
  <si>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</si>
  <si>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</si>
  <si>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</si>
  <si>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</si>
  <si>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</si>
  <si>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</si>
  <si>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</si>
  <si>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</si>
  <si>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</si>
  <si>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</si>
  <si>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</si>
  <si>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</si>
  <si>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</si>
  <si>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</si>
  <si>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</si>
  <si>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</si>
  <si>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</si>
  <si>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</si>
  <si>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</si>
  <si>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</si>
  <si>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</si>
  <si>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</si>
  <si>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</si>
  <si>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</si>
  <si>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</si>
  <si>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</si>
  <si>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</si>
  <si>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</si>
  <si>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</si>
  <si>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</si>
  <si>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</si>
  <si>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</si>
  <si>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</si>
  <si>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</si>
  <si>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</si>
  <si>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</si>
  <si>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</si>
  <si>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</si>
  <si>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</si>
  <si>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</si>
  <si>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</si>
  <si>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</si>
  <si>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</si>
  <si>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</si>
  <si>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</si>
  <si>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</si>
  <si>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</si>
  <si>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</si>
  <si>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</si>
  <si>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</si>
  <si>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</si>
  <si>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</si>
  <si>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</si>
  <si>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</si>
  <si>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</si>
  <si>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</si>
  <si>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</si>
  <si>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</si>
  <si>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</si>
  <si>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</si>
  <si>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</si>
  <si>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</si>
  <si>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</si>
  <si>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</si>
  <si>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</si>
  <si>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</si>
  <si>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</si>
  <si>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</si>
  <si>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</si>
  <si>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</si>
  <si>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</si>
  <si>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</si>
  <si>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</si>
  <si>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</si>
  <si>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</si>
  <si>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</si>
  <si>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</si>
  <si>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</si>
  <si>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</si>
  <si>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</si>
  <si>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</si>
  <si>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</si>
  <si>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</si>
  <si>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</si>
  <si>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</si>
  <si>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</si>
  <si>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</si>
  <si>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</si>
  <si>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</si>
  <si>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</si>
  <si>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</si>
  <si>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</si>
  <si>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</si>
  <si>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</si>
  <si>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</si>
  <si>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</si>
  <si>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</si>
  <si>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</si>
  <si>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</si>
  <si>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</si>
  <si>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</si>
  <si>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</si>
  <si>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</si>
  <si>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</si>
  <si>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</si>
  <si>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</si>
  <si>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</si>
  <si>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</si>
  <si>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</si>
  <si>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</si>
  <si>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</si>
  <si>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</si>
  <si>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</si>
  <si>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</si>
  <si>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</si>
  <si>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</si>
  <si>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</si>
  <si>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</si>
  <si>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</si>
  <si>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</si>
  <si>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</si>
  <si>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</si>
  <si>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</si>
  <si>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</si>
  <si>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</si>
  <si>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</si>
  <si>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</si>
  <si>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</si>
  <si>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</si>
  <si>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</si>
  <si>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</si>
  <si>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</si>
  <si>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</si>
  <si>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</si>
  <si>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</si>
  <si>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</si>
  <si>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</si>
  <si>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</si>
  <si>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</si>
  <si>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</si>
  <si>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</si>
  <si>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</si>
  <si>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</si>
  <si>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</si>
  <si>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</si>
  <si>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</si>
  <si>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</si>
  <si>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</si>
  <si>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</si>
  <si>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</si>
  <si>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</si>
  <si>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</si>
  <si>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</si>
  <si>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</si>
  <si>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</si>
  <si>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</si>
  <si>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</si>
  <si>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</si>
  <si>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</si>
  <si>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</si>
  <si>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</si>
  <si>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</si>
  <si>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</si>
  <si>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</si>
  <si>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</si>
  <si>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</si>
  <si>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</si>
  <si>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</si>
  <si>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</si>
  <si>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</si>
  <si>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</si>
  <si>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</si>
  <si>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</si>
  <si>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</si>
  <si>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</si>
  <si>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</si>
  <si>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</si>
  <si>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</si>
  <si>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</si>
  <si>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</si>
  <si>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</si>
  <si>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</si>
  <si>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</si>
  <si>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</si>
  <si>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</si>
  <si>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</si>
  <si>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</si>
  <si>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</si>
  <si>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</si>
  <si>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</si>
  <si>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</si>
  <si>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</si>
  <si>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</si>
  <si>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</si>
  <si>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</si>
  <si>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</si>
  <si>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</si>
  <si>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</si>
  <si>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</si>
  <si>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</si>
  <si>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</si>
  <si>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</si>
  <si>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</si>
  <si>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</si>
  <si>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</si>
  <si>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</si>
  <si>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</si>
  <si>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</si>
  <si>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</si>
  <si>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</si>
  <si>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</si>
  <si>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</si>
  <si>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</si>
  <si>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</si>
  <si>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</si>
  <si>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</si>
  <si>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</si>
  <si>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</si>
  <si>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</si>
  <si>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</si>
  <si>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</si>
  <si>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</si>
  <si>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</si>
  <si>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</si>
  <si>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</si>
  <si>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</si>
  <si>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</si>
  <si>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</si>
  <si>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</si>
  <si>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</si>
  <si>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</si>
  <si>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</si>
  <si>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</si>
  <si>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</si>
  <si>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</si>
  <si>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</si>
  <si>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</si>
  <si>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</si>
  <si>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</si>
  <si>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</si>
  <si>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</si>
  <si>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</si>
  <si>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</si>
  <si>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</si>
  <si>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</si>
  <si>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</si>
  <si>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</si>
  <si>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</si>
  <si>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</si>
  <si>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</si>
  <si>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</si>
  <si>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</si>
  <si>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</si>
  <si>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</si>
  <si>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</si>
  <si>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</si>
  <si>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</si>
  <si>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</si>
  <si>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</si>
  <si>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</si>
  <si>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</si>
  <si>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</si>
  <si>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</si>
  <si>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</si>
  <si>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</si>
  <si>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</si>
  <si>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</si>
  <si>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</si>
  <si>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</si>
  <si>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</si>
  <si>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</si>
  <si>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</si>
  <si>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</si>
  <si>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</si>
  <si>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</si>
  <si>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</si>
  <si>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</si>
  <si>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</si>
  <si>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</si>
  <si>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</si>
  <si>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</si>
  <si>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</si>
  <si>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</si>
  <si>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</si>
  <si>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</si>
  <si>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</si>
  <si>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</si>
  <si>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</si>
  <si>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</si>
  <si>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</si>
  <si>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</si>
  <si>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</si>
  <si>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</si>
  <si>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</si>
  <si>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</si>
  <si>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</si>
  <si>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</si>
  <si>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</si>
  <si>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</si>
  <si>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</si>
  <si>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</si>
  <si>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</si>
  <si>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</si>
  <si>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</si>
  <si>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</si>
  <si>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</si>
  <si>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</si>
  <si>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</si>
  <si>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</si>
  <si>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</si>
  <si>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</si>
  <si>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</si>
  <si>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</si>
  <si>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</si>
  <si>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</si>
  <si>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</si>
  <si>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</si>
  <si>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</si>
  <si>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</si>
  <si>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</si>
  <si>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</si>
  <si>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</si>
  <si>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</si>
  <si>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</si>
  <si>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</si>
  <si>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</si>
  <si>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</si>
  <si>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</si>
  <si>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</si>
  <si>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</si>
  <si>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</si>
  <si>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</si>
  <si>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</si>
  <si>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</si>
  <si>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</si>
  <si>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</si>
  <si>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</si>
  <si>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</si>
  <si>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</si>
  <si>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</si>
  <si>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</si>
  <si>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</si>
  <si>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</si>
  <si>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</si>
  <si>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</si>
  <si>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</si>
  <si>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</si>
  <si>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</si>
  <si>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</si>
  <si>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</si>
  <si>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</si>
  <si>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</si>
  <si>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</si>
  <si>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</si>
  <si>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</si>
  <si>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</si>
  <si>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</si>
  <si>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</si>
  <si>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</si>
  <si>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</si>
  <si>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</si>
  <si>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</si>
  <si>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</si>
  <si>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</si>
  <si>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</si>
  <si>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</si>
  <si>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</si>
  <si>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</si>
  <si>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</si>
  <si>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</si>
  <si>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</si>
  <si>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</si>
  <si>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</si>
  <si>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</si>
  <si>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</si>
  <si>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</si>
  <si>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</si>
  <si>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</si>
  <si>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</si>
  <si>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</si>
  <si>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</si>
  <si>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</si>
  <si>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</si>
  <si>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</si>
  <si>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</si>
  <si>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</si>
  <si>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</si>
  <si>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</si>
  <si>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</si>
  <si>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</si>
  <si>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</si>
  <si>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</si>
  <si>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</si>
  <si>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</si>
  <si>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</si>
  <si>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</si>
  <si>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</si>
  <si>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</si>
  <si>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</si>
  <si>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</si>
  <si>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</si>
  <si>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</si>
  <si>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</si>
  <si>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</si>
  <si>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</si>
  <si>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</si>
  <si>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</si>
  <si>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</si>
  <si>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</si>
  <si>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</si>
  <si>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</si>
  <si>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</si>
  <si>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</si>
  <si>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</si>
  <si>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</si>
  <si>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</si>
  <si>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</si>
  <si>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</si>
  <si>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</si>
  <si>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</si>
  <si>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</si>
  <si>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</si>
  <si>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</si>
  <si>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</si>
  <si>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</si>
  <si>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</si>
  <si>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</si>
  <si>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</si>
  <si>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</si>
  <si>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</si>
  <si>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</si>
  <si>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</si>
  <si>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</si>
  <si>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</si>
  <si>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</si>
  <si>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</si>
  <si>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</si>
  <si>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</si>
  <si>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</si>
  <si>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</si>
  <si>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</si>
  <si>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</si>
  <si>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</si>
  <si>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</si>
  <si>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</si>
  <si>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</si>
  <si>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</si>
  <si>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</si>
  <si>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</si>
  <si>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</si>
  <si>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</si>
  <si>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</si>
  <si>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</si>
  <si>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</si>
  <si>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</si>
  <si>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</si>
  <si>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</si>
  <si>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</si>
  <si>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</si>
  <si>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</si>
  <si>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</si>
  <si>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</si>
  <si>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</si>
  <si>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</si>
  <si>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</si>
  <si>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</si>
  <si>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</si>
  <si>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</si>
  <si>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</si>
  <si>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</si>
  <si>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</si>
  <si>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</si>
  <si>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</si>
  <si>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</si>
  <si>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</si>
  <si>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</si>
  <si>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</si>
  <si>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</si>
  <si>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</si>
  <si>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</si>
  <si>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</si>
  <si>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</si>
  <si>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</si>
  <si>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</si>
  <si>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</si>
  <si>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</si>
  <si>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</si>
  <si>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</si>
  <si>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</si>
  <si>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</si>
  <si>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</si>
  <si>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</si>
  <si>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</si>
  <si>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</si>
  <si>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</si>
  <si>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</si>
  <si>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</si>
  <si>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</si>
  <si>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</si>
  <si>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</si>
  <si>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</si>
  <si>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</si>
  <si>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</si>
  <si>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</si>
  <si>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</si>
  <si>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</si>
  <si>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</si>
  <si>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</si>
  <si>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</si>
  <si>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</si>
  <si>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</si>
  <si>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</si>
  <si>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</si>
  <si>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</si>
  <si>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</si>
  <si>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</si>
  <si>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</si>
  <si>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</si>
  <si>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</si>
  <si>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</si>
  <si>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</si>
  <si>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</si>
  <si>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</si>
  <si>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</si>
  <si>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</si>
  <si>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</si>
  <si>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</si>
  <si>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</si>
  <si>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</si>
  <si>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</si>
  <si>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</si>
  <si>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</si>
  <si>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</si>
  <si>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</si>
  <si>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</si>
  <si>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</si>
  <si>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</si>
  <si>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</si>
  <si>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</si>
  <si>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</si>
  <si>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</si>
  <si>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</si>
  <si>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</si>
  <si>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</si>
  <si>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</si>
  <si>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</si>
  <si>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</si>
  <si>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</si>
  <si>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</si>
  <si>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</si>
  <si>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</si>
  <si>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</si>
  <si>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</si>
  <si>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</si>
  <si>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</si>
  <si>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</si>
  <si>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</si>
  <si>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</si>
  <si>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</si>
  <si>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</si>
  <si>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</si>
  <si>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</si>
  <si>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</si>
  <si>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</si>
  <si>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</si>
  <si>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</si>
  <si>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</si>
  <si>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</si>
  <si>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</si>
  <si>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</si>
  <si>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</si>
  <si>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</si>
  <si>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</si>
  <si>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</si>
  <si>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</si>
  <si>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</si>
  <si>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</si>
  <si>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</si>
  <si>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</si>
  <si>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</si>
  <si>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</si>
  <si>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</si>
  <si>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</si>
  <si>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</si>
  <si>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</si>
  <si>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</si>
  <si>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</si>
  <si>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</si>
  <si>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</si>
  <si>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</si>
  <si>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</si>
  <si>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</si>
  <si>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</si>
  <si>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</si>
  <si>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</si>
  <si>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</si>
  <si>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</si>
  <si>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</si>
  <si>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</si>
  <si>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</si>
  <si>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</si>
  <si>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</si>
  <si>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</si>
  <si>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</si>
  <si>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</si>
  <si>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</si>
  <si>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</si>
  <si>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</si>
  <si>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</si>
  <si>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</si>
  <si>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</si>
  <si>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</si>
  <si>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</si>
  <si>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</si>
  <si>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</si>
  <si>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</si>
  <si>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</si>
  <si>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</si>
  <si>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</si>
  <si>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</si>
  <si>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</si>
  <si>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</si>
  <si>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</si>
  <si>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</si>
  <si>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</si>
  <si>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</si>
  <si>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</si>
  <si>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</si>
  <si>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</si>
  <si>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</si>
  <si>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</si>
  <si>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</si>
  <si>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</si>
  <si>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</si>
  <si>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</si>
  <si>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</si>
  <si>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</si>
  <si>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</si>
  <si>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</si>
  <si>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</si>
  <si>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</si>
  <si>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</si>
  <si>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</si>
  <si>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</si>
  <si>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</si>
  <si>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</si>
  <si>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</si>
  <si>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</si>
  <si>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</si>
  <si>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</si>
  <si>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</si>
  <si>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</si>
  <si>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</si>
  <si>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</si>
  <si>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</si>
  <si>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</si>
  <si>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</si>
  <si>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</si>
  <si>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</si>
  <si>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</si>
  <si>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</si>
  <si>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</si>
  <si>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</si>
  <si>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</si>
  <si>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</si>
  <si>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</si>
  <si>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</si>
  <si>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</si>
  <si>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</si>
  <si>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</si>
  <si>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</si>
  <si>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</si>
  <si>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</si>
  <si>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</si>
  <si>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</si>
  <si>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</si>
  <si>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</si>
  <si>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</si>
  <si>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</si>
  <si>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</si>
  <si>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</si>
  <si>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</si>
  <si>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</si>
  <si>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</si>
  <si>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</si>
  <si>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</si>
  <si>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</si>
  <si>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</si>
  <si>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</si>
  <si>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</si>
  <si>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</si>
  <si>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</si>
  <si>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</si>
  <si>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</si>
  <si>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</si>
  <si>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</si>
  <si>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</si>
  <si>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</si>
  <si>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</si>
  <si>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</si>
  <si>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</si>
  <si>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</si>
  <si>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</si>
  <si>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</si>
  <si>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</si>
  <si>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</si>
  <si>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</si>
  <si>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</si>
  <si>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</si>
  <si>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</si>
  <si>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</si>
  <si>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</si>
  <si>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</si>
  <si>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</si>
  <si>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</si>
  <si>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</si>
  <si>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</si>
  <si>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</si>
  <si>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</si>
  <si>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</si>
  <si>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</si>
  <si>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</si>
  <si>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</si>
  <si>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</si>
  <si>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</si>
  <si>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</si>
  <si>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</si>
  <si>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</si>
  <si>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</si>
  <si>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</si>
  <si>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</si>
  <si>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</si>
  <si>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</si>
  <si>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</si>
  <si>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</si>
  <si>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</si>
  <si>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</si>
  <si>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</si>
  <si>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</si>
  <si>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</si>
  <si>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</si>
  <si>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</si>
  <si>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</si>
  <si>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</si>
  <si>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</si>
  <si>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</si>
  <si>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</si>
  <si>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</si>
  <si>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</si>
  <si>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</si>
  <si>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</si>
  <si>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</si>
  <si>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</si>
  <si>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</si>
  <si>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</si>
  <si>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</si>
  <si>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</si>
  <si>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</si>
  <si>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</si>
  <si>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</si>
  <si>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</si>
  <si>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</si>
  <si>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</si>
  <si>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</si>
  <si>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</si>
  <si>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</si>
  <si>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</si>
  <si>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</si>
  <si>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</si>
  <si>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</si>
  <si>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</si>
  <si>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</si>
  <si>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</si>
  <si>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</si>
  <si>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</si>
  <si>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</si>
  <si>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</si>
  <si>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</si>
  <si>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</si>
  <si>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</si>
  <si>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</si>
  <si>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</si>
  <si>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</si>
  <si>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</si>
  <si>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</si>
  <si>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</si>
  <si>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</si>
  <si>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</si>
  <si>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</si>
  <si>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</si>
  <si>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</si>
  <si>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</si>
  <si>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</si>
  <si>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</si>
  <si>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</si>
  <si>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</si>
  <si>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</si>
  <si>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</si>
  <si>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</si>
  <si>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</si>
  <si>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</si>
  <si>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</si>
  <si>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</si>
  <si>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</si>
  <si>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</si>
  <si>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</si>
  <si>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</si>
  <si>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</si>
  <si>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</si>
  <si>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</si>
  <si>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</si>
  <si>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</si>
  <si>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</si>
  <si>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</si>
  <si>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</si>
  <si>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</si>
  <si>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</si>
  <si>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</si>
  <si>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</si>
  <si>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</si>
  <si>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</si>
  <si>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</si>
  <si>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</si>
  <si>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</si>
  <si>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</si>
  <si>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</si>
  <si>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</si>
  <si>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</si>
  <si>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</si>
  <si>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</si>
  <si>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</si>
  <si>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</si>
  <si>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</si>
  <si>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</si>
  <si>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</si>
  <si>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</si>
  <si>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</si>
  <si>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</si>
  <si>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</si>
  <si>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</si>
  <si>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</si>
  <si>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</si>
  <si>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</si>
  <si>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</si>
  <si>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</si>
  <si>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</si>
  <si>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</si>
  <si>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</si>
  <si>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</si>
  <si>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</si>
  <si>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</si>
  <si>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</si>
  <si>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</si>
  <si>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</si>
  <si>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</si>
  <si>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</si>
  <si>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</si>
  <si>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</si>
  <si>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</si>
  <si>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</si>
  <si>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</si>
  <si>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</si>
  <si>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</si>
  <si>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</si>
  <si>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</si>
  <si>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</si>
  <si>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</si>
  <si>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</si>
  <si>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</si>
  <si>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</si>
  <si>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</si>
  <si>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</si>
  <si>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</si>
  <si>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</si>
  <si>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</si>
  <si>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</si>
  <si>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</si>
  <si>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</si>
  <si>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</si>
  <si>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</si>
  <si>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</si>
  <si>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</si>
  <si>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</si>
  <si>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</si>
  <si>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</si>
  <si>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</si>
  <si>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</si>
  <si>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</si>
  <si>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</si>
  <si>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</si>
  <si>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</si>
  <si>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</si>
  <si>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</si>
  <si>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</si>
  <si>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</si>
  <si>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</si>
  <si>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</si>
  <si>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</si>
  <si>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</si>
  <si>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</si>
  <si>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</si>
  <si>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</si>
  <si>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</si>
  <si>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</si>
  <si>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</si>
  <si>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</si>
  <si>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</si>
  <si>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</si>
  <si>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</si>
  <si>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</si>
  <si>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</si>
  <si>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</si>
  <si>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</si>
  <si>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</si>
  <si>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</si>
  <si>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</si>
  <si>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</si>
  <si>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</si>
  <si>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</si>
  <si>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</si>
  <si>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</si>
  <si>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</si>
  <si>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</si>
  <si>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</si>
  <si>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</si>
  <si>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</si>
  <si>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</si>
  <si>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</si>
  <si>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</si>
  <si>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</si>
  <si>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</si>
  <si>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</si>
  <si>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</si>
  <si>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</si>
  <si>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</si>
  <si>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</si>
  <si>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</si>
  <si>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</si>
  <si>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</si>
  <si>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</si>
  <si>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</si>
  <si>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</si>
  <si>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</si>
  <si>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</si>
  <si>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</si>
  <si>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</si>
  <si>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</si>
  <si>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</si>
  <si>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</si>
  <si>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</si>
  <si>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</si>
  <si>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</si>
  <si>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</si>
  <si>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</si>
  <si>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</si>
  <si>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</si>
  <si>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</si>
  <si>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</si>
  <si>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</si>
  <si>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</si>
  <si>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</si>
  <si>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</si>
  <si>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</si>
  <si>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</si>
  <si>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</si>
  <si>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</si>
  <si>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</si>
  <si>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</si>
  <si>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</si>
  <si>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</si>
  <si>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</si>
  <si>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</si>
  <si>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</si>
  <si>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</si>
  <si>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</si>
  <si>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</si>
  <si>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</si>
  <si>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</si>
  <si>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</si>
  <si>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</si>
  <si>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</si>
  <si>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</si>
  <si>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</si>
  <si>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</si>
  <si>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</si>
  <si>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</si>
  <si>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</si>
  <si>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</si>
  <si>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</si>
  <si>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</si>
  <si>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</si>
  <si>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</si>
  <si>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</si>
  <si>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</si>
  <si>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</si>
  <si>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</si>
  <si>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</si>
  <si>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</si>
  <si>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</si>
  <si>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</si>
  <si>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</si>
  <si>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</si>
  <si>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</si>
  <si>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</si>
  <si>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</si>
  <si>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</si>
  <si>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</si>
  <si>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</si>
  <si>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</si>
  <si>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</si>
  <si>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</si>
  <si>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</si>
  <si>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</si>
  <si>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</si>
  <si>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</si>
  <si>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</si>
  <si>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</si>
  <si>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</si>
  <si>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</si>
  <si>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</si>
  <si>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</si>
  <si>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</si>
  <si>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</si>
  <si>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</si>
  <si>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</si>
  <si>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</si>
  <si>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</si>
  <si>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</si>
  <si>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</si>
  <si>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</si>
  <si>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</si>
  <si>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</si>
  <si>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</si>
  <si>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</si>
  <si>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</si>
  <si>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</si>
  <si>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</si>
  <si>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</si>
  <si>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</si>
  <si>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</si>
  <si>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</si>
  <si>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</si>
  <si>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</si>
  <si>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</si>
  <si>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</si>
  <si>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</si>
  <si>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</si>
  <si>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</si>
  <si>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</si>
  <si>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</si>
  <si>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</si>
  <si>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</si>
  <si>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</si>
  <si>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</si>
  <si>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</si>
  <si>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</si>
  <si>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</si>
  <si>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</si>
  <si>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</si>
  <si>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</si>
  <si>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</si>
  <si>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</si>
  <si>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</si>
  <si>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</si>
  <si>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</si>
  <si>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</si>
  <si>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</si>
  <si>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</si>
  <si>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</si>
  <si>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</si>
  <si>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</si>
  <si>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</si>
  <si>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</si>
  <si>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</si>
  <si>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</si>
  <si>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</si>
  <si>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</si>
  <si>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</si>
  <si>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</si>
  <si>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</si>
  <si>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</si>
  <si>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</si>
  <si>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</si>
  <si>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</si>
  <si>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</si>
  <si>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</si>
  <si>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</si>
  <si>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</si>
  <si>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</si>
  <si>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</si>
  <si>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</si>
  <si>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</si>
  <si>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</si>
  <si>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</si>
  <si>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</si>
  <si>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</si>
  <si>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</si>
  <si>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</si>
  <si>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</si>
  <si>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</si>
  <si>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</si>
  <si>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</si>
  <si>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</si>
  <si>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</si>
  <si>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</si>
  <si>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</si>
  <si>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</si>
  <si>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</si>
  <si>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</si>
  <si>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</si>
  <si>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</si>
  <si>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</si>
  <si>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</si>
  <si>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</si>
  <si>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</si>
  <si>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</si>
  <si>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</si>
  <si>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</si>
  <si>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</si>
  <si>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</si>
  <si>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</si>
  <si>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</si>
  <si>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</si>
  <si>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</si>
  <si>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</si>
  <si>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</si>
  <si>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</si>
  <si>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</si>
  <si>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</si>
  <si>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</si>
  <si>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</si>
  <si>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</si>
  <si>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</si>
  <si>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</si>
  <si>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</si>
  <si>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</si>
  <si>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</si>
  <si>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</si>
  <si>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</si>
  <si>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</si>
  <si>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</si>
  <si>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</si>
  <si>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</si>
  <si>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</si>
  <si>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</si>
  <si>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</si>
  <si>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</si>
  <si>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</si>
  <si>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</si>
  <si>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</si>
  <si>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</si>
  <si>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</si>
  <si>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</si>
  <si>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</si>
  <si>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</si>
  <si>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</si>
  <si>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</si>
  <si>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</si>
  <si>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</si>
  <si>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</si>
  <si>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</si>
  <si>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</si>
  <si>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</si>
  <si>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</si>
  <si>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</si>
  <si>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</si>
  <si>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</si>
  <si>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</si>
  <si>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</si>
  <si>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</si>
  <si>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</si>
  <si>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</si>
  <si>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</si>
  <si>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</si>
  <si>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</si>
  <si>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</si>
  <si>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</si>
  <si>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</si>
  <si>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</si>
  <si>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</si>
  <si>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</si>
  <si>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</si>
  <si>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</si>
  <si>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</si>
  <si>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</si>
  <si>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</si>
  <si>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</si>
  <si>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</si>
  <si>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</si>
  <si>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</si>
  <si>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</si>
  <si>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</si>
  <si>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</si>
  <si>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</si>
  <si>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</si>
  <si>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</si>
  <si>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</si>
  <si>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</si>
  <si>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</si>
  <si>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</si>
  <si>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</si>
  <si>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</si>
  <si>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</si>
  <si>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</si>
  <si>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</si>
  <si>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</si>
  <si>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</si>
  <si>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</si>
  <si>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</si>
  <si>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</si>
  <si>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</si>
  <si>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</si>
  <si>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</si>
  <si>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</si>
  <si>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</si>
  <si>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</si>
  <si>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</si>
  <si>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</si>
  <si>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</si>
  <si>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</si>
  <si>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</si>
  <si>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</si>
  <si>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</si>
  <si>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</si>
  <si>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</si>
  <si>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</si>
  <si>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</si>
  <si>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</si>
  <si>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</si>
  <si>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</si>
  <si>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</si>
  <si>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</si>
  <si>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</si>
  <si>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</si>
  <si>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</si>
  <si>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</si>
  <si>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</si>
  <si>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</si>
  <si>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</si>
  <si>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</si>
  <si>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</si>
  <si>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</si>
  <si>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</si>
  <si>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</si>
  <si>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</si>
  <si>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</si>
  <si>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</si>
  <si>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</si>
  <si>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</si>
  <si>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</si>
  <si>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</si>
  <si>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</si>
  <si>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</si>
  <si>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</si>
  <si>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</si>
  <si>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</si>
  <si>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</si>
  <si>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</si>
  <si>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</si>
  <si>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</si>
  <si>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</si>
  <si>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</si>
  <si>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</si>
  <si>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</si>
  <si>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</si>
  <si>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</si>
  <si>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</si>
  <si>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</si>
  <si>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</si>
  <si>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</si>
  <si>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</si>
  <si>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</si>
  <si>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</si>
  <si>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</si>
  <si>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</si>
  <si>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</si>
  <si>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</si>
  <si>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</si>
  <si>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</si>
  <si>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</si>
  <si>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</si>
  <si>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</si>
  <si>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</si>
  <si>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</si>
  <si>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</si>
  <si>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</si>
  <si>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</si>
  <si>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</si>
  <si>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</si>
  <si>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</si>
  <si>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</si>
  <si>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</si>
  <si>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</si>
  <si>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</si>
  <si>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</si>
  <si>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</si>
  <si>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</si>
  <si>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</si>
  <si>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</si>
  <si>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</si>
  <si>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</si>
  <si>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</si>
  <si>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</si>
  <si>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</si>
  <si>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</si>
  <si>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</si>
  <si>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</si>
  <si>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</si>
  <si>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</si>
  <si>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</si>
  <si>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</si>
  <si>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</si>
  <si>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</si>
  <si>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</si>
  <si>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</si>
  <si>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</si>
  <si>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</si>
  <si>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</si>
  <si>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</si>
  <si>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</si>
  <si>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</si>
  <si>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</si>
  <si>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</si>
  <si>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</si>
  <si>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</si>
  <si>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</si>
  <si>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</si>
  <si>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</si>
  <si>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</si>
  <si>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</si>
  <si>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</si>
  <si>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</si>
  <si>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</si>
  <si>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</si>
  <si>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</si>
  <si>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</si>
  <si>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</si>
  <si>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</si>
  <si>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</si>
  <si>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</si>
  <si>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</si>
  <si>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</si>
  <si>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</si>
  <si>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</si>
  <si>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</si>
  <si>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</si>
  <si>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</si>
  <si>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</si>
  <si>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</si>
  <si>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</si>
  <si>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</si>
  <si>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</si>
  <si>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</si>
  <si>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</si>
  <si>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</si>
  <si>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</si>
  <si>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</si>
  <si>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</si>
  <si>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</si>
  <si>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</si>
  <si>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</si>
  <si>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</si>
  <si>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</si>
  <si>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</si>
  <si>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</si>
  <si>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</si>
  <si>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</si>
  <si>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</si>
  <si>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</si>
  <si>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</si>
  <si>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</si>
  <si>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</si>
  <si>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</si>
  <si>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</si>
  <si>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</si>
  <si>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</si>
  <si>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</si>
  <si>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</si>
  <si>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</si>
  <si>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</si>
  <si>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</si>
  <si>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</si>
  <si>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</si>
  <si>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</si>
  <si>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</si>
  <si>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</si>
  <si>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</si>
  <si>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</si>
  <si>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</si>
  <si>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</si>
  <si>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</si>
  <si>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</si>
  <si>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</si>
  <si>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</si>
  <si>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</si>
  <si>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</si>
  <si>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</si>
  <si>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</si>
  <si>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</si>
  <si>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</si>
  <si>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</si>
  <si>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</si>
  <si>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</si>
  <si>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</si>
  <si>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</si>
  <si>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</si>
  <si>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</si>
  <si>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</si>
  <si>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</si>
  <si>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</si>
  <si>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</si>
  <si>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</si>
  <si>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</si>
  <si>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</si>
  <si>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</si>
  <si>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</si>
  <si>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</si>
  <si>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</si>
  <si>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</si>
  <si>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</si>
  <si>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</si>
  <si>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</si>
  <si>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</si>
  <si>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</si>
  <si>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</si>
  <si>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</si>
  <si>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</si>
  <si>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</si>
  <si>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</si>
  <si>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</si>
  <si>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</si>
  <si>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</si>
  <si>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</si>
  <si>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</si>
  <si>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</si>
  <si>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</si>
  <si>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</si>
  <si>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</si>
  <si>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</si>
  <si>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</si>
  <si>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</si>
  <si>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</si>
  <si>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</si>
  <si>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</si>
  <si>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</si>
  <si>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</si>
  <si>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</si>
  <si>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</si>
  <si>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</si>
  <si>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</si>
  <si>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</si>
  <si>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</si>
  <si>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</si>
  <si>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</si>
  <si>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</si>
  <si>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</si>
  <si>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</si>
  <si>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</si>
  <si>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</si>
  <si>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</si>
  <si>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</si>
  <si>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</si>
  <si>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</si>
  <si>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</si>
  <si>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</si>
  <si>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</si>
  <si>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</si>
  <si>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</si>
  <si>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</si>
  <si>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</si>
  <si>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</si>
  <si>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</si>
  <si>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</si>
  <si>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</si>
  <si>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</si>
  <si>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</si>
  <si>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</si>
  <si>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</si>
  <si>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</si>
  <si>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</si>
  <si>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</si>
  <si>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</si>
  <si>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</si>
  <si>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</si>
  <si>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</si>
  <si>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</si>
  <si>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</si>
  <si>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</si>
  <si>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</si>
  <si>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</si>
  <si>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</si>
  <si>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</si>
  <si>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</si>
  <si>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</si>
  <si>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</si>
  <si>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</si>
  <si>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</si>
  <si>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</si>
  <si>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</si>
  <si>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</si>
  <si>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</si>
  <si>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</si>
  <si>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</si>
  <si>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</si>
  <si>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</si>
  <si>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</si>
  <si>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</si>
  <si>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</si>
  <si>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</si>
  <si>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</si>
  <si>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</si>
  <si>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</si>
  <si>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</si>
  <si>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</si>
  <si>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</si>
  <si>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</si>
  <si>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</si>
  <si>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</si>
  <si>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</si>
  <si>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</si>
  <si>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</si>
  <si>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</si>
  <si>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</si>
  <si>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</si>
  <si>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</si>
  <si>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</si>
  <si>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</si>
  <si>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</si>
  <si>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</si>
  <si>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</si>
  <si>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</si>
  <si>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</si>
  <si>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</si>
  <si>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</si>
  <si>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</si>
  <si>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</si>
  <si>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</si>
  <si>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</si>
  <si>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</si>
  <si>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</si>
  <si>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</si>
  <si>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</si>
  <si>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</si>
  <si>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</si>
  <si>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</si>
  <si>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</si>
  <si>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</si>
  <si>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</si>
  <si>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</si>
  <si>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</si>
  <si>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</si>
  <si>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</si>
  <si>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</si>
  <si>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</si>
  <si>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</si>
  <si>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</si>
  <si>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</si>
  <si>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</si>
  <si>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</si>
  <si>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</si>
  <si>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</si>
  <si>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</si>
  <si>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</si>
  <si>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</si>
  <si>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</si>
  <si>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</si>
  <si>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</si>
  <si>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</si>
  <si>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</si>
  <si>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</si>
  <si>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</si>
  <si>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</si>
  <si>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</si>
  <si>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</si>
  <si>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</si>
  <si>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</si>
  <si>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</si>
  <si>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</si>
  <si>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</si>
  <si>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</si>
  <si>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</si>
  <si>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</si>
  <si>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</si>
  <si>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</si>
  <si>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</si>
  <si>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</si>
  <si>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</si>
  <si>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</si>
  <si>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</si>
  <si>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</si>
  <si>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</si>
  <si>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</si>
  <si>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</si>
  <si>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</si>
  <si>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</si>
  <si>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</si>
  <si>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</si>
  <si>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</si>
  <si>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</si>
  <si>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</si>
  <si>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</si>
  <si>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</si>
  <si>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</si>
  <si>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</si>
  <si>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</si>
  <si>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</si>
  <si>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</si>
  <si>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</si>
  <si>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</si>
  <si>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</si>
  <si>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</si>
  <si>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</si>
  <si>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</si>
  <si>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</si>
  <si>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</si>
  <si>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</si>
  <si>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</si>
  <si>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</si>
  <si>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</si>
  <si>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</si>
  <si>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</si>
  <si>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</si>
  <si>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</si>
  <si>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</si>
  <si>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</si>
  <si>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</si>
  <si>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</si>
  <si>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</si>
  <si>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</si>
  <si>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</si>
  <si>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</si>
  <si>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</si>
  <si>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</si>
  <si>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</si>
  <si>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</si>
  <si>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</si>
  <si>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</si>
  <si>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</si>
  <si>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</si>
  <si>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</si>
  <si>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</si>
  <si>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</si>
  <si>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</si>
  <si>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</si>
  <si>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</si>
  <si>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</si>
  <si>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</si>
  <si>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</si>
  <si>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</si>
  <si>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</si>
  <si>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</si>
  <si>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</si>
  <si>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</si>
  <si>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</si>
  <si>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</si>
  <si>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</si>
  <si>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</si>
  <si>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</si>
  <si>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</si>
  <si>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</si>
  <si>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</si>
  <si>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</si>
  <si>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</si>
  <si>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</si>
  <si>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</si>
  <si>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</si>
  <si>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</si>
  <si>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</si>
  <si>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</si>
  <si>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</si>
  <si>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</si>
  <si>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</si>
  <si>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</si>
  <si>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</si>
  <si>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</si>
  <si>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</si>
  <si>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</si>
  <si>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</si>
  <si>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</si>
  <si>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</si>
  <si>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</si>
  <si>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</si>
  <si>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</si>
  <si>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</si>
  <si>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</si>
  <si>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</si>
  <si>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</si>
  <si>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</si>
  <si>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</si>
  <si>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</si>
  <si>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</si>
  <si>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</si>
  <si>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</si>
  <si>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</si>
  <si>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</si>
  <si>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</si>
  <si>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</si>
  <si>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</si>
  <si>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</si>
  <si>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</si>
  <si>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</si>
  <si>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</si>
  <si>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</si>
  <si>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</si>
  <si>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</si>
  <si>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</si>
  <si>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</si>
  <si>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</si>
  <si>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</si>
  <si>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</si>
  <si>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</si>
  <si>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</si>
  <si>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</si>
  <si>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</si>
  <si>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</si>
  <si>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</si>
  <si>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</si>
  <si>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</si>
  <si>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</si>
  <si>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</si>
  <si>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</si>
  <si>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</si>
  <si>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</si>
  <si>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</si>
  <si>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</si>
  <si>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</si>
  <si>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</si>
  <si>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</si>
  <si>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</si>
  <si>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</si>
  <si>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</si>
  <si>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</si>
  <si>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</si>
  <si>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</si>
  <si>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</si>
  <si>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</si>
  <si>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</si>
  <si>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</si>
  <si>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</si>
  <si>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</si>
  <si>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</si>
  <si>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</si>
  <si>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</si>
  <si>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</si>
  <si>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</si>
  <si>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</si>
  <si>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</si>
  <si>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</si>
  <si>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</si>
  <si>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</si>
  <si>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</si>
  <si>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</si>
  <si>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</si>
  <si>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</si>
  <si>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</si>
  <si>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</si>
  <si>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</si>
  <si>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</si>
  <si>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</si>
  <si>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</si>
  <si>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</si>
  <si>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</si>
  <si>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</si>
  <si>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</si>
  <si>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</si>
  <si>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</si>
  <si>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</si>
  <si>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</si>
  <si>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</si>
  <si>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</si>
  <si>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</si>
  <si>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</si>
  <si>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</si>
  <si>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</si>
  <si>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</si>
  <si>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</si>
  <si>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</si>
  <si>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</si>
  <si>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</si>
  <si>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</si>
  <si>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</si>
  <si>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</si>
  <si>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</si>
  <si>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</si>
  <si>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</si>
  <si>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</si>
  <si>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</si>
  <si>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</si>
  <si>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</si>
  <si>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</si>
  <si>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</si>
  <si>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</si>
  <si>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</si>
  <si>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</si>
  <si>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</si>
  <si>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</si>
  <si>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</si>
  <si>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</si>
  <si>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</si>
  <si>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</si>
  <si>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</si>
  <si>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</si>
  <si>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</si>
  <si>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</si>
  <si>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</si>
  <si>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</si>
  <si>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</si>
  <si>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</si>
  <si>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</si>
  <si>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</si>
  <si>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</si>
  <si>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</si>
  <si>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</si>
  <si>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</si>
  <si>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</si>
  <si>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</si>
  <si>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</si>
  <si>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</si>
  <si>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</si>
  <si>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</si>
  <si>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</si>
  <si>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</si>
  <si>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</si>
  <si>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</si>
  <si>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</si>
  <si>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</si>
  <si>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</si>
  <si>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</si>
  <si>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</si>
  <si>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</si>
  <si>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</si>
  <si>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</si>
  <si>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</si>
  <si>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</si>
  <si>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</si>
  <si>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</si>
  <si>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</si>
  <si>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</si>
  <si>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</si>
  <si>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</si>
  <si>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</si>
  <si>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</si>
  <si>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</si>
  <si>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</si>
  <si>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</si>
  <si>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</si>
  <si>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</si>
  <si>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</si>
  <si>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</si>
  <si>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</si>
  <si>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</si>
  <si>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</si>
  <si>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</si>
  <si>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</si>
  <si>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</si>
  <si>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</si>
  <si>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</si>
  <si>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</si>
  <si>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</si>
  <si>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</si>
  <si>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</si>
  <si>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</si>
  <si>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</si>
  <si>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</si>
  <si>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</si>
  <si>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</si>
  <si>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</si>
  <si>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</si>
  <si>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</si>
  <si>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</si>
  <si>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</si>
  <si>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</si>
  <si>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</si>
  <si>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</si>
  <si>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</si>
  <si>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</si>
  <si>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</si>
  <si>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</si>
  <si>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</si>
  <si>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</si>
  <si>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</si>
  <si>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</si>
  <si>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</si>
  <si>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</si>
  <si>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</si>
  <si>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</si>
  <si>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</si>
  <si>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</si>
  <si>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</si>
  <si>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</si>
  <si>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</si>
  <si>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</si>
  <si>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</si>
  <si>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</si>
  <si>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</si>
  <si>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</si>
  <si>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</si>
  <si>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</si>
  <si>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</si>
  <si>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</si>
  <si>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</si>
  <si>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</si>
  <si>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</si>
  <si>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</si>
  <si>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</si>
  <si>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</si>
  <si>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</si>
  <si>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</si>
  <si>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</si>
  <si>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</si>
  <si>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</si>
  <si>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</si>
  <si>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</si>
  <si>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</si>
  <si>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</si>
  <si>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</si>
  <si>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</si>
  <si>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</si>
  <si>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</si>
  <si>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</si>
  <si>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</si>
  <si>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</si>
  <si>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</si>
  <si>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</si>
  <si>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</si>
  <si>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</si>
  <si>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</si>
  <si>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</si>
  <si>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</si>
  <si>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</si>
  <si>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</si>
  <si>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</si>
  <si>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</si>
  <si>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</si>
  <si>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</si>
  <si>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</si>
  <si>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</si>
  <si>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</si>
  <si>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</si>
  <si>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</si>
  <si>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</si>
  <si>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</si>
  <si>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</si>
  <si>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</si>
  <si>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</si>
  <si>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</si>
  <si>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</si>
  <si>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</si>
  <si>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</si>
  <si>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</si>
  <si>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</si>
  <si>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</si>
  <si>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</si>
  <si>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</si>
  <si>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</si>
  <si>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</si>
  <si>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</si>
  <si>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</si>
  <si>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</si>
  <si>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</si>
  <si>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</si>
  <si>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</si>
  <si>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</si>
  <si>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</si>
  <si>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</si>
  <si>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</si>
  <si>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</si>
  <si>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</si>
  <si>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</si>
  <si>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</si>
  <si>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</si>
  <si>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</si>
  <si>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</si>
  <si>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</si>
  <si>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</si>
  <si>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</si>
  <si>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</si>
  <si>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</si>
  <si>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</si>
  <si>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</si>
  <si>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</si>
  <si>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</si>
  <si>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</si>
  <si>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</si>
  <si>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</si>
  <si>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</si>
  <si>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</si>
  <si>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</si>
  <si>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</si>
  <si>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</si>
  <si>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</si>
  <si>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</si>
  <si>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</si>
  <si>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</si>
  <si>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</si>
  <si>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</si>
  <si>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</si>
  <si>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</si>
  <si>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</si>
  <si>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</si>
  <si>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</si>
  <si>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</si>
  <si>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</si>
  <si>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</si>
  <si>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</si>
  <si>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</si>
  <si>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</si>
  <si>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</si>
  <si>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</si>
  <si>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</si>
  <si>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</si>
  <si>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</si>
  <si>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</si>
  <si>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</si>
  <si>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</si>
  <si>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</si>
  <si>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</si>
  <si>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</si>
  <si>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</si>
  <si>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</si>
  <si>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</si>
  <si>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</si>
  <si>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</si>
  <si>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</si>
  <si>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</si>
  <si>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</si>
  <si>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</si>
  <si>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</si>
  <si>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</si>
  <si>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</si>
  <si>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</si>
  <si>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</si>
  <si>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</si>
  <si>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</si>
  <si>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</si>
  <si>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</si>
  <si>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</si>
  <si>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</si>
  <si>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</si>
  <si>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</si>
  <si>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</si>
  <si>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</si>
  <si>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</si>
  <si>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</si>
  <si>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</si>
  <si>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</si>
  <si>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</si>
  <si>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</si>
  <si>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</si>
  <si>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</si>
  <si>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</si>
  <si>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</si>
  <si>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</si>
  <si>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</si>
  <si>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</si>
  <si>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</si>
  <si>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</si>
  <si>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</si>
  <si>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</si>
  <si>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</si>
  <si>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</si>
  <si>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</si>
  <si>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</si>
  <si>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</si>
  <si>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</si>
  <si>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</si>
  <si>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</si>
  <si>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</si>
  <si>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</si>
  <si>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</si>
  <si>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</si>
  <si>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</si>
  <si>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</si>
  <si>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</si>
  <si>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</si>
  <si>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</si>
  <si>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</si>
  <si>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</si>
  <si>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</si>
  <si>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</si>
  <si>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</si>
  <si>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</si>
  <si>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</si>
  <si>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</si>
  <si>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</si>
  <si>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</si>
  <si>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</si>
  <si>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</si>
  <si>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</si>
  <si>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</si>
  <si>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</si>
  <si>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</si>
  <si>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</si>
  <si>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</si>
  <si>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</si>
  <si>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</si>
  <si>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</si>
  <si>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</si>
  <si>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</si>
  <si>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</si>
  <si>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</si>
  <si>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</si>
  <si>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</si>
  <si>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</si>
  <si>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</si>
  <si>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</si>
  <si>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</si>
  <si>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</si>
  <si>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</si>
  <si>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</si>
  <si>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</si>
  <si>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</si>
  <si>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</si>
  <si>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</si>
  <si>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</si>
  <si>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</si>
  <si>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</si>
  <si>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</si>
  <si>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</si>
  <si>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</si>
  <si>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</si>
  <si>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</si>
  <si>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</si>
  <si>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</si>
  <si>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</si>
  <si>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</si>
  <si>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</si>
  <si>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</si>
  <si>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</si>
  <si>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</si>
  <si>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</si>
  <si>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</si>
  <si>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</si>
  <si>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</si>
  <si>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</si>
  <si>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</si>
  <si>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</si>
  <si>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</si>
  <si>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</si>
  <si>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</si>
  <si>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</si>
  <si>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</si>
  <si>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</si>
  <si>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</si>
  <si>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</si>
  <si>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</si>
  <si>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</si>
  <si>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</si>
  <si>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</si>
  <si>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</si>
  <si>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</si>
  <si>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</si>
  <si>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</si>
  <si>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</si>
  <si>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</si>
  <si>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</si>
  <si>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</si>
  <si>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</si>
  <si>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</si>
  <si>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</si>
  <si>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</si>
  <si>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</si>
  <si>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</si>
  <si>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</si>
  <si>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</si>
  <si>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</si>
  <si>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</si>
  <si>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</si>
  <si>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</si>
  <si>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</si>
  <si>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</si>
  <si>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</si>
  <si>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</si>
  <si>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</si>
  <si>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</si>
  <si>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</si>
  <si>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</si>
  <si>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</si>
  <si>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</si>
  <si>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</si>
  <si>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</si>
  <si>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</si>
  <si>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</si>
  <si>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</si>
  <si>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</si>
  <si>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</si>
  <si>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</si>
  <si>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</si>
  <si>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</si>
  <si>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</si>
  <si>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</si>
  <si>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</si>
  <si>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</si>
  <si>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</si>
  <si>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</si>
  <si>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</si>
  <si>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</si>
  <si>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</si>
  <si>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</si>
  <si>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</si>
  <si>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</si>
  <si>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</si>
  <si>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</si>
  <si>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</si>
  <si>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</si>
  <si>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</si>
  <si>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</si>
  <si>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</si>
  <si>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</si>
  <si>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</si>
  <si>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</si>
  <si>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</si>
  <si>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</si>
  <si>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</si>
  <si>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</si>
  <si>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</si>
  <si>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</si>
  <si>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</si>
  <si>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</si>
  <si>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</si>
  <si>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</si>
  <si>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</si>
  <si>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</si>
  <si>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</si>
  <si>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</si>
  <si>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</si>
  <si>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</si>
  <si>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</si>
  <si>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</si>
  <si>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</si>
  <si>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</si>
  <si>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</si>
  <si>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</si>
  <si>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</si>
  <si>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</si>
  <si>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</si>
  <si>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</si>
  <si>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</si>
  <si>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</si>
  <si>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</si>
  <si>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</si>
  <si>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</si>
  <si>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</si>
  <si>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</si>
  <si>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</si>
  <si>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</si>
  <si>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</si>
  <si>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</si>
  <si>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</si>
  <si>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</si>
  <si>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</si>
  <si>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</si>
  <si>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</si>
  <si>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</si>
  <si>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</si>
  <si>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</si>
  <si>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</si>
  <si>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</si>
  <si>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</si>
  <si>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</si>
  <si>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</si>
  <si>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</si>
  <si>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</si>
  <si>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</si>
  <si>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</si>
  <si>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</si>
  <si>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</si>
  <si>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</si>
  <si>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</si>
  <si>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</si>
  <si>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</si>
  <si>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</si>
  <si>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</si>
  <si>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</si>
  <si>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</si>
  <si>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</si>
  <si>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</si>
  <si>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</si>
  <si>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</si>
  <si>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</si>
  <si>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</si>
  <si>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</si>
  <si>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</si>
  <si>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</si>
  <si>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</si>
  <si>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</si>
  <si>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</si>
  <si>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</si>
  <si>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</si>
  <si>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</si>
  <si>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</si>
  <si>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</si>
  <si>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</si>
  <si>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</si>
  <si>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</si>
  <si>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</si>
  <si>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</si>
  <si>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</si>
  <si>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</si>
  <si>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</si>
  <si>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</si>
  <si>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</si>
  <si>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</si>
  <si>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</si>
  <si>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</si>
  <si>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</si>
  <si>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</si>
  <si>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</si>
  <si>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</si>
  <si>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</si>
  <si>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</si>
  <si>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</si>
  <si>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</si>
  <si>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</si>
  <si>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</si>
  <si>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</si>
  <si>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</si>
  <si>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</si>
  <si>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</si>
  <si>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</si>
  <si>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</si>
  <si>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</si>
  <si>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</si>
  <si>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</si>
  <si>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</si>
  <si>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</si>
  <si>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</si>
  <si>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</si>
  <si>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</si>
  <si>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</si>
  <si>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</si>
  <si>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</si>
  <si>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</si>
  <si>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</si>
  <si>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</si>
  <si>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</si>
  <si>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</si>
  <si>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</si>
  <si>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</si>
  <si>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</si>
  <si>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</si>
  <si>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</si>
  <si>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</si>
  <si>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</si>
  <si>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</si>
  <si>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</si>
  <si>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</si>
  <si>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</si>
  <si>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</si>
  <si>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</si>
  <si>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</si>
  <si>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</si>
  <si>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</si>
  <si>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</si>
  <si>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</si>
  <si>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</si>
  <si>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</si>
  <si>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</si>
  <si>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</si>
  <si>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</si>
  <si>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</si>
  <si>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</si>
  <si>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</si>
  <si>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</si>
  <si>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</si>
  <si>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</si>
  <si>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</si>
  <si>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</si>
  <si>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</si>
  <si>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</si>
  <si>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</si>
  <si>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</si>
  <si>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</si>
  <si>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</si>
  <si>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</si>
  <si>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</si>
  <si>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</si>
  <si>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</si>
  <si>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</si>
  <si>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</si>
  <si>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</si>
  <si>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</si>
  <si>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</si>
  <si>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</si>
  <si>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</si>
  <si>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</si>
  <si>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</si>
  <si>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</si>
  <si>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</si>
  <si>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</si>
  <si>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</si>
  <si>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</si>
  <si>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</si>
  <si>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</si>
  <si>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</si>
  <si>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</si>
  <si>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</si>
  <si>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</si>
  <si>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</si>
  <si>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</si>
  <si>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</si>
  <si>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</si>
  <si>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</si>
  <si>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</si>
  <si>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</si>
  <si>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</si>
  <si>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</si>
  <si>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</si>
  <si>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</si>
  <si>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</si>
  <si>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</si>
  <si>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</si>
  <si>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</si>
  <si>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</si>
  <si>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</si>
  <si>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</si>
  <si>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</si>
  <si>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</si>
  <si>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</si>
  <si>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</si>
  <si>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</si>
  <si>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</si>
  <si>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</si>
  <si>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</si>
  <si>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</si>
  <si>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</si>
  <si>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</si>
  <si>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</si>
  <si>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</si>
  <si>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</si>
  <si>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</si>
  <si>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</si>
  <si>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</si>
  <si>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</si>
  <si>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</si>
  <si>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</si>
  <si>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</si>
  <si>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</si>
  <si>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</si>
  <si>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</si>
  <si>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</si>
  <si>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</si>
  <si>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</si>
  <si>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</si>
  <si>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</si>
  <si>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</si>
  <si>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</si>
  <si>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</si>
  <si>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</si>
  <si>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</si>
  <si>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</si>
  <si>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</si>
  <si>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</si>
  <si>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</si>
  <si>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</si>
  <si>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</si>
  <si>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</si>
  <si>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</si>
  <si>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</si>
  <si>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</si>
  <si>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</si>
  <si>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</si>
  <si>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</si>
  <si>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</si>
  <si>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</si>
  <si>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</si>
  <si>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</si>
  <si>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</si>
  <si>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</si>
  <si>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</si>
  <si>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</si>
  <si>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</si>
  <si>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</si>
  <si>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</si>
  <si>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</si>
  <si>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</si>
  <si>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</si>
  <si>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</si>
  <si>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</si>
  <si>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</si>
  <si>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</si>
  <si>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</si>
  <si>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</si>
  <si>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</si>
  <si>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</si>
  <si>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</si>
  <si>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</si>
  <si>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</si>
  <si>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</si>
  <si>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</si>
  <si>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</si>
  <si>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</si>
  <si>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</si>
  <si>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</si>
  <si>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</si>
  <si>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</si>
  <si>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</si>
  <si>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</si>
  <si>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</si>
  <si>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</si>
  <si>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</si>
  <si>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</si>
  <si>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</si>
  <si>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</si>
  <si>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</si>
  <si>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</si>
  <si>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</si>
  <si>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</si>
  <si>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</si>
  <si>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</si>
  <si>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</si>
  <si>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</si>
  <si>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</si>
  <si>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</si>
  <si>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</si>
  <si>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</si>
  <si>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</si>
  <si>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</si>
  <si>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</si>
  <si>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</si>
  <si>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</si>
  <si>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</si>
  <si>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</si>
  <si>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</si>
  <si>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</si>
  <si>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</si>
  <si>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</si>
  <si>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</si>
  <si>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</si>
  <si>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</si>
  <si>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</si>
  <si>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</si>
  <si>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</si>
  <si>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</si>
  <si>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</si>
  <si>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</si>
  <si>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</si>
  <si>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</si>
  <si>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</si>
  <si>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</si>
  <si>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</si>
  <si>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</si>
  <si>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</si>
  <si>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</si>
  <si>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</si>
  <si>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</si>
  <si>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</si>
  <si>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</si>
  <si>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</si>
  <si>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</si>
  <si>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</si>
  <si>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</si>
  <si>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</si>
  <si>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</si>
  <si>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</si>
  <si>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</si>
  <si>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</si>
  <si>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</si>
  <si>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</si>
  <si>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</si>
  <si>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</si>
  <si>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</si>
  <si>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</si>
  <si>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</si>
  <si>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</si>
  <si>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</si>
  <si>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</si>
  <si>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</si>
  <si>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</si>
  <si>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</si>
  <si>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</si>
  <si>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</si>
  <si>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</si>
  <si>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</si>
  <si>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</si>
  <si>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</si>
  <si>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</si>
  <si>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</si>
  <si>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</si>
  <si>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</si>
  <si>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</si>
  <si>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</si>
  <si>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</si>
  <si>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</si>
  <si>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</si>
  <si>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</si>
  <si>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</si>
  <si>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</si>
  <si>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</si>
  <si>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</si>
  <si>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</si>
  <si>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</si>
  <si>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</si>
  <si>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</si>
  <si>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</si>
  <si>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</si>
  <si>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</si>
  <si>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</si>
  <si>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</si>
  <si>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</si>
  <si>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</si>
  <si>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</si>
  <si>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</si>
  <si>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</si>
  <si>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</si>
  <si>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</si>
  <si>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</si>
  <si>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</si>
  <si>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</si>
  <si>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</si>
  <si>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</si>
  <si>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</si>
  <si>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</si>
  <si>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</si>
  <si>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</si>
  <si>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</si>
  <si>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</si>
  <si>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</si>
  <si>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</si>
  <si>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</si>
  <si>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</si>
  <si>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</si>
  <si>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</si>
  <si>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</si>
  <si>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</si>
  <si>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</si>
  <si>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</si>
  <si>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</si>
  <si>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</si>
  <si>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</si>
  <si>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</si>
  <si>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</si>
  <si>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</si>
  <si>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</si>
  <si>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</si>
  <si>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</si>
  <si>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</si>
  <si>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</si>
  <si>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</si>
  <si>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</si>
  <si>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</si>
  <si>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</si>
  <si>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</si>
  <si>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</si>
  <si>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</si>
  <si>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</si>
  <si>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</si>
  <si>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</si>
  <si>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</si>
  <si>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</si>
  <si>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</si>
  <si>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</si>
  <si>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</si>
  <si>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</si>
  <si>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</si>
  <si>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</si>
  <si>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</si>
  <si>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</si>
  <si>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</si>
  <si>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</si>
  <si>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</si>
  <si>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</si>
  <si>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</si>
  <si>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</si>
  <si>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</si>
  <si>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</si>
  <si>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</si>
  <si>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</si>
  <si>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</si>
  <si>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</si>
  <si>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</si>
  <si>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</si>
  <si>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</si>
  <si>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</si>
  <si>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</si>
  <si>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</si>
  <si>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</si>
  <si>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</si>
  <si>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</si>
  <si>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</si>
  <si>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</si>
  <si>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</si>
  <si>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</si>
  <si>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</si>
  <si>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</si>
  <si>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</si>
  <si>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</si>
  <si>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</si>
  <si>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</si>
  <si>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</si>
  <si>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</si>
  <si>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</si>
  <si>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</si>
  <si>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</si>
  <si>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</si>
  <si>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</si>
  <si>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</si>
  <si>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</si>
  <si>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</si>
  <si>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</si>
  <si>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</si>
  <si>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</si>
  <si>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</si>
  <si>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</si>
  <si>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</si>
  <si>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</si>
  <si>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</si>
  <si>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</si>
  <si>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</si>
  <si>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</si>
  <si>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</si>
  <si>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</si>
  <si>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</si>
  <si>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</si>
  <si>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</si>
  <si>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</si>
  <si>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</si>
  <si>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</si>
  <si>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</si>
  <si>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</si>
  <si>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</si>
  <si>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</si>
  <si>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</si>
  <si>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</si>
  <si>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</si>
  <si>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</si>
  <si>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</si>
  <si>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</si>
  <si>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</si>
  <si>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</si>
  <si>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</si>
  <si>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</si>
  <si>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</si>
  <si>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</si>
  <si>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</si>
  <si>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</si>
  <si>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</si>
  <si>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</si>
  <si>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</si>
  <si>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</si>
  <si>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</si>
  <si>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</si>
  <si>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</si>
  <si>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</si>
  <si>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</si>
  <si>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</si>
  <si>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</si>
  <si>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</si>
  <si>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</si>
  <si>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</si>
  <si>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</si>
  <si>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</si>
  <si>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</si>
  <si>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</si>
  <si>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</si>
  <si>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</si>
  <si>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</si>
  <si>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</si>
  <si>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</si>
  <si>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</si>
  <si>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</si>
  <si>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</si>
  <si>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</si>
  <si>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</si>
  <si>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</si>
  <si>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</si>
  <si>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</si>
  <si>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</si>
  <si>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</si>
  <si>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</si>
  <si>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</si>
  <si>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</si>
  <si>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</si>
  <si>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</si>
  <si>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</si>
  <si>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</si>
  <si>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</si>
  <si>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</si>
  <si>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</si>
  <si>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</si>
  <si>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</si>
  <si>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</si>
  <si>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</si>
  <si>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</si>
  <si>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</si>
  <si>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</si>
  <si>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</si>
  <si>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</si>
  <si>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</si>
  <si>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</si>
  <si>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</si>
  <si>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</si>
  <si>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</si>
  <si>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</si>
  <si>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</si>
  <si>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</si>
  <si>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</si>
  <si>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</si>
  <si>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</si>
  <si>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</si>
  <si>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</si>
  <si>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</si>
  <si>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</si>
  <si>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</si>
  <si>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</si>
  <si>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</si>
  <si>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</si>
  <si>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</si>
  <si>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</si>
  <si>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</si>
  <si>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</si>
  <si>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</si>
  <si>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</si>
  <si>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</si>
  <si>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</si>
  <si>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</si>
  <si>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</si>
  <si>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</si>
  <si>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</si>
  <si>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</si>
  <si>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</si>
  <si>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</si>
  <si>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</si>
  <si>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</si>
  <si>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</si>
  <si>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</si>
  <si>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</si>
  <si>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</si>
  <si>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</si>
  <si>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</si>
  <si>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</si>
  <si>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</si>
  <si>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</si>
  <si>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</si>
  <si>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</si>
  <si>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</si>
  <si>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</si>
  <si>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</si>
  <si>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</si>
  <si>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</si>
  <si>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</si>
  <si>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</si>
  <si>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</si>
  <si>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</si>
  <si>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</si>
  <si>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</si>
  <si>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</si>
  <si>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</si>
  <si>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</si>
  <si>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</si>
  <si>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</si>
  <si>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</si>
  <si>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</si>
  <si>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</si>
  <si>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</si>
  <si>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</si>
  <si>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</si>
  <si>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</si>
  <si>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</si>
  <si>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</si>
  <si>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</si>
  <si>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</si>
  <si>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</si>
  <si>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</si>
  <si>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</si>
  <si>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</si>
  <si>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</si>
  <si>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</si>
  <si>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</si>
  <si>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</si>
  <si>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</si>
  <si>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</si>
  <si>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</si>
  <si>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</si>
  <si>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</si>
  <si>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</si>
  <si>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</si>
  <si>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</si>
  <si>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</si>
  <si>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</si>
  <si>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</si>
  <si>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</si>
  <si>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</si>
  <si>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</si>
  <si>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</si>
  <si>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</si>
  <si>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</si>
  <si>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</si>
  <si>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</si>
  <si>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</si>
  <si>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</si>
  <si>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</si>
  <si>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</si>
  <si>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</si>
  <si>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</si>
  <si>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</si>
  <si>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</si>
  <si>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</si>
  <si>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</si>
  <si>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</si>
  <si>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</si>
  <si>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</si>
  <si>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</si>
  <si>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</si>
  <si>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</si>
  <si>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</si>
  <si>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</si>
  <si>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</si>
  <si>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</si>
  <si>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</si>
  <si>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</si>
  <si>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</si>
  <si>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</si>
  <si>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</si>
  <si>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</si>
  <si>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</si>
  <si>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</si>
  <si>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</si>
  <si>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</si>
  <si>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</si>
  <si>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</si>
  <si>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</si>
  <si>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</si>
  <si>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</si>
  <si>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</si>
  <si>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</si>
  <si>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</si>
  <si>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</si>
  <si>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</si>
  <si>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</si>
  <si>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</si>
  <si>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</si>
  <si>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</si>
  <si>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</si>
  <si>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</si>
  <si>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</si>
  <si>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</si>
  <si>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</si>
  <si>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</si>
  <si>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</si>
  <si>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</si>
  <si>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</si>
  <si>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</si>
  <si>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</si>
  <si>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</si>
  <si>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</si>
  <si>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</si>
  <si>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</si>
  <si>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</si>
  <si>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</si>
  <si>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</si>
  <si>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</si>
  <si>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</si>
  <si>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</si>
  <si>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</si>
  <si>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</si>
  <si>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</si>
  <si>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</si>
  <si>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</si>
  <si>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</si>
  <si>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</si>
  <si>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</si>
  <si>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</si>
  <si>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</si>
  <si>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</si>
  <si>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</si>
  <si>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</si>
  <si>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</si>
  <si>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</si>
  <si>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</si>
  <si>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</si>
  <si>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</si>
  <si>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</si>
  <si>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</si>
  <si>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</si>
  <si>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</si>
  <si>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</si>
  <si>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</si>
  <si>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</si>
  <si>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</si>
  <si>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</si>
  <si>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</si>
  <si>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</si>
  <si>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</si>
  <si>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</si>
  <si>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</si>
  <si>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</si>
  <si>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</si>
  <si>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</si>
  <si>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</si>
  <si>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</si>
  <si>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</si>
  <si>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</si>
  <si>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</si>
  <si>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</si>
  <si>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</si>
  <si>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</si>
  <si>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</si>
  <si>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</si>
  <si>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</si>
  <si>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</si>
  <si>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</si>
  <si>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</si>
  <si>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</si>
  <si>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</si>
  <si>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</si>
  <si>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</si>
  <si>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</si>
  <si>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</si>
  <si>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</si>
  <si>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</si>
  <si>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</si>
  <si>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</si>
  <si>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</si>
  <si>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</si>
  <si>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</si>
  <si>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</si>
  <si>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</si>
  <si>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</si>
  <si>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</si>
  <si>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</si>
  <si>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</si>
  <si>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</si>
  <si>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</si>
  <si>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</si>
  <si>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</si>
  <si>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</si>
  <si>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</si>
  <si>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</si>
  <si>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</si>
  <si>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</si>
  <si>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</si>
  <si>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</si>
  <si>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</si>
  <si>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</si>
  <si>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</si>
  <si>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</si>
  <si>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</si>
  <si>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</si>
  <si>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</si>
  <si>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</si>
  <si>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</si>
  <si>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</si>
  <si>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</si>
  <si>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</si>
  <si>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</si>
  <si>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</si>
  <si>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</si>
  <si>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</si>
  <si>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</si>
  <si>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</si>
  <si>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</si>
  <si>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</si>
  <si>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</si>
  <si>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</si>
  <si>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</si>
  <si>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</si>
  <si>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</si>
  <si>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</si>
  <si>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</si>
  <si>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</si>
  <si>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</si>
  <si>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</si>
  <si>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</si>
  <si>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</si>
  <si>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</si>
  <si>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</si>
  <si>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</si>
  <si>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</si>
  <si>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</si>
  <si>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</si>
  <si>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</si>
  <si>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</si>
  <si>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</si>
  <si>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</si>
  <si>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</si>
  <si>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</si>
  <si>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</si>
  <si>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</si>
  <si>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</si>
  <si>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</si>
  <si>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</si>
  <si>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</si>
  <si>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</si>
  <si>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</si>
  <si>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</si>
  <si>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</si>
  <si>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</si>
  <si>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</si>
  <si>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</si>
  <si>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</si>
  <si>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</si>
  <si>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</si>
  <si>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</si>
  <si>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</si>
  <si>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</si>
  <si>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</si>
  <si>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</si>
  <si>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</si>
  <si>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</si>
  <si>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</si>
  <si>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</si>
  <si>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</si>
  <si>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</si>
  <si>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</si>
  <si>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</si>
  <si>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</si>
  <si>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</si>
  <si>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</si>
  <si>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</si>
  <si>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</si>
  <si>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</si>
  <si>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</si>
  <si>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</si>
  <si>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</si>
  <si>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</si>
  <si>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</si>
  <si>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</si>
  <si>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</si>
  <si>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</si>
  <si>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</si>
  <si>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</si>
  <si>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</si>
  <si>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</si>
  <si>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</si>
  <si>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</si>
  <si>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</si>
  <si>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</si>
  <si>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</si>
  <si>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</si>
  <si>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</si>
  <si>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</si>
  <si>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</si>
  <si>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</si>
  <si>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</si>
  <si>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</si>
  <si>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</si>
  <si>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</si>
  <si>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</si>
  <si>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</si>
  <si>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</si>
  <si>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</si>
  <si>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</si>
  <si>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</si>
  <si>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</si>
  <si>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</si>
  <si>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</si>
  <si>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</si>
  <si>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</si>
  <si>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</si>
  <si>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</si>
  <si>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</si>
  <si>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</si>
  <si>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</si>
  <si>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</si>
  <si>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</si>
  <si>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</si>
  <si>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</si>
  <si>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</si>
  <si>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</si>
  <si>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</si>
  <si>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</si>
  <si>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</si>
  <si>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</si>
  <si>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</si>
  <si>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</si>
  <si>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</si>
  <si>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</si>
  <si>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</si>
  <si>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</si>
  <si>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</si>
  <si>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</si>
  <si>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</si>
  <si>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</si>
  <si>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</si>
  <si>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</si>
  <si>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</si>
  <si>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</si>
  <si>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</si>
  <si>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</si>
  <si>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</si>
  <si>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</si>
  <si>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</si>
  <si>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</si>
  <si>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</si>
  <si>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</si>
  <si>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</si>
  <si>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</si>
  <si>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</si>
  <si>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</si>
  <si>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</si>
  <si>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</si>
  <si>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</si>
  <si>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</si>
  <si>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</si>
  <si>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</si>
  <si>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</si>
  <si>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</si>
  <si>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</si>
  <si>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</si>
  <si>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</si>
  <si>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</si>
  <si>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</si>
  <si>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</si>
  <si>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</si>
  <si>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</si>
  <si>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</si>
  <si>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</si>
  <si>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</si>
  <si>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</si>
  <si>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</si>
  <si>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</si>
  <si>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</si>
  <si>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</si>
  <si>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</si>
  <si>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</si>
  <si>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</si>
  <si>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</si>
  <si>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</si>
  <si>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</si>
  <si>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</si>
  <si>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</si>
  <si>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</si>
  <si>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</si>
  <si>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</si>
  <si>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</si>
  <si>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</si>
  <si>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</si>
  <si>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</si>
  <si>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</si>
  <si>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</si>
  <si>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</si>
  <si>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</si>
  <si>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</si>
  <si>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</si>
  <si>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</si>
  <si>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</si>
  <si>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</si>
  <si>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</si>
  <si>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</si>
  <si>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</si>
  <si>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</si>
  <si>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</si>
  <si>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</si>
  <si>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</si>
  <si>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</si>
  <si>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</si>
  <si>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</si>
  <si>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</si>
  <si>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</si>
  <si>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</si>
  <si>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</si>
  <si>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</si>
  <si>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</si>
  <si>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</si>
  <si>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</si>
  <si>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</si>
  <si>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</si>
  <si>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</si>
  <si>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</si>
  <si>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</si>
  <si>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</si>
  <si>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</si>
  <si>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</si>
  <si>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</si>
  <si>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</si>
  <si>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</si>
  <si>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</si>
  <si>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</si>
  <si>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</si>
  <si>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</si>
  <si>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</si>
  <si>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</si>
  <si>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</si>
  <si>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</si>
  <si>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</si>
  <si>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</si>
  <si>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</si>
  <si>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</si>
  <si>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</si>
  <si>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</si>
  <si>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</si>
  <si>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</si>
  <si>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</si>
  <si>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</si>
  <si>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</si>
  <si>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</si>
  <si>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</si>
  <si>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</si>
  <si>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</si>
  <si>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</si>
  <si>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</si>
  <si>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</si>
  <si>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</si>
  <si>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</si>
  <si>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</si>
  <si>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</si>
  <si>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</si>
  <si>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</si>
  <si>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</si>
  <si>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</si>
  <si>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</si>
  <si>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</si>
  <si>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</si>
  <si>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</si>
  <si>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</si>
  <si>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</si>
  <si>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</si>
  <si>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</si>
  <si>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</si>
  <si>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</si>
  <si>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</si>
  <si>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</si>
  <si>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</si>
  <si>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</si>
  <si>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</si>
  <si>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</si>
  <si>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</si>
  <si>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</si>
  <si>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</si>
  <si>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</si>
  <si>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</si>
  <si>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</si>
  <si>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</si>
  <si>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</si>
  <si>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</si>
  <si>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</si>
  <si>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</si>
  <si>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</si>
  <si>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</si>
  <si>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</si>
  <si>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</si>
  <si>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</si>
  <si>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</si>
  <si>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</si>
  <si>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</si>
  <si>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</si>
  <si>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</si>
  <si>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</si>
  <si>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</si>
  <si>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</si>
  <si>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</si>
  <si>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</si>
  <si>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</si>
  <si>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</si>
  <si>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</si>
  <si>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</si>
  <si>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</si>
  <si>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</si>
  <si>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</si>
  <si>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</si>
  <si>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</si>
  <si>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</si>
  <si>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</si>
  <si>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</si>
  <si>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</si>
  <si>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</si>
  <si>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</si>
  <si>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</si>
  <si>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</si>
  <si>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</si>
  <si>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</si>
  <si>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</si>
  <si>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</si>
  <si>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</si>
  <si>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</si>
  <si>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</si>
  <si>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</si>
  <si>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</si>
  <si>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</si>
  <si>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</si>
  <si>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</si>
  <si>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</si>
  <si>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</si>
  <si>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</si>
  <si>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</si>
  <si>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</si>
  <si>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</si>
  <si>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</si>
  <si>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</si>
  <si>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</si>
  <si>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</si>
  <si>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</si>
  <si>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</si>
  <si>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</si>
  <si>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</si>
  <si>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</si>
  <si>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</si>
  <si>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</si>
  <si>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</si>
  <si>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</si>
  <si>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</si>
  <si>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</si>
  <si>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</si>
  <si>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</si>
  <si>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</si>
  <si>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</si>
  <si>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</si>
  <si>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</si>
  <si>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</si>
  <si>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</si>
  <si>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</si>
  <si>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</si>
  <si>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</si>
  <si>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</si>
  <si>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</si>
  <si>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</si>
  <si>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</si>
  <si>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</si>
  <si>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</si>
  <si>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</si>
  <si>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</si>
  <si>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</si>
  <si>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</si>
  <si>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</si>
  <si>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</si>
  <si>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</si>
  <si>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</si>
  <si>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</si>
  <si>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</si>
  <si>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</si>
  <si>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</si>
  <si>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</si>
  <si>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</si>
  <si>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</si>
  <si>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</si>
  <si>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</si>
  <si>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</si>
  <si>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</si>
  <si>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</si>
  <si>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</si>
  <si>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</si>
  <si>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</si>
  <si>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</si>
  <si>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</si>
  <si>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</si>
  <si>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</si>
  <si>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</si>
  <si>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</si>
  <si>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</si>
  <si>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</si>
  <si>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</si>
  <si>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</si>
  <si>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</si>
  <si>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</si>
  <si>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</si>
  <si>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</si>
  <si>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</si>
  <si>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</si>
  <si>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</si>
  <si>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</si>
  <si>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</si>
  <si>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</si>
  <si>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</si>
  <si>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</si>
  <si>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</si>
  <si>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</si>
  <si>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</si>
  <si>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</si>
  <si>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</si>
  <si>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</si>
  <si>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</si>
  <si>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</si>
  <si>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</si>
  <si>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</si>
  <si>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</si>
  <si>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</si>
  <si>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</si>
  <si>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</si>
  <si>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</si>
  <si>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</si>
  <si>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</si>
  <si>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</si>
  <si>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</si>
  <si>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</si>
  <si>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</si>
  <si>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</si>
  <si>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</si>
  <si>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</si>
  <si>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</si>
  <si>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</si>
  <si>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</si>
  <si>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</si>
  <si>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</si>
  <si>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</si>
  <si>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</si>
  <si>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</si>
  <si>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</si>
  <si>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</si>
  <si>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</si>
  <si>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</si>
  <si>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</si>
  <si>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</si>
  <si>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</si>
  <si>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</si>
  <si>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</si>
  <si>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</si>
  <si>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</si>
  <si>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</si>
  <si>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</si>
  <si>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</si>
  <si>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</si>
  <si>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</si>
  <si>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</si>
  <si>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</si>
  <si>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</si>
  <si>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</si>
  <si>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</si>
  <si>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</si>
  <si>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</si>
  <si>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</si>
  <si>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</si>
  <si>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</si>
  <si>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</si>
  <si>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</si>
  <si>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</si>
  <si>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</si>
  <si>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</si>
  <si>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</si>
  <si>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</si>
  <si>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</si>
  <si>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</si>
  <si>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</si>
  <si>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</si>
  <si>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</si>
  <si>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</si>
  <si>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</si>
  <si>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</si>
  <si>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</si>
  <si>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</si>
  <si>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</si>
  <si>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</si>
  <si>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</si>
  <si>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</si>
  <si>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</si>
  <si>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</si>
  <si>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</si>
  <si>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</si>
  <si>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</si>
  <si>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</si>
  <si>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</si>
  <si>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</si>
  <si>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</si>
  <si>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</si>
  <si>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</si>
  <si>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</si>
  <si>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</si>
  <si>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</si>
  <si>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</si>
  <si>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</si>
  <si>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</si>
  <si>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</si>
  <si>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</si>
  <si>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</si>
  <si>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</si>
  <si>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</si>
  <si>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</si>
  <si>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</si>
  <si>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</si>
  <si>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</si>
  <si>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</si>
  <si>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</si>
  <si>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</si>
  <si>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</si>
  <si>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</si>
  <si>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</si>
  <si>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</si>
  <si>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</si>
  <si>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</si>
  <si>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</si>
  <si>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</si>
  <si>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</si>
  <si>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</si>
  <si>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</si>
  <si>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</si>
  <si>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</si>
  <si>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</si>
  <si>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</si>
  <si>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</si>
  <si>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</si>
  <si>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</si>
  <si>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</si>
  <si>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</si>
  <si>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</si>
  <si>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</si>
  <si>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</si>
  <si>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</si>
  <si>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</si>
  <si>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</si>
  <si>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</si>
  <si>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</si>
  <si>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</si>
  <si>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</si>
  <si>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</si>
  <si>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</si>
  <si>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</si>
  <si>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</si>
  <si>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</si>
  <si>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</si>
  <si>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</si>
  <si>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</si>
  <si>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</si>
  <si>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</si>
  <si>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</si>
  <si>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</si>
  <si>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</si>
  <si>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</si>
  <si>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</si>
  <si>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</si>
  <si>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</si>
  <si>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</si>
  <si>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</si>
  <si>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</si>
  <si>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</si>
  <si>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</si>
  <si>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</si>
  <si>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</si>
  <si>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</si>
  <si>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</si>
  <si>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</si>
  <si>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</si>
  <si>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</si>
  <si>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</si>
  <si>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</si>
  <si>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</si>
  <si>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</si>
  <si>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</si>
  <si>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</si>
  <si>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</si>
  <si>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</si>
  <si>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</si>
  <si>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</si>
  <si>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</si>
  <si>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</si>
  <si>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</si>
  <si>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</si>
  <si>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</si>
  <si>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</si>
  <si>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</si>
  <si>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</si>
  <si>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</si>
  <si>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</si>
  <si>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</si>
  <si>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</si>
  <si>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</si>
  <si>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</si>
  <si>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</si>
  <si>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</si>
  <si>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</si>
  <si>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</si>
  <si>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</si>
  <si>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</si>
  <si>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</si>
  <si>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</si>
  <si>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</si>
  <si>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</si>
  <si>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</si>
  <si>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</si>
  <si>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</si>
  <si>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</si>
  <si>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</si>
  <si>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</si>
  <si>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</si>
  <si>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</si>
  <si>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</si>
  <si>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</si>
  <si>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</si>
  <si>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</si>
  <si>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</si>
  <si>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</si>
  <si>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</si>
  <si>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</si>
  <si>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</si>
  <si>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</si>
  <si>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</si>
  <si>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</si>
  <si>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</si>
  <si>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</si>
  <si>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</si>
  <si>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</si>
  <si>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</si>
  <si>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</si>
  <si>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</si>
  <si>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</si>
  <si>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</si>
  <si>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</si>
  <si>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</si>
  <si>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</si>
  <si>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</si>
  <si>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</si>
  <si>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</si>
  <si>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</si>
  <si>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</si>
  <si>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</si>
  <si>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</si>
  <si>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</si>
  <si>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</si>
  <si>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</si>
  <si>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</si>
  <si>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</si>
  <si>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</si>
  <si>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</si>
  <si>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</si>
  <si>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</si>
  <si>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</si>
  <si>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</si>
  <si>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</si>
  <si>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</si>
  <si>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</si>
  <si>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</si>
  <si>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</si>
  <si>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</si>
  <si>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</si>
  <si>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</si>
  <si>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</si>
  <si>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</si>
  <si>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</si>
  <si>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</si>
  <si>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</si>
  <si>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</si>
  <si>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</si>
  <si>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</si>
  <si>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</si>
  <si>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</si>
  <si>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</si>
  <si>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</si>
  <si>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</si>
  <si>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</si>
  <si>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</si>
  <si>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</si>
  <si>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</si>
  <si>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</si>
  <si>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</si>
  <si>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</si>
  <si>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</si>
  <si>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</si>
  <si>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</si>
  <si>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</si>
  <si>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</si>
  <si>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</si>
  <si>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</si>
  <si>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</si>
  <si>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</si>
  <si>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</si>
  <si>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</si>
  <si>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</si>
  <si>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</si>
  <si>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</si>
  <si>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</si>
  <si>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</si>
  <si>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</si>
  <si>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</si>
  <si>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</si>
  <si>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</si>
  <si>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</si>
  <si>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</si>
  <si>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</si>
  <si>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</si>
  <si>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</si>
  <si>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</si>
  <si>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</si>
  <si>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</si>
  <si>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</si>
  <si>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</si>
  <si>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</si>
  <si>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</si>
  <si>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</si>
  <si>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</si>
  <si>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</si>
  <si>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</si>
  <si>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</si>
  <si>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</si>
  <si>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</si>
  <si>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</si>
  <si>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</si>
  <si>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</si>
  <si>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</si>
  <si>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</si>
  <si>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</si>
  <si>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</si>
  <si>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</si>
  <si>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</si>
  <si>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</si>
  <si>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</si>
  <si>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</si>
  <si>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</si>
  <si>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</si>
  <si>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</si>
  <si>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</si>
  <si>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</si>
  <si>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</si>
  <si>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</si>
  <si>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</si>
  <si>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</si>
  <si>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</si>
  <si>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</si>
  <si>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</si>
  <si>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</si>
  <si>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</si>
  <si>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</si>
  <si>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</si>
  <si>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</si>
  <si>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</si>
  <si>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</si>
  <si>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</si>
  <si>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</si>
  <si>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</si>
  <si>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</si>
  <si>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</si>
  <si>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</si>
  <si>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</si>
  <si>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</si>
  <si>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</si>
  <si>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</si>
  <si>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</si>
  <si>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</si>
  <si>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</si>
  <si>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</si>
  <si>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</si>
  <si>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</si>
  <si>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</si>
  <si>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</si>
  <si>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</si>
  <si>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</si>
  <si>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</si>
  <si>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</si>
  <si>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</si>
  <si>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</si>
  <si>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</si>
  <si>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</si>
  <si>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</si>
  <si>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</si>
  <si>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</si>
  <si>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</si>
  <si>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</si>
  <si>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</si>
  <si>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</si>
  <si>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</si>
  <si>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</si>
  <si>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</si>
  <si>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</si>
  <si>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</si>
  <si>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</si>
  <si>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</si>
  <si>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</si>
  <si>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</si>
  <si>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</si>
  <si>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</si>
  <si>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</si>
  <si>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</si>
  <si>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</si>
  <si>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</si>
  <si>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</si>
  <si>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</si>
  <si>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</si>
  <si>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</si>
  <si>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</si>
  <si>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</si>
  <si>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</si>
  <si>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</si>
  <si>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</si>
  <si>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</si>
  <si>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</si>
  <si>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</si>
  <si>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</si>
  <si>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</si>
  <si>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</si>
  <si>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</si>
  <si>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</si>
  <si>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</si>
  <si>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</si>
  <si>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</si>
  <si>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</si>
  <si>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</si>
  <si>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</si>
  <si>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</si>
  <si>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</si>
  <si>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</si>
  <si>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</si>
  <si>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</si>
  <si>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</si>
  <si>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</si>
  <si>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</si>
  <si>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</si>
  <si>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</si>
  <si>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</si>
  <si>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</si>
  <si>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</si>
  <si>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</si>
  <si>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</si>
  <si>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</si>
  <si>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</si>
  <si>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</si>
  <si>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</si>
  <si>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</si>
  <si>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</si>
  <si>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</si>
  <si>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</si>
  <si>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</si>
  <si>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</si>
  <si>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</si>
  <si>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</si>
  <si>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</si>
  <si>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</si>
  <si>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</si>
  <si>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</si>
  <si>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</si>
  <si>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</si>
  <si>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</si>
  <si>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</si>
  <si>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</si>
  <si>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</si>
  <si>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</si>
  <si>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</si>
  <si>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</si>
  <si>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</si>
  <si>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</si>
  <si>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</si>
  <si>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</si>
  <si>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</si>
  <si>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</si>
  <si>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</si>
  <si>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</si>
  <si>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</si>
  <si>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</si>
  <si>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</si>
  <si>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</si>
  <si>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</si>
  <si>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</si>
  <si>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</si>
  <si>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</si>
  <si>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</si>
  <si>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</si>
  <si>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</si>
  <si>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</si>
  <si>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</si>
  <si>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</si>
  <si>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</si>
  <si>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</si>
  <si>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</si>
  <si>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</si>
  <si>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</si>
  <si>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</si>
  <si>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</si>
  <si>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</si>
  <si>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</si>
  <si>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</si>
  <si>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</si>
  <si>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</si>
  <si>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</si>
  <si>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</si>
  <si>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</si>
  <si>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</si>
  <si>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</si>
  <si>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</si>
  <si>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</si>
  <si>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</si>
  <si>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</si>
  <si>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</si>
  <si>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</si>
  <si>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</si>
  <si>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</si>
  <si>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</si>
  <si>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</si>
  <si>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</si>
  <si>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</si>
  <si>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</si>
  <si>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</si>
  <si>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</si>
  <si>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</si>
  <si>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</si>
  <si>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</si>
  <si>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</si>
  <si>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</si>
  <si>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</si>
  <si>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</si>
  <si>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</si>
  <si>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</si>
  <si>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</si>
  <si>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</si>
  <si>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</si>
  <si>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</si>
  <si>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</si>
  <si>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</si>
  <si>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</si>
  <si>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</si>
  <si>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</si>
  <si>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</si>
  <si>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</si>
  <si>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</si>
  <si>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</si>
  <si>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</si>
  <si>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</si>
  <si>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</si>
  <si>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</si>
  <si>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</si>
  <si>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</si>
  <si>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</si>
  <si>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</si>
  <si>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</si>
  <si>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</si>
  <si>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</si>
  <si>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</si>
  <si>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</si>
  <si>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</si>
  <si>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</si>
  <si>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</si>
  <si>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</si>
  <si>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</si>
  <si>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</si>
  <si>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</si>
  <si>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</si>
  <si>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</si>
  <si>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</si>
  <si>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</si>
  <si>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</si>
  <si>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</si>
  <si>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</si>
  <si>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</si>
  <si>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</si>
  <si>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</si>
  <si>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</si>
  <si>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</si>
  <si>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</si>
  <si>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</si>
  <si>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</si>
  <si>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</si>
  <si>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</si>
  <si>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</si>
  <si>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</si>
  <si>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</si>
  <si>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</si>
  <si>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</si>
  <si>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</si>
  <si>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</si>
  <si>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</si>
  <si>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</si>
  <si>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</si>
  <si>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</si>
  <si>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</si>
  <si>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</si>
  <si>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</si>
  <si>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</si>
  <si>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</si>
  <si>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</si>
  <si>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</si>
  <si>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</si>
  <si>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</si>
  <si>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</si>
  <si>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</si>
  <si>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</si>
  <si>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</si>
  <si>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</si>
  <si>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</si>
  <si>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</si>
  <si>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</si>
  <si>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</si>
  <si>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</si>
  <si>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</si>
  <si>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</si>
  <si>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</si>
  <si>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</si>
  <si>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</si>
  <si>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</si>
  <si>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</si>
  <si>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</si>
  <si>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</si>
  <si>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</si>
  <si>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</si>
  <si>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</si>
  <si>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</si>
  <si>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</si>
  <si>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</si>
  <si>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</si>
  <si>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</si>
  <si>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</si>
  <si>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</si>
  <si>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</si>
  <si>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</si>
  <si>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</si>
  <si>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</si>
  <si>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</si>
  <si>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</si>
  <si>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</si>
  <si>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</si>
  <si>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</si>
  <si>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</si>
  <si>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</si>
  <si>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</si>
  <si>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</si>
  <si>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</si>
  <si>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</si>
  <si>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</si>
  <si>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</si>
  <si>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</si>
  <si>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</si>
  <si>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</si>
  <si>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</si>
  <si>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</si>
  <si>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</si>
  <si>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</si>
  <si>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</si>
  <si>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</si>
  <si>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</si>
  <si>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</si>
  <si>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</si>
  <si>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</si>
  <si>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</si>
  <si>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</si>
  <si>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</si>
  <si>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</si>
  <si>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</si>
  <si>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</si>
  <si>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</si>
  <si>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</si>
  <si>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</si>
  <si>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</si>
  <si>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</si>
  <si>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</si>
  <si>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</si>
  <si>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</si>
  <si>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</si>
  <si>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</si>
  <si>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</si>
  <si>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</si>
  <si>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</si>
  <si>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</si>
  <si>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</si>
  <si>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</si>
  <si>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</si>
  <si>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</si>
  <si>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</si>
  <si>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</si>
  <si>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</si>
  <si>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</si>
  <si>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</si>
  <si>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</si>
  <si>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</si>
  <si>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</si>
  <si>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</si>
  <si>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</si>
  <si>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</si>
  <si>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</si>
  <si>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</si>
  <si>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</si>
  <si>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</si>
  <si>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</si>
  <si>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</si>
  <si>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</si>
  <si>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</si>
  <si>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</si>
  <si>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</si>
  <si>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</si>
  <si>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</si>
  <si>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</si>
  <si>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</si>
  <si>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</si>
  <si>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</si>
  <si>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</si>
  <si>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</si>
  <si>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</si>
  <si>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</si>
  <si>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</si>
  <si>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</si>
  <si>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</si>
  <si>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</si>
  <si>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</si>
  <si>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</si>
  <si>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</si>
  <si>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</si>
  <si>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</si>
  <si>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</si>
  <si>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</si>
  <si>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</si>
  <si>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</si>
  <si>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</si>
  <si>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</si>
  <si>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</si>
  <si>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</si>
  <si>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</si>
  <si>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</si>
  <si>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</si>
  <si>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</si>
  <si>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</si>
  <si>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</si>
  <si>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</si>
  <si>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</si>
  <si>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</si>
  <si>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</si>
  <si>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</si>
  <si>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</si>
  <si>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</si>
  <si>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</si>
  <si>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</si>
  <si>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</si>
  <si>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</si>
  <si>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</si>
  <si>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</si>
  <si>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</si>
  <si>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</si>
  <si>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</si>
  <si>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</si>
  <si>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</si>
  <si>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</si>
  <si>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</si>
  <si>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</si>
  <si>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</si>
  <si>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</si>
  <si>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</si>
  <si>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</si>
  <si>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</si>
  <si>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</si>
  <si>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</si>
  <si>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</si>
  <si>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</si>
  <si>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</si>
  <si>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</si>
  <si>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</si>
  <si>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</si>
  <si>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</si>
  <si>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</si>
  <si>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</si>
  <si>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</si>
  <si>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</si>
  <si>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</si>
  <si>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</si>
  <si>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</si>
  <si>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</si>
  <si>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</si>
  <si>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</si>
  <si>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</si>
  <si>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</si>
  <si>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</si>
  <si>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</si>
  <si>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</si>
  <si>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</si>
  <si>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</si>
  <si>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</si>
  <si>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</si>
  <si>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</si>
  <si>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</si>
  <si>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</si>
  <si>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</si>
  <si>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</si>
  <si>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</si>
  <si>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</si>
  <si>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</si>
  <si>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</si>
  <si>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</si>
  <si>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</si>
  <si>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</si>
  <si>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</si>
  <si>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</si>
  <si>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</si>
  <si>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</si>
  <si>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</si>
  <si>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</si>
  <si>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</si>
  <si>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</si>
  <si>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</si>
  <si>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</si>
  <si>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</si>
  <si>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</si>
  <si>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</si>
  <si>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</si>
  <si>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</si>
  <si>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</si>
  <si>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</si>
  <si>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</si>
  <si>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</si>
  <si>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</si>
  <si>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</si>
  <si>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</si>
  <si>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</si>
  <si>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</si>
  <si>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</si>
  <si>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</si>
  <si>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</si>
  <si>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</si>
  <si>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</si>
  <si>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</si>
  <si>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</si>
  <si>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</si>
  <si>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</si>
  <si>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</si>
  <si>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</si>
  <si>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</si>
  <si>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</si>
  <si>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</si>
  <si>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</si>
  <si>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</si>
  <si>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</si>
  <si>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</si>
  <si>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</si>
  <si>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</si>
  <si>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</si>
  <si>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</si>
  <si>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</si>
  <si>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</si>
  <si>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</si>
  <si>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</si>
  <si>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</si>
  <si>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</si>
  <si>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</si>
  <si>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</si>
  <si>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</si>
  <si>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</si>
  <si>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</si>
  <si>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</si>
  <si>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</si>
  <si>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</si>
  <si>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</si>
  <si>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</si>
  <si>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</si>
  <si>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</si>
  <si>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</si>
  <si>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</si>
  <si>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</si>
  <si>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</si>
  <si>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</si>
  <si>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</si>
  <si>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</si>
  <si>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</si>
  <si>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</si>
  <si>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</si>
  <si>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</si>
  <si>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</si>
  <si>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</si>
  <si>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</si>
  <si>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</si>
  <si>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</si>
  <si>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</si>
  <si>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</si>
  <si>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</si>
  <si>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</si>
  <si>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</si>
  <si>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</si>
  <si>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</si>
  <si>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</si>
  <si>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</si>
  <si>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</si>
  <si>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</si>
  <si>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</si>
  <si>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</si>
  <si>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</si>
  <si>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</si>
  <si>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</si>
  <si>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</si>
  <si>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</si>
  <si>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</si>
  <si>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</si>
  <si>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</si>
  <si>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</si>
  <si>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</si>
  <si>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</si>
  <si>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</si>
  <si>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</si>
  <si>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</si>
  <si>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</si>
  <si>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</si>
  <si>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</si>
  <si>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</si>
  <si>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</si>
  <si>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</si>
  <si>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</si>
  <si>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</si>
  <si>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</si>
  <si>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</si>
  <si>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</si>
  <si>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</si>
  <si>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</si>
  <si>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</si>
  <si>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</si>
  <si>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</si>
  <si>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</si>
  <si>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</si>
  <si>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</si>
  <si>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</si>
  <si>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</si>
  <si>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</si>
  <si>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</si>
  <si>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</si>
  <si>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</si>
  <si>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</si>
  <si>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</si>
  <si>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</si>
  <si>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</si>
  <si>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</si>
  <si>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</si>
  <si>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</si>
  <si>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</si>
  <si>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</si>
  <si>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</si>
  <si>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</si>
  <si>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</si>
  <si>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</si>
  <si>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</si>
  <si>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</si>
  <si>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</si>
  <si>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</si>
  <si>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</si>
  <si>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</si>
  <si>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</si>
  <si>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</si>
  <si>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</si>
  <si>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</si>
  <si>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</si>
  <si>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</si>
  <si>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</si>
  <si>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</si>
  <si>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</si>
  <si>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</si>
  <si>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</si>
  <si>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</si>
  <si>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</si>
  <si>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</si>
  <si>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</si>
  <si>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</si>
  <si>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</si>
  <si>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</si>
  <si>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</si>
  <si>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</si>
  <si>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</si>
  <si>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</si>
  <si>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</si>
  <si>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</si>
  <si>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</si>
  <si>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</si>
  <si>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</si>
  <si>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</si>
  <si>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</si>
  <si>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</si>
  <si>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</si>
  <si>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</si>
  <si>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</si>
  <si>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</si>
  <si>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</si>
  <si>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</si>
  <si>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</si>
  <si>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</si>
  <si>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</si>
  <si>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</si>
  <si>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</si>
  <si>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</si>
  <si>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</si>
  <si>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</si>
  <si>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</si>
  <si>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</si>
  <si>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</si>
  <si>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</si>
  <si>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</si>
  <si>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</si>
  <si>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</si>
  <si>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</si>
  <si>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</si>
  <si>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</si>
  <si>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</si>
  <si>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</si>
  <si>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</si>
  <si>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</si>
  <si>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</si>
  <si>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</si>
  <si>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</si>
  <si>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</si>
  <si>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</si>
  <si>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</si>
  <si>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</si>
  <si>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</si>
  <si>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</si>
  <si>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</si>
  <si>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</si>
  <si>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</si>
  <si>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</si>
  <si>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</si>
  <si>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</si>
  <si>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</si>
  <si>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</si>
  <si>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</si>
  <si>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</si>
  <si>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</si>
  <si>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</si>
  <si>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</si>
  <si>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</si>
  <si>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</si>
  <si>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</si>
  <si>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</si>
  <si>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</si>
  <si>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</si>
  <si>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</si>
  <si>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</si>
  <si>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</si>
  <si>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</si>
  <si>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</si>
  <si>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</si>
  <si>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</si>
  <si>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</si>
  <si>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</si>
  <si>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</si>
  <si>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</si>
  <si>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</si>
  <si>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</si>
  <si>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</si>
  <si>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</si>
  <si>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</si>
  <si>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</si>
  <si>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</si>
  <si>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</si>
  <si>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</si>
  <si>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</si>
  <si>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</si>
  <si>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</si>
  <si>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</si>
  <si>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</si>
  <si>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</si>
  <si>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</si>
  <si>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</si>
  <si>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</si>
  <si>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</si>
  <si>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</si>
  <si>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</si>
  <si>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</si>
  <si>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</si>
  <si>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</si>
  <si>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</si>
  <si>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</si>
  <si>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</si>
  <si>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</si>
  <si>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</si>
  <si>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</si>
  <si>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</si>
  <si>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</si>
  <si>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</si>
  <si>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</si>
  <si>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</si>
  <si>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</si>
  <si>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</si>
  <si>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</si>
  <si>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</si>
  <si>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</si>
  <si>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</si>
  <si>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</si>
  <si>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</si>
  <si>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</si>
  <si>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</si>
  <si>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</si>
  <si>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</si>
  <si>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</si>
  <si>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</si>
  <si>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</si>
  <si>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</si>
  <si>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</si>
  <si>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</si>
  <si>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</si>
  <si>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</si>
  <si>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</si>
  <si>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</si>
  <si>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</si>
  <si>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</si>
  <si>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</si>
  <si>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</si>
  <si>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</si>
  <si>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</si>
  <si>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</si>
  <si>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</si>
  <si>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</si>
  <si>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</si>
  <si>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</si>
  <si>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</si>
  <si>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</si>
  <si>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</si>
  <si>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</si>
  <si>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</si>
  <si>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</si>
  <si>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</si>
  <si>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</si>
  <si>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</si>
  <si>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</si>
  <si>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</si>
  <si>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</si>
  <si>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</si>
  <si>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</si>
  <si>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</si>
  <si>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</si>
  <si>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</si>
  <si>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</si>
  <si>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</si>
  <si>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</si>
  <si>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</si>
  <si>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</si>
  <si>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</si>
  <si>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</si>
  <si>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</si>
  <si>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</si>
  <si>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</si>
  <si>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</si>
  <si>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</si>
  <si>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</si>
  <si>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</si>
  <si>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</si>
  <si>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</si>
  <si>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</si>
  <si>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</si>
  <si>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</si>
  <si>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</si>
  <si>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</si>
  <si>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</si>
  <si>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</si>
  <si>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</si>
  <si>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</si>
  <si>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</si>
  <si>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</si>
  <si>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</si>
  <si>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</si>
  <si>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</si>
  <si>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</si>
  <si>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</si>
  <si>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</si>
  <si>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</si>
  <si>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</si>
  <si>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</si>
  <si>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</si>
  <si>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</si>
  <si>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</si>
  <si>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</si>
  <si>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</si>
  <si>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</si>
  <si>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</si>
  <si>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</si>
  <si>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</si>
  <si>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</si>
  <si>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</si>
  <si>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</si>
  <si>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</si>
  <si>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</si>
  <si>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</si>
  <si>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</si>
  <si>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</si>
  <si>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</si>
  <si>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</si>
  <si>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</si>
  <si>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</si>
  <si>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</si>
  <si>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</si>
  <si>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</si>
  <si>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</si>
  <si>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</si>
  <si>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</si>
  <si>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</si>
  <si>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</si>
  <si>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</si>
  <si>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</si>
  <si>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</si>
  <si>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</si>
  <si>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</si>
  <si>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</si>
  <si>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</si>
  <si>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</si>
  <si>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</si>
  <si>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</si>
  <si>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</si>
  <si>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</si>
  <si>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</si>
  <si>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</si>
  <si>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</si>
  <si>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</si>
  <si>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</si>
  <si>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</si>
  <si>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</si>
  <si>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</si>
  <si>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</si>
  <si>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</si>
  <si>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</si>
  <si>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</si>
  <si>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</si>
  <si>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</si>
  <si>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</si>
  <si>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</si>
  <si>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</si>
  <si>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</si>
  <si>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</si>
  <si>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</si>
  <si>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</si>
  <si>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</si>
  <si>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</si>
  <si>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</si>
  <si>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</si>
  <si>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</si>
  <si>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</si>
  <si>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</si>
  <si>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</si>
  <si>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</si>
  <si>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</si>
  <si>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</si>
  <si>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</si>
  <si>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</si>
  <si>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</si>
  <si>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</si>
  <si>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</si>
  <si>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</si>
  <si>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</si>
  <si>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</si>
  <si>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</si>
  <si>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</si>
  <si>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</si>
  <si>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</si>
  <si>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</si>
  <si>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</si>
  <si>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</si>
  <si>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</si>
  <si>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</si>
  <si>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</si>
  <si>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</si>
  <si>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</si>
  <si>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</si>
  <si>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</si>
  <si>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</si>
  <si>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</si>
  <si>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</si>
  <si>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</si>
  <si>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</si>
  <si>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</si>
  <si>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</si>
  <si>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</si>
  <si>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</si>
  <si>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</si>
  <si>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</si>
  <si>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</si>
  <si>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</si>
  <si>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</si>
  <si>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</si>
  <si>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</si>
  <si>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</si>
  <si>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</si>
  <si>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</si>
  <si>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</si>
  <si>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</si>
  <si>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</si>
  <si>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</si>
  <si>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</si>
  <si>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</si>
  <si>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</si>
  <si>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</si>
  <si>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</si>
  <si>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</si>
  <si>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</si>
  <si>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</si>
  <si>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</si>
  <si>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</si>
  <si>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</si>
  <si>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</si>
  <si>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</si>
  <si>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</si>
  <si>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</si>
  <si>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</si>
  <si>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</si>
  <si>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</si>
  <si>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</si>
  <si>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</si>
  <si>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</si>
  <si>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</si>
  <si>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</si>
  <si>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</si>
  <si>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</si>
  <si>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</si>
  <si>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</si>
  <si>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</si>
  <si>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</si>
  <si>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</si>
  <si>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</si>
  <si>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</si>
  <si>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</si>
  <si>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</si>
  <si>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</si>
  <si>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</si>
  <si>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</si>
  <si>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</si>
  <si>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</si>
  <si>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</si>
  <si>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</si>
  <si>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</si>
  <si>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</si>
  <si>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</si>
  <si>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</si>
  <si>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</si>
  <si>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</si>
  <si>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</si>
  <si>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</si>
  <si>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</si>
  <si>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</si>
  <si>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</si>
  <si>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</si>
  <si>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</si>
  <si>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</si>
  <si>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</si>
  <si>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</si>
  <si>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</si>
  <si>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</si>
  <si>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</si>
  <si>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</si>
  <si>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</si>
  <si>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</si>
  <si>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</si>
  <si>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</si>
  <si>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</si>
  <si>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</si>
  <si>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</si>
  <si>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</si>
  <si>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</si>
  <si>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</si>
  <si>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</si>
  <si>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</si>
  <si>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</si>
  <si>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</si>
  <si>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</si>
  <si>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</si>
  <si>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</si>
  <si>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</si>
  <si>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</si>
  <si>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</si>
  <si>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</si>
  <si>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</si>
  <si>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</si>
  <si>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</si>
  <si>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</si>
  <si>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</si>
  <si>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</si>
  <si>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</si>
  <si>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</si>
  <si>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</si>
  <si>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</si>
  <si>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</si>
  <si>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</si>
  <si>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</si>
  <si>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</si>
  <si>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</si>
  <si>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</si>
  <si>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</si>
  <si>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</si>
  <si>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</si>
  <si>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</si>
  <si>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</si>
  <si>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</si>
  <si>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</si>
  <si>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</si>
  <si>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</si>
  <si>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</si>
  <si>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</si>
  <si>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</si>
  <si>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</si>
  <si>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</si>
  <si>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</si>
  <si>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</si>
  <si>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</si>
  <si>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</si>
  <si>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</si>
  <si>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</si>
  <si>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</si>
  <si>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</si>
  <si>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</si>
  <si>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</si>
  <si>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</si>
  <si>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</si>
  <si>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</si>
  <si>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</si>
  <si>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</si>
  <si>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</si>
  <si>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</si>
  <si>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</si>
  <si>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</si>
  <si>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</si>
  <si>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</si>
  <si>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</si>
  <si>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</si>
  <si>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</si>
  <si>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</si>
  <si>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</si>
  <si>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</si>
  <si>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</si>
  <si>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</si>
  <si>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</si>
  <si>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</si>
  <si>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</si>
  <si>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</si>
  <si>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</si>
  <si>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</si>
  <si>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</si>
  <si>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</si>
  <si>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</si>
  <si>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</si>
  <si>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</si>
  <si>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</si>
  <si>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</si>
  <si>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</si>
  <si>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</si>
  <si>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</si>
  <si>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</si>
  <si>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</si>
  <si>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</si>
  <si>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</si>
  <si>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</si>
  <si>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</si>
  <si>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</si>
  <si>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</si>
  <si>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</si>
  <si>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</si>
  <si>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</si>
  <si>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</si>
  <si>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</si>
  <si>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</si>
  <si>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</si>
  <si>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</si>
  <si>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</si>
  <si>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</si>
  <si>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</si>
  <si>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</si>
  <si>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</si>
  <si>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</si>
  <si>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</si>
  <si>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</si>
  <si>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</si>
  <si>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</si>
  <si>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</si>
  <si>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</si>
  <si>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</si>
  <si>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</si>
  <si>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</si>
  <si>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</si>
  <si>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</si>
  <si>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</si>
  <si>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</si>
  <si>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</si>
  <si>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</si>
  <si>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</si>
  <si>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</si>
  <si>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</si>
  <si>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</si>
  <si>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</si>
  <si>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</si>
  <si>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</si>
  <si>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</si>
  <si>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</si>
  <si>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</si>
  <si>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</si>
  <si>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</si>
  <si>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</si>
  <si>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</si>
  <si>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</si>
  <si>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</si>
  <si>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</si>
  <si>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</si>
  <si>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</si>
  <si>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</si>
  <si>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</si>
  <si>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</si>
  <si>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</si>
  <si>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</si>
  <si>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</si>
  <si>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</si>
  <si>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</si>
  <si>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</si>
  <si>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</si>
  <si>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</si>
  <si>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</si>
  <si>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</si>
  <si>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</si>
  <si>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</si>
  <si>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</si>
  <si>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</si>
  <si>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</si>
  <si>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</si>
  <si>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</si>
  <si>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</si>
  <si>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</si>
  <si>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</si>
  <si>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</si>
  <si>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</si>
  <si>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</si>
  <si>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</si>
  <si>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</si>
  <si>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</si>
  <si>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</si>
  <si>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</si>
  <si>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</si>
  <si>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</si>
  <si>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</si>
  <si>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</si>
  <si>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</si>
  <si>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</si>
  <si>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</si>
  <si>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</si>
  <si>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</si>
  <si>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</si>
  <si>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</si>
  <si>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</si>
  <si>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</si>
  <si>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</si>
  <si>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</si>
  <si>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</si>
  <si>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</si>
  <si>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</si>
  <si>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</si>
  <si>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</si>
  <si>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</si>
  <si>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</si>
  <si>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</si>
  <si>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</si>
  <si>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</si>
  <si>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</si>
  <si>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</si>
  <si>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</si>
  <si>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</si>
  <si>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</si>
  <si>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</si>
  <si>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</si>
  <si>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</si>
  <si>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</si>
  <si>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</si>
  <si>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</si>
  <si>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</si>
  <si>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</si>
  <si>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</si>
  <si>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</si>
  <si>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</si>
  <si>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</si>
  <si>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</si>
  <si>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</si>
  <si>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</si>
  <si>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</si>
  <si>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</si>
  <si>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</si>
  <si>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</si>
  <si>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</si>
  <si>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</si>
  <si>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</si>
  <si>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</si>
  <si>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</si>
  <si>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</si>
  <si>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</si>
  <si>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</si>
  <si>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</si>
  <si>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</si>
  <si>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</si>
  <si>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</si>
  <si>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</si>
  <si>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</si>
  <si>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</si>
  <si>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</si>
  <si>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</si>
  <si>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</si>
  <si>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</si>
  <si>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</si>
  <si>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</si>
  <si>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</si>
  <si>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</si>
  <si>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</si>
  <si>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</si>
  <si>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</si>
  <si>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</si>
  <si>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</si>
  <si>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</si>
  <si>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</si>
  <si>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</si>
  <si>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</si>
  <si>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</si>
  <si>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</si>
  <si>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</si>
  <si>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</si>
  <si>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</si>
  <si>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</si>
  <si>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</si>
  <si>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</si>
  <si>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</si>
  <si>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</si>
  <si>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</si>
  <si>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</si>
  <si>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</si>
  <si>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</si>
  <si>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</si>
  <si>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</si>
  <si>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</si>
  <si>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</si>
  <si>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</si>
  <si>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</si>
  <si>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</si>
  <si>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</si>
  <si>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</si>
  <si>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</si>
  <si>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</si>
  <si>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</si>
  <si>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</si>
  <si>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</si>
  <si>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</si>
  <si>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</si>
  <si>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</si>
  <si>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</si>
  <si>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</si>
  <si>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</si>
  <si>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</si>
  <si>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</si>
  <si>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</si>
  <si>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</si>
  <si>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</si>
  <si>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</si>
  <si>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</si>
  <si>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</si>
  <si>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</si>
  <si>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</si>
  <si>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</si>
  <si>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</si>
  <si>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</si>
  <si>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</si>
  <si>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</si>
  <si>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</si>
  <si>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</si>
  <si>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</si>
  <si>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</si>
  <si>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</si>
  <si>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</si>
  <si>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</si>
  <si>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</si>
  <si>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</si>
  <si>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</si>
  <si>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</si>
  <si>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</si>
  <si>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</si>
  <si>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</si>
  <si>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</si>
  <si>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</si>
  <si>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</si>
  <si>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</si>
  <si>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</si>
  <si>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</si>
  <si>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</si>
  <si>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</si>
  <si>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</si>
  <si>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</si>
  <si>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</si>
  <si>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</si>
  <si>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</si>
  <si>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</si>
  <si>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</si>
  <si>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</si>
  <si>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</si>
  <si>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</si>
  <si>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</si>
  <si>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</si>
  <si>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</si>
  <si>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</si>
  <si>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</si>
  <si>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</si>
  <si>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</si>
  <si>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</si>
  <si>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</si>
  <si>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</si>
  <si>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</si>
  <si>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</si>
  <si>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</si>
  <si>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</si>
  <si>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</si>
  <si>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</si>
  <si>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</si>
  <si>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</si>
  <si>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</si>
  <si>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</si>
  <si>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</si>
  <si>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</si>
  <si>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</si>
  <si>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</si>
  <si>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</si>
  <si>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</si>
  <si>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</si>
  <si>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</si>
  <si>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</si>
  <si>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</si>
  <si>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</si>
  <si>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</si>
  <si>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</si>
  <si>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</si>
  <si>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</si>
  <si>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</si>
  <si>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</si>
  <si>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</si>
  <si>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</si>
  <si>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</si>
  <si>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</si>
  <si>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</si>
  <si>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</si>
  <si>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</si>
  <si>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</si>
  <si>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</si>
  <si>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</si>
  <si>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</si>
  <si>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</si>
  <si>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</si>
  <si>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</si>
  <si>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</si>
  <si>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</si>
  <si>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</si>
  <si>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</si>
  <si>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</si>
  <si>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</si>
  <si>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</si>
  <si>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</si>
  <si>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</si>
  <si>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</si>
  <si>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</si>
  <si>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</si>
  <si>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</si>
  <si>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</si>
  <si>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</si>
  <si>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</si>
  <si>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</si>
  <si>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</si>
  <si>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</si>
  <si>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</si>
  <si>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</si>
  <si>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</si>
  <si>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</si>
  <si>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</si>
  <si>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</si>
  <si>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</si>
  <si>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</si>
  <si>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</si>
  <si>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</si>
  <si>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</si>
  <si>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</si>
  <si>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</si>
  <si>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</si>
  <si>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</si>
  <si>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</si>
  <si>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</si>
  <si>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</si>
  <si>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</si>
  <si>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</si>
  <si>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</si>
  <si>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</si>
  <si>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</si>
  <si>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</si>
  <si>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</si>
  <si>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</si>
  <si>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</si>
  <si>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</si>
  <si>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</si>
  <si>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</si>
  <si>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</si>
  <si>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</si>
  <si>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</si>
  <si>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</si>
  <si>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</si>
  <si>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</si>
  <si>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</si>
  <si>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</si>
  <si>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</si>
  <si>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</si>
  <si>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</si>
  <si>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</si>
  <si>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</si>
  <si>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</si>
  <si>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</si>
  <si>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</si>
  <si>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</si>
  <si>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</si>
  <si>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</si>
  <si>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</si>
  <si>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</si>
  <si>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</si>
  <si>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</si>
  <si>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</si>
  <si>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</si>
  <si>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</si>
  <si>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</si>
  <si>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</si>
  <si>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</si>
  <si>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</si>
  <si>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</si>
  <si>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</si>
  <si>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</si>
  <si>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</si>
  <si>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</si>
  <si>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</si>
  <si>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</si>
  <si>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</si>
  <si>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</si>
  <si>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</si>
  <si>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</si>
  <si>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</si>
  <si>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</si>
  <si>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</si>
  <si>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</si>
  <si>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</si>
  <si>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</si>
  <si>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</si>
  <si>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</si>
  <si>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</si>
  <si>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</si>
  <si>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</si>
  <si>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</si>
  <si>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</si>
  <si>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</si>
  <si>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</si>
  <si>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</si>
  <si>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</si>
  <si>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</si>
  <si>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</si>
  <si>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</si>
  <si>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</si>
  <si>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</si>
  <si>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</si>
  <si>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</si>
  <si>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</si>
  <si>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</si>
  <si>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</si>
  <si>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</si>
  <si>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</si>
  <si>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</si>
  <si>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</si>
  <si>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</si>
  <si>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</si>
  <si>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</si>
  <si>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</si>
  <si>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</si>
  <si>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</si>
  <si>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</si>
  <si>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</si>
  <si>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</si>
  <si>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</si>
  <si>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</si>
  <si>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</si>
  <si>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</si>
  <si>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</si>
  <si>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</si>
  <si>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</si>
  <si>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</si>
  <si>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</si>
  <si>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</si>
  <si>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</si>
  <si>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</si>
  <si>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</si>
  <si>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</si>
  <si>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</si>
  <si>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</si>
  <si>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</si>
  <si>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</si>
  <si>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</si>
  <si>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</si>
  <si>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</si>
  <si>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</si>
  <si>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</si>
  <si>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</si>
  <si>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</si>
  <si>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</si>
  <si>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</si>
  <si>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</si>
  <si>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</si>
  <si>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</si>
  <si>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</si>
  <si>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</si>
  <si>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</si>
  <si>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</si>
  <si>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</si>
  <si>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</si>
  <si>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</si>
  <si>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</si>
  <si>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</si>
  <si>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</si>
  <si>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</si>
  <si>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</si>
  <si>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</si>
  <si>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</si>
  <si>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</si>
  <si>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</si>
  <si>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</si>
  <si>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</si>
  <si>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</si>
  <si>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</si>
  <si>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</si>
  <si>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</si>
  <si>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</si>
  <si>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</si>
  <si>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</si>
  <si>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</si>
  <si>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</si>
  <si>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</si>
  <si>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</si>
  <si>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</si>
  <si>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</si>
  <si>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</si>
  <si>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</si>
  <si>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</si>
  <si>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</si>
  <si>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</si>
  <si>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</si>
  <si>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</si>
  <si>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</si>
  <si>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</si>
  <si>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</si>
  <si>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</si>
  <si>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</si>
  <si>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</si>
  <si>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</si>
  <si>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</si>
  <si>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</si>
  <si>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</si>
  <si>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</si>
  <si>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</si>
  <si>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</si>
  <si>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</si>
  <si>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</si>
  <si>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</si>
  <si>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</si>
  <si>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</si>
  <si>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</si>
  <si>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</si>
  <si>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</si>
  <si>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</si>
  <si>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</si>
  <si>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</si>
  <si>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</si>
  <si>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</si>
  <si>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</si>
  <si>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</si>
  <si>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</si>
  <si>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</si>
  <si>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</si>
  <si>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</si>
  <si>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</si>
  <si>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</si>
  <si>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</si>
  <si>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</si>
  <si>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</si>
  <si>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</si>
  <si>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</si>
  <si>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</si>
  <si>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</si>
  <si>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</si>
  <si>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</si>
  <si>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</si>
  <si>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</si>
  <si>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</si>
  <si>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</si>
  <si>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</si>
  <si>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</si>
  <si>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</si>
  <si>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</si>
  <si>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</si>
  <si>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</si>
  <si>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</si>
  <si>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</si>
  <si>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</si>
  <si>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</si>
  <si>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</si>
  <si>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</si>
  <si>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</si>
  <si>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</si>
  <si>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</si>
  <si>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</si>
  <si>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</si>
  <si>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</si>
  <si>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</si>
  <si>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</si>
  <si>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</si>
  <si>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</si>
  <si>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</si>
  <si>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</si>
  <si>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</si>
  <si>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</si>
  <si>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</si>
  <si>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</si>
  <si>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</si>
  <si>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</si>
  <si>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</si>
  <si>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</si>
  <si>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</si>
  <si>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</si>
  <si>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</si>
  <si>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</si>
  <si>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</si>
  <si>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</si>
  <si>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</si>
  <si>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</si>
  <si>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</si>
  <si>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</si>
  <si>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</si>
  <si>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</si>
  <si>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</si>
  <si>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</si>
  <si>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</si>
  <si>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</si>
  <si>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</si>
  <si>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</si>
  <si>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</si>
  <si>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</si>
  <si>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</si>
  <si>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</si>
  <si>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</si>
  <si>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</si>
  <si>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</si>
  <si>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</si>
  <si>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</si>
  <si>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</si>
  <si>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</si>
  <si>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</si>
  <si>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</si>
  <si>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</si>
  <si>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</si>
  <si>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</si>
  <si>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</si>
  <si>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</si>
  <si>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</si>
  <si>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</si>
  <si>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</si>
  <si>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</si>
  <si>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</si>
  <si>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</si>
  <si>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</si>
  <si>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</si>
  <si>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</si>
  <si>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</si>
  <si>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</si>
  <si>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</si>
  <si>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</si>
  <si>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</si>
  <si>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</si>
  <si>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</si>
  <si>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</si>
  <si>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</si>
  <si>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</si>
  <si>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</si>
  <si>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</si>
  <si>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</si>
  <si>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</si>
  <si>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</si>
  <si>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</si>
  <si>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</si>
  <si>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</si>
  <si>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</si>
  <si>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</si>
  <si>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</si>
  <si>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</si>
  <si>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</si>
  <si>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</si>
  <si>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</si>
  <si>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</si>
  <si>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</si>
  <si>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</si>
  <si>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</si>
  <si>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</si>
  <si>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</si>
  <si>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</si>
  <si>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</si>
  <si>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</si>
  <si>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</si>
  <si>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</si>
  <si>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</si>
  <si>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</si>
  <si>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</si>
  <si>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</si>
  <si>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</si>
  <si>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</si>
  <si>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</si>
  <si>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</si>
  <si>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</si>
  <si>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</si>
  <si>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</si>
  <si>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</si>
  <si>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</si>
  <si>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</si>
  <si>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</si>
  <si>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</si>
  <si>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</si>
  <si>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</si>
  <si>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</si>
  <si>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</si>
  <si>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</si>
  <si>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</si>
  <si>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</si>
  <si>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</si>
  <si>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</si>
  <si>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</si>
  <si>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</si>
  <si>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</si>
  <si>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</si>
  <si>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</si>
  <si>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</si>
  <si>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</si>
  <si>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</si>
  <si>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</si>
  <si>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</si>
  <si>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</si>
  <si>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</si>
  <si>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</si>
  <si>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</si>
  <si>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</si>
  <si>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</si>
  <si>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</si>
  <si>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</si>
  <si>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</si>
  <si>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</si>
  <si>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</si>
  <si>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</si>
  <si>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</si>
  <si>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</si>
  <si>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</si>
  <si>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</si>
  <si>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</si>
  <si>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</si>
  <si>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</si>
  <si>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</si>
  <si>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</si>
  <si>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</si>
  <si>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</si>
  <si>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</si>
  <si>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</si>
  <si>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</si>
  <si>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</si>
  <si>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</si>
  <si>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</si>
  <si>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</si>
  <si>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</si>
  <si>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</si>
  <si>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</si>
  <si>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</si>
  <si>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</si>
  <si>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</si>
  <si>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</si>
  <si>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</si>
  <si>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</si>
  <si>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</si>
  <si>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</si>
  <si>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</si>
  <si>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</si>
  <si>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</si>
  <si>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</si>
  <si>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</si>
  <si>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</si>
  <si>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</si>
  <si>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</si>
  <si>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</si>
  <si>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</si>
  <si>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</si>
  <si>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</si>
  <si>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</si>
  <si>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</si>
  <si>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</si>
  <si>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</si>
  <si>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</si>
  <si>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</si>
  <si>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</si>
  <si>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</si>
  <si>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</si>
  <si>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</si>
  <si>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</si>
  <si>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</si>
  <si>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</si>
  <si>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</si>
  <si>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</si>
  <si>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</si>
  <si>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</si>
  <si>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</si>
  <si>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</si>
  <si>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</si>
  <si>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</si>
  <si>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</si>
  <si>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</si>
  <si>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</si>
  <si>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</si>
  <si>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</si>
  <si>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</si>
  <si>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</si>
  <si>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</si>
  <si>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</si>
  <si>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</si>
  <si>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</si>
  <si>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</si>
  <si>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</si>
  <si>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</si>
  <si>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</si>
  <si>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</si>
  <si>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</si>
  <si>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</si>
  <si>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</si>
  <si>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</si>
  <si>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</si>
  <si>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</si>
  <si>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</si>
  <si>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</si>
  <si>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</si>
  <si>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</si>
  <si>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</si>
  <si>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</si>
  <si>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</si>
  <si>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</si>
  <si>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</si>
  <si>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</si>
  <si>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</si>
  <si>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</si>
  <si>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</si>
  <si>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</si>
  <si>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</si>
  <si>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</si>
  <si>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</si>
  <si>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</si>
  <si>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</si>
  <si>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</si>
  <si>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</si>
  <si>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</si>
  <si>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</si>
  <si>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</si>
  <si>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</si>
  <si>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</si>
  <si>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</si>
  <si>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</si>
  <si>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</si>
  <si>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</si>
  <si>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</si>
  <si>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</si>
  <si>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</si>
  <si>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</si>
  <si>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</si>
  <si>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</si>
  <si>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</si>
  <si>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</si>
  <si>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</si>
  <si>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</si>
  <si>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</si>
  <si>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</si>
  <si>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</si>
  <si>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</si>
  <si>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</si>
  <si>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</si>
  <si>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</si>
  <si>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</si>
  <si>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</si>
  <si>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</si>
  <si>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</si>
  <si>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</si>
  <si>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</si>
  <si>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</si>
  <si>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</si>
  <si>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</si>
  <si>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</si>
  <si>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</si>
  <si>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</si>
  <si>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</si>
  <si>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</si>
  <si>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</si>
  <si>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</si>
  <si>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</si>
  <si>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</si>
  <si>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</si>
  <si>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</si>
  <si>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</si>
  <si>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</si>
  <si>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</si>
  <si>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</si>
  <si>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</si>
  <si>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</si>
  <si>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</si>
  <si>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</si>
  <si>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</si>
  <si>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</si>
  <si>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</si>
  <si>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</si>
  <si>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</si>
  <si>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</si>
  <si>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</si>
  <si>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</si>
  <si>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</si>
  <si>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</si>
  <si>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</si>
  <si>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</si>
  <si>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</si>
  <si>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</si>
  <si>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</si>
  <si>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</si>
  <si>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</si>
  <si>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</si>
  <si>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</si>
  <si>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</si>
  <si>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</si>
  <si>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</si>
  <si>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</si>
  <si>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</si>
  <si>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</si>
  <si>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</si>
  <si>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</si>
  <si>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</si>
  <si>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</si>
  <si>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</si>
  <si>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</si>
  <si>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</si>
  <si>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</si>
  <si>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</si>
  <si>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</si>
  <si>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</si>
  <si>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</si>
  <si>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</si>
  <si>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</si>
  <si>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</si>
  <si>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</si>
  <si>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</si>
  <si>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</si>
  <si>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</si>
  <si>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</si>
  <si>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</si>
  <si>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</si>
  <si>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</si>
  <si>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</si>
  <si>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</si>
  <si>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</si>
  <si>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</si>
  <si>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</si>
  <si>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</si>
  <si>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</si>
  <si>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</si>
  <si>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</si>
  <si>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</si>
  <si>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</si>
  <si>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</si>
  <si>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</si>
  <si>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</si>
  <si>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</si>
  <si>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</si>
  <si>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</si>
  <si>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</si>
  <si>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</si>
  <si>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</si>
  <si>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</si>
  <si>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</si>
  <si>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</si>
  <si>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</si>
  <si>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</si>
  <si>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</si>
  <si>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</si>
  <si>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</si>
  <si>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</si>
  <si>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</si>
  <si>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</si>
  <si>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</si>
  <si>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</si>
  <si>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</si>
  <si>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</si>
  <si>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</si>
  <si>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</si>
  <si>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</si>
  <si>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</si>
  <si>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</si>
  <si>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</si>
  <si>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</si>
  <si>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</si>
  <si>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</si>
  <si>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</si>
  <si>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</si>
  <si>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</si>
  <si>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</si>
  <si>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</si>
  <si>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</si>
  <si>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</si>
  <si>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</si>
  <si>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</si>
  <si>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</si>
  <si>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</si>
  <si>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</si>
  <si>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</si>
  <si>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</si>
  <si>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</si>
  <si>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</si>
  <si>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</si>
  <si>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</si>
  <si>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</si>
  <si>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</si>
  <si>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</si>
  <si>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</si>
  <si>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</si>
  <si>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</si>
  <si>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</si>
  <si>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</si>
  <si>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</si>
  <si>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</si>
  <si>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</si>
  <si>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</si>
  <si>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</si>
  <si>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</si>
  <si>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</si>
  <si>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</si>
  <si>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</si>
  <si>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</si>
  <si>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</si>
  <si>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</si>
  <si>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</si>
  <si>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</si>
  <si>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</si>
  <si>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</si>
  <si>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</si>
  <si>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</si>
  <si>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</si>
  <si>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</si>
  <si>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</si>
  <si>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</si>
  <si>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</si>
  <si>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</si>
  <si>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</si>
  <si>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</si>
  <si>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</si>
  <si>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</si>
  <si>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</si>
  <si>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</si>
  <si>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</si>
  <si>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</si>
  <si>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</si>
  <si>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</si>
  <si>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</si>
  <si>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</si>
  <si>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</si>
  <si>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</si>
  <si>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</si>
  <si>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</si>
  <si>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</si>
  <si>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</si>
  <si>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</si>
  <si>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</si>
  <si>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</si>
  <si>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</si>
  <si>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</si>
  <si>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</si>
  <si>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</si>
  <si>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</si>
  <si>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</si>
  <si>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</si>
  <si>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</si>
  <si>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</si>
  <si>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</si>
  <si>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</si>
  <si>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</si>
  <si>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</si>
  <si>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</si>
  <si>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</si>
  <si>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</si>
  <si>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</si>
  <si>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</si>
  <si>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</si>
  <si>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</si>
  <si>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</si>
  <si>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</si>
  <si>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</si>
  <si>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</si>
  <si>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</si>
  <si>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</si>
  <si>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</si>
  <si>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</si>
  <si>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</si>
  <si>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</si>
  <si>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</si>
  <si>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</si>
  <si>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</si>
  <si>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</si>
  <si>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</si>
  <si>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</si>
  <si>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</si>
  <si>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</si>
  <si>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</si>
  <si>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</si>
  <si>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</si>
  <si>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</si>
  <si>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</si>
  <si>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</si>
  <si>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</si>
  <si>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</si>
  <si>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</si>
  <si>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</si>
  <si>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</si>
  <si>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</si>
  <si>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</si>
  <si>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</si>
  <si>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</si>
  <si>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</si>
  <si>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</si>
  <si>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</si>
  <si>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</si>
  <si>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</si>
  <si>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</si>
  <si>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</si>
  <si>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</si>
  <si>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</si>
  <si>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</si>
  <si>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</si>
  <si>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</si>
  <si>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</si>
  <si>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</si>
  <si>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</si>
  <si>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</si>
  <si>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</si>
  <si>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</si>
  <si>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</si>
  <si>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</si>
  <si>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</si>
  <si>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</si>
  <si>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</si>
  <si>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</si>
  <si>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</si>
  <si>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</si>
  <si>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</si>
  <si>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</si>
  <si>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</si>
  <si>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</si>
  <si>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</si>
  <si>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</si>
  <si>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</si>
  <si>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</si>
  <si>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</si>
  <si>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</si>
  <si>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</si>
  <si>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</si>
  <si>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</si>
  <si>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</si>
  <si>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</si>
  <si>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</si>
  <si>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</si>
  <si>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</si>
  <si>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</si>
  <si>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</si>
  <si>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</si>
  <si>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</si>
  <si>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</si>
  <si>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</si>
  <si>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</si>
  <si>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</si>
  <si>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</si>
  <si>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</si>
  <si>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</si>
  <si>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</si>
  <si>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</si>
  <si>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</si>
  <si>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</si>
  <si>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</si>
  <si>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</si>
  <si>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</si>
  <si>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</si>
  <si>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</si>
  <si>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</si>
  <si>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</si>
  <si>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</si>
  <si>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</si>
  <si>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</si>
  <si>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</si>
  <si>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</si>
  <si>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</si>
  <si>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</si>
  <si>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</si>
  <si>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</si>
  <si>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</si>
  <si>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</si>
  <si>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</si>
  <si>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</si>
  <si>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</si>
  <si>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</si>
  <si>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</si>
  <si>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</si>
  <si>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</si>
  <si>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</si>
  <si>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</si>
  <si>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</si>
  <si>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</si>
  <si>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</si>
  <si>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</si>
  <si>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</si>
  <si>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</si>
  <si>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</si>
  <si>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</si>
  <si>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</si>
  <si>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</si>
  <si>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</si>
  <si>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</si>
  <si>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</si>
  <si>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</si>
  <si>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</si>
  <si>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</si>
  <si>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</si>
  <si>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</si>
  <si>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</si>
  <si>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</si>
  <si>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</si>
  <si>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</si>
  <si>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</si>
  <si>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</si>
  <si>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</si>
  <si>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</si>
  <si>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</si>
  <si>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</si>
  <si>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</si>
  <si>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</si>
  <si>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</si>
  <si>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</si>
  <si>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</si>
  <si>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</si>
  <si>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</si>
  <si>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</si>
  <si>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</si>
  <si>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</si>
  <si>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2020PA-070</t>
  </si>
  <si>
    <t>Main Street Homes, LLC</t>
  </si>
  <si>
    <t>6825 Halcyon Park Drive</t>
  </si>
  <si>
    <t>jrice@guilifordcompanies.com</t>
  </si>
  <si>
    <t>Principle</t>
  </si>
  <si>
    <t>C. Jeffrey Rice</t>
  </si>
  <si>
    <t>Terry M. Grimes</t>
  </si>
  <si>
    <t>Assistant to Jeff Rice</t>
  </si>
  <si>
    <t>tgrimes@guilfordcompanies.com</t>
  </si>
  <si>
    <t>N/a</t>
  </si>
  <si>
    <t>Brennan Place</t>
  </si>
  <si>
    <t>Boxwood Heights</t>
  </si>
  <si>
    <t>Direct</t>
  </si>
  <si>
    <t>XIII. ADDITIONAL PROJECT INFORMATION: Section B, new properties: Owner is willing to forgo the Qualified Contract "cancellation option" after the close of the compliance period.</t>
  </si>
  <si>
    <t>For Profit</t>
  </si>
  <si>
    <t>Manager</t>
  </si>
  <si>
    <t>Affordable Equity Partners, Inc</t>
  </si>
  <si>
    <t>206 Peach Way</t>
  </si>
  <si>
    <t>www.aepartners.com</t>
  </si>
  <si>
    <t>Brian Kimes</t>
  </si>
  <si>
    <t>Vice President</t>
  </si>
  <si>
    <t>bkimes@aepartners.com</t>
  </si>
  <si>
    <t>ww.aepartners.com</t>
  </si>
  <si>
    <t>Fairway Construction Company, Inc</t>
  </si>
  <si>
    <t>tstanley@fairwayconstruction.net</t>
  </si>
  <si>
    <t>Will Markel</t>
  </si>
  <si>
    <t>Executive Vice President</t>
  </si>
  <si>
    <t>www.fairwayconstruction.net</t>
  </si>
  <si>
    <t>Ryan Stevens</t>
  </si>
  <si>
    <t>Director of Operations</t>
  </si>
  <si>
    <t>rstevens@fairwaymanagement.com</t>
  </si>
  <si>
    <t>www.fairwaymanagement.com</t>
  </si>
  <si>
    <t>Fairway Management Co., Inc</t>
  </si>
  <si>
    <t>3290 Northside Parkway, Suite 300</t>
  </si>
  <si>
    <t>Coleman Talley</t>
  </si>
  <si>
    <t>109 S Ashley Street</t>
  </si>
  <si>
    <t>www.colemantalley.com</t>
  </si>
  <si>
    <t>Greg Clark</t>
  </si>
  <si>
    <t>Partner</t>
  </si>
  <si>
    <t>greg.clark@colemantalley.com</t>
  </si>
  <si>
    <t>Howe &amp; Associates</t>
  </si>
  <si>
    <t>104 E Broadway</t>
  </si>
  <si>
    <t>Bill Howe</t>
  </si>
  <si>
    <t>The Federal and State Syndicator and the General Contractor are related parties.</t>
  </si>
  <si>
    <t>The Federal and State Syndicator and the Management Company are related parties.</t>
  </si>
  <si>
    <t>Syndicator and Management Company</t>
  </si>
  <si>
    <t>Sterling Bank</t>
  </si>
  <si>
    <t>GP &amp; LP Equity</t>
  </si>
  <si>
    <t>Affordable Equity Partner, Inc</t>
  </si>
  <si>
    <t>DDA/QCT</t>
  </si>
  <si>
    <t>Please see Tab 01 for documentation of Local Government Fees (water tap, sewer tap, permits, impact fees).</t>
  </si>
  <si>
    <t>Electric Heat Pump</t>
  </si>
  <si>
    <t>The Housing Authority of Columbus, Georgia</t>
  </si>
  <si>
    <t>MF</t>
  </si>
  <si>
    <t>Applicant has used the utility allowances from The Housing Authority of Columbus, Georgia for Multi-Family unit types. The utility allowances used were in effect as of January 1, 2020.</t>
  </si>
  <si>
    <t>The project's total cost is below the cost limits for the Columbus Cost Limit area.</t>
  </si>
  <si>
    <t>Agree</t>
  </si>
  <si>
    <t>N/ap</t>
  </si>
  <si>
    <t>N/Ap</t>
  </si>
  <si>
    <t>Applicant certifies that they will include the number and kinds of services required in the QAP for the proposed tenancy.</t>
  </si>
  <si>
    <t>There is not an identity of interest between the buyer and seller. An appraisal is not included in the application.</t>
  </si>
  <si>
    <t>Geotechnical &amp; Environmental Consultants, Inc.</t>
  </si>
  <si>
    <t>Pleas see tab 7 for the Phase 1 Assessment. The Applicant has not requested HOME Funds.</t>
  </si>
  <si>
    <t>Purchase Contract</t>
  </si>
  <si>
    <t>The site is legally accessible by paved roads and documentation reflecting this is included in the application. Documentation reflecting such paved roads is included in Tab 9 of the application.</t>
  </si>
  <si>
    <t>Georgia Power Company</t>
  </si>
  <si>
    <t>Columbus Water Works</t>
  </si>
  <si>
    <t>Yes - W&amp;D hookups installed in each unit</t>
  </si>
  <si>
    <t>W&amp;D installed in each unit</t>
  </si>
  <si>
    <t>Applicant agrees to provide the required site amenities.</t>
  </si>
  <si>
    <t>N/A, the project is new construction.</t>
  </si>
  <si>
    <t>The Concept Site Development Plan has been prepared in accordance with all instructions set forth in the DCA Submission Requirement Manual and Qualified Allocation Plan. Please see Tab 15 for the Conceptual Site Development Plan, location and vicinity maps, ground level color photos of the site and surrounding structures with key and aerial showing site boundary and adjacent land uses.</t>
  </si>
  <si>
    <t>Applicant agrees that the project will comply with Georgia State Minimum Standard Energy Code in effect at the time of permit issuance. The Applicant will obtain a sustainable building certificate from Earth Craft House Multifamily. Please see tab 16 for the sustainability worksheet.</t>
  </si>
  <si>
    <t>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t>
  </si>
  <si>
    <t>The Applicant agrees to prepare and submit an AFFH Marketing Plan if selected.</t>
  </si>
  <si>
    <t>The Applicant believes the project as proposed is an optimal utilization of DCA resources.</t>
  </si>
  <si>
    <t>Columbus METRA Transit System</t>
  </si>
  <si>
    <t>metrainfo@columbusga.org</t>
  </si>
  <si>
    <t>monthly</t>
  </si>
  <si>
    <t>Wellness and preventive halth care education and information</t>
  </si>
  <si>
    <t>Basic screening for diseases such as high blood presure or diabetes</t>
  </si>
  <si>
    <t>Biometric screening</t>
  </si>
  <si>
    <t>Project is not a phased development.</t>
  </si>
  <si>
    <t>https://www.columbusga.gov/Portals/metra/pdfs/Route01.pdf</t>
  </si>
  <si>
    <t>The proposed project is within 0.25 miles (actual distance is 0.1 miles from pedestrian site entrance) of a bus top along route 1of the City of Columbus METRA transit system, The stop is located at 1872 Midtown Dr Road, Columbus, GA 31903. Applicant is elligible for three points in this section.</t>
  </si>
  <si>
    <t>See below</t>
  </si>
  <si>
    <t>City Limits</t>
  </si>
  <si>
    <t>Midtown Loop</t>
  </si>
  <si>
    <t>2 Midtown Loop</t>
  </si>
  <si>
    <t>B.H. "Skip" Henderson</t>
  </si>
  <si>
    <t>City of Columbus</t>
  </si>
  <si>
    <t>Mayor</t>
  </si>
  <si>
    <t>www.columbusga.gov</t>
  </si>
  <si>
    <t>SkipHenderson@columbusga.org</t>
  </si>
  <si>
    <t>100 10th Street, 6th Floor</t>
  </si>
  <si>
    <t>3+ Story Elevator</t>
  </si>
  <si>
    <t>Misc Administrative</t>
  </si>
  <si>
    <t>Cable TV / Internet</t>
  </si>
  <si>
    <t>Applicant has units without rental assistance and commits to accept Section811 PBRA or other DCA-sponsored RA for 10% of the total restricted units for the purpose of providing integrated supportive housing opportunities to persons with disabilities and is prepared to accept the full utilzation by DCA of 10% of the units. Applicant is not prevented from adopting and implementing either of the criteria listed below due to program regulations.</t>
  </si>
  <si>
    <t>Room</t>
  </si>
  <si>
    <t>Covered Porch</t>
  </si>
  <si>
    <t>Please see Tab 8 for evidence of site control through December 31, 2020.</t>
  </si>
  <si>
    <t>Rosemann &amp; Associates, P.C.</t>
  </si>
  <si>
    <t>1526 Grand Boulevard</t>
  </si>
  <si>
    <t>Kansas City</t>
  </si>
  <si>
    <t>Donald E. Rosemann</t>
  </si>
  <si>
    <t>drosemann@rosemann.com</t>
  </si>
  <si>
    <t>Jennifer J. Foster, LLC &amp; Jennifer Leigh Jordan Foster</t>
  </si>
  <si>
    <t>Boxwood Heights Columbus, LP</t>
  </si>
  <si>
    <t>D.L. Jordan, Jennifer Leigh Foster</t>
  </si>
  <si>
    <t>2145 Springdale Drive</t>
  </si>
  <si>
    <t>Columbus Boxwood GP, LLC</t>
  </si>
  <si>
    <t>Please see Tab 01 for the Construction Debt Commitment from Sterling Bank.</t>
  </si>
  <si>
    <t>Personal property taxes</t>
  </si>
  <si>
    <t>Please see Tab 1 in the application for documentation of real estate taxes and insurance calculations.</t>
  </si>
  <si>
    <t>The Applicant is targeting a senior tenancy for the project.</t>
  </si>
  <si>
    <t>Novogradac &amp; Company, LLP</t>
  </si>
  <si>
    <t>2019-043</t>
  </si>
  <si>
    <t>Mill Village</t>
  </si>
  <si>
    <t>2018-080</t>
  </si>
  <si>
    <t>Highlands at Kayne Blvd</t>
  </si>
  <si>
    <t>2017-049</t>
  </si>
  <si>
    <t>Highland Terrace</t>
  </si>
  <si>
    <t>2017-004</t>
  </si>
  <si>
    <t>Claffin School</t>
  </si>
  <si>
    <t>2013-039</t>
  </si>
  <si>
    <t>Waverly Terrace Senior</t>
  </si>
  <si>
    <t>2004-046</t>
  </si>
  <si>
    <t>Peabody Redevelopment Partnership</t>
  </si>
  <si>
    <t>Please see Tab 5 for the Market Study. The LIHTC comprables are experiencing a weighted average vacancy rate of only 3.2%. Additionally, all five of the LIHTC comparables maintain waiting lists, from which their existing vacancies are expected to be leased.
Additional DCA funded properties in the primary market area include 2006-042 Ashley Station Phase II, 2014-015 BTW-Chapman 2, 2007-025 Arbor Pointe, 2008-074 Arbor Pointe II, 2010-025 Arbor Pointe III, 2013-019 BTW-Chapman 2, 2001-084 Windsor Lake Senior and 2000-055 Springfield Crossing.</t>
  </si>
  <si>
    <t>The applicant is eligible for the maximum ten (10) total Desirable Activities points. The proposed site is within a 0.5 mile of a community playground, Ross Dress for Less, Columbus Aquatic Center and  Chattachoochee Valley Library. The proposed site is also within 1.5 miles of McDonalds, Citzens Trust Bank, Publix, St. Francis Urgent Care, Post Office, St. Anne Catholic Church, Walgreens and Rigdon Elementary. There are no undesirables. Please see Tab 28 of the Applcation for the Desirable/Undesirable form and additional information regarding the desirable activities.</t>
  </si>
  <si>
    <t>Healthy Eating Program</t>
  </si>
  <si>
    <t>Healthy Lifestyle Program</t>
  </si>
  <si>
    <t>Ongoing online content</t>
  </si>
  <si>
    <t>Weight management</t>
  </si>
  <si>
    <t>Food preparation and cooking demonstrations in the on-site community room and kitchen</t>
  </si>
  <si>
    <t xml:space="preserve">Healthy activity implementation encouraging residents to make use of the on-site fitness center </t>
  </si>
  <si>
    <t>Fairway Management presents content via the lifestyle section of its website: www.fairwaymanagement.com/lifestyle</t>
  </si>
  <si>
    <t xml:space="preserve">Healthy eating encouraging use of community gardens </t>
  </si>
  <si>
    <t>The proposed development site is not within a 1-mile buffer (flex pool-specific buffer) of any 9% Credit development and is therefore eligible for three (3) Previous Project points.</t>
  </si>
  <si>
    <t>Page 2</t>
  </si>
  <si>
    <t>Pages 14 - 15, 17 - 19</t>
  </si>
  <si>
    <t xml:space="preserve">Page 30 </t>
  </si>
  <si>
    <t>Page 31, 49 - 53, 57, 62</t>
  </si>
  <si>
    <t>Pages 7 - 8, 126 - 128</t>
  </si>
  <si>
    <t>Government</t>
  </si>
  <si>
    <t>City of Columbus, GA</t>
  </si>
  <si>
    <t xml:space="preserve">This capital infrastructure investment will provide residents of Boxwood Heights with a safe and easy connection to the surrounding areas and amenities. </t>
  </si>
  <si>
    <t xml:space="preserve">The Redevelopment Plan envisions improved connectivity within the city of Columbus as well as provide opportunities for commercial revitalization and support future infill.  </t>
  </si>
  <si>
    <t xml:space="preserve">The funding for the Bowood Blvd. bridge replacement was provided through proceeds from the local Tax allocation District funds. </t>
  </si>
  <si>
    <t>Applicant believes that the proposed project is feasible, viable and in conformance with the plan. The overall development and construction costs are considered reasonable and were evaluated by an experienced General Contractor and Engineer. Residential Square Footage: 1BR = 700 SF; 2BR = 900 SF</t>
  </si>
  <si>
    <t>6 months</t>
  </si>
  <si>
    <t xml:space="preserve">Applicant is claiming 5 points as the property is located within target area for the MidTown Columbus Redevelopment Plan.  Please see the Redevelopment Plan located in Tab 31 of the Application. The MidTown Columbus Redevelopment Plan, sanctioned by the Columbus Georgia Consolidated Government meets the guidelines and requirements for Redevelopment Plans per the QAP.  The proposed site for Boxwood Heights is located within a 2020 QCT, as shown on a map in Tab 31. In August of 2018, the city of Columbus completed the replacement of the Boxwood Blvd. bridge at a cost of $996,853, representing over 10% of the the TDC and eligibility for an additional 2 points for the Third Party Capital Investment. Information on this 3rd Party Capital Investment can be found in Tab 31. </t>
  </si>
  <si>
    <t>I. APPLICATION COMPLETENESS: The applicant believes the proposed application is complete fully and does not anticipate any deductions in this scoring category.
II. DEEPER TARGETING / RENT / INCOME RESTRICTIONS: The proposed application has an overall property area median income less than 58% and is eligible for two (2) Deeper Targeting points.
IX. STABLE COMMUNITIES; The Applicant is not eligible for points in this category.
X. MIXED INCOME DEVELOPMENT: The Applicant will make the Income Averaging set-aside election and does not include any market rate units.
XII. EXTENDED AFFORDABILITY COMMITMENT: The Owner is willing to forgo the Qualified Contract “cancellation option” after the close of the Compliance period. The Owner commits to provide a right of first of refusal to a nonprofit organization or a local housing authority in accordance with DCA requirements.
XVIII: COMPLIANCE / PERFORMANCE: The applicant has acquired exceptional compliance history and does not anticipate any deductions in this scoring category. Please see Tab 19 in this application for the Qualification Determination.</t>
  </si>
  <si>
    <t>Assess future disease risk factors such as high cholesterol and obesity through BMI calculations</t>
  </si>
  <si>
    <t xml:space="preserve">The Applicant has indicated it will provide Preventive Health Care Services to its residents and will perform monthly biometric screenings and health and wellness education to the residents.  The screenings will be offered at no cost to the residents.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The cost for Preventive Healthcare and Healthy Eating Initiative can be found in the Revenues and Expenses Tab. </t>
  </si>
  <si>
    <t xml:space="preserve">Boxwood Heights is a proposed all new construction Senior 55+ community located on Boxwood Place in Columbus, Muscogee County. The development plan is for a four story, elevator serviced building with amenities such as a business center, exercise room, management office, and a library. 
The development will increase access to affordable housing for family households in Columbus, and will achieve a number of valuable goals and benefits for the surrounding community. 
Unit amenities will include Energy Star appliances in the kitchen, including range, refrigerator, dishwasher, and microwave. Additional amenities will include carpet in bedrooms and living areas, vinyl flooring in the kitchen and bath areas; washer/dryer sets, mini-blinds, and central heating and air. Community amenities will include the above mentioned as well as a picnic area and other outdoor gathering spaces. 
Boxwood Heights is within 1.5 miles of a number of positive, desirable activities and sites including pharmacies, churches, post office, restaurants, retail stores, and food stores.
With more than 25 years of experience, Main Street Homes, LLC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t>
  </si>
  <si>
    <t>Zeffert &amp; Associates</t>
  </si>
  <si>
    <t>65 - 71</t>
  </si>
  <si>
    <t xml:space="preserve">The applicant has received verification of water and sewer services from Columbus Water Works.  Please see documenation in Tab 12. </t>
  </si>
  <si>
    <t xml:space="preserve">The applicant has received verification of operating utilities from Georgia Power Company.  Please see documentation in Tab 11.  </t>
  </si>
  <si>
    <t xml:space="preserve">Please see Tab 19 for the Qualification Determination.  The Project Team has been deemed to be "Qualified" and is approved for experience/compliance performance but as it relates to capaticty only approved for new construction.  The proposed development will be new construction. </t>
  </si>
  <si>
    <t xml:space="preserve">TMMB Consulting, LLC </t>
  </si>
  <si>
    <t>2020-067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</si>
</sst>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16" fontId="42" fillId="10" borderId="78" xfId="0" applyNumberFormat="1" applyFont="1" applyFill="1" applyBorder="1" applyAlignment="1" applyProtection="1">
      <alignment horizontal="left"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Boxwood Heights</v>
      </c>
    </row>
    <row r="3" spans="1:6" ht="15" customHeight="1">
      <c r="A3" s="830" t="str">
        <f>CONCATENATE('Part I-Project Information'!F38,", ", 'Part I-Project Information'!J39," County")</f>
        <v>Columbus, Muscogee County</v>
      </c>
    </row>
    <row r="4" spans="1:6" ht="12" customHeight="1">
      <c r="A4" s="1350"/>
    </row>
    <row r="5" spans="1:6" ht="72" customHeight="1">
      <c r="A5" s="2400" t="s">
        <v>7143</v>
      </c>
      <c r="B5" s="2401" t="s">
        <v>4458</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ic4cDb0Xb0Xef8hkSNWpV1TKnsmYtfEi94Cym13qjx7nB7IscPq4Yi2k+eNlKVyC3YUnj0Ihyi3p4mXz47ahg==" saltValue="haGhpKe6vgSusIxfghTvl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90" zoomScaleNormal="90" workbookViewId="0">
      <selection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2020-067 Boxwood Heights, Columbus, Muscogee County</v>
      </c>
      <c r="B1" s="1748"/>
      <c r="C1" s="1748"/>
      <c r="D1" s="1748"/>
      <c r="E1" s="1748"/>
      <c r="F1" s="1748"/>
      <c r="G1" s="1748"/>
      <c r="H1" s="1748"/>
      <c r="I1" s="1750"/>
      <c r="J1" s="1748"/>
      <c r="K1" s="1748"/>
      <c r="L1" s="1748"/>
      <c r="M1" s="1748"/>
      <c r="N1" s="1748"/>
      <c r="O1" s="1748"/>
      <c r="P1" s="1748"/>
      <c r="Q1" s="1749"/>
      <c r="T1" s="1746" t="str">
        <f>A1</f>
        <v>PART SIX - PROJECTED REVENUES &amp; EXPENSES  -  2020-067 Boxwood Heights, Columbus, Muscogee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3435</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3520</v>
      </c>
      <c r="R4" s="2374"/>
      <c r="S4" s="413"/>
      <c r="T4" s="413"/>
      <c r="U4" s="413"/>
      <c r="W4" s="414"/>
      <c r="X4" s="2657" t="s">
        <v>4124</v>
      </c>
      <c r="Y4" s="2657" t="s">
        <v>4125</v>
      </c>
      <c r="Z4" s="2657" t="s">
        <v>4126</v>
      </c>
      <c r="AA4" s="2657" t="s">
        <v>4127</v>
      </c>
      <c r="AB4" s="2657" t="s">
        <v>4128</v>
      </c>
      <c r="AC4" s="2657" t="s">
        <v>4129</v>
      </c>
      <c r="AD4" s="2657" t="s">
        <v>4130</v>
      </c>
      <c r="AE4" s="2657" t="s">
        <v>4131</v>
      </c>
      <c r="AF4" s="2657" t="s">
        <v>4132</v>
      </c>
      <c r="AG4" s="2657" t="s">
        <v>4133</v>
      </c>
      <c r="AH4" s="2657" t="s">
        <v>898</v>
      </c>
      <c r="AI4" s="2657" t="s">
        <v>738</v>
      </c>
      <c r="AJ4" s="2657" t="s">
        <v>739</v>
      </c>
      <c r="AK4" s="2657" t="s">
        <v>740</v>
      </c>
      <c r="AL4" s="2657" t="s">
        <v>741</v>
      </c>
      <c r="AM4" s="2657" t="s">
        <v>899</v>
      </c>
      <c r="AN4" s="2657" t="s">
        <v>2250</v>
      </c>
      <c r="AO4" s="2657" t="s">
        <v>2251</v>
      </c>
      <c r="AP4" s="2657" t="s">
        <v>2252</v>
      </c>
      <c r="AQ4" s="2657" t="s">
        <v>2253</v>
      </c>
      <c r="AR4" s="2657" t="s">
        <v>4135</v>
      </c>
      <c r="AS4" s="2657" t="s">
        <v>4136</v>
      </c>
      <c r="AT4" s="2657" t="s">
        <v>4137</v>
      </c>
      <c r="AU4" s="2657" t="s">
        <v>4138</v>
      </c>
      <c r="AV4" s="2657" t="s">
        <v>4134</v>
      </c>
      <c r="AW4" s="2657" t="s">
        <v>900</v>
      </c>
      <c r="AX4" s="2657" t="s">
        <v>2254</v>
      </c>
      <c r="AY4" s="2657" t="s">
        <v>2255</v>
      </c>
      <c r="AZ4" s="2657" t="s">
        <v>2256</v>
      </c>
      <c r="BA4" s="2657" t="s">
        <v>2257</v>
      </c>
      <c r="BB4" s="2657" t="s">
        <v>4139</v>
      </c>
      <c r="BC4" s="2657" t="s">
        <v>4140</v>
      </c>
      <c r="BD4" s="2657" t="s">
        <v>4141</v>
      </c>
      <c r="BE4" s="2657" t="s">
        <v>4142</v>
      </c>
      <c r="BF4" s="2657" t="s">
        <v>4143</v>
      </c>
      <c r="BG4" s="2657" t="s">
        <v>126</v>
      </c>
      <c r="BH4" s="2657" t="s">
        <v>2258</v>
      </c>
      <c r="BI4" s="2657" t="s">
        <v>2259</v>
      </c>
      <c r="BJ4" s="2657" t="s">
        <v>2260</v>
      </c>
      <c r="BK4" s="2657" t="s">
        <v>1126</v>
      </c>
      <c r="BL4" s="2657" t="s">
        <v>4144</v>
      </c>
      <c r="BM4" s="2657" t="s">
        <v>4145</v>
      </c>
      <c r="BN4" s="2657" t="s">
        <v>4146</v>
      </c>
      <c r="BO4" s="2657" t="s">
        <v>4147</v>
      </c>
      <c r="BP4" s="2657" t="s">
        <v>4148</v>
      </c>
      <c r="BQ4" s="2657" t="s">
        <v>540</v>
      </c>
      <c r="BR4" s="2657" t="s">
        <v>541</v>
      </c>
      <c r="BS4" s="2657" t="s">
        <v>560</v>
      </c>
      <c r="BT4" s="2657" t="s">
        <v>561</v>
      </c>
      <c r="BU4" s="2657" t="s">
        <v>562</v>
      </c>
      <c r="BV4" s="2657" t="s">
        <v>4149</v>
      </c>
      <c r="BW4" s="2657" t="s">
        <v>4150</v>
      </c>
      <c r="BX4" s="2657" t="s">
        <v>4151</v>
      </c>
      <c r="BY4" s="2657" t="s">
        <v>4152</v>
      </c>
      <c r="BZ4" s="2657" t="s">
        <v>4153</v>
      </c>
      <c r="CA4" s="2657" t="s">
        <v>563</v>
      </c>
      <c r="CB4" s="2657" t="s">
        <v>564</v>
      </c>
      <c r="CC4" s="2657" t="s">
        <v>565</v>
      </c>
      <c r="CD4" s="2657" t="s">
        <v>566</v>
      </c>
      <c r="CE4" s="2657" t="s">
        <v>567</v>
      </c>
      <c r="CF4" s="2657" t="s">
        <v>568</v>
      </c>
      <c r="CG4" s="2657" t="s">
        <v>569</v>
      </c>
      <c r="CH4" s="2657" t="s">
        <v>909</v>
      </c>
      <c r="CI4" s="2657" t="s">
        <v>910</v>
      </c>
      <c r="CJ4" s="2657" t="s">
        <v>911</v>
      </c>
      <c r="CK4" s="2657" t="s">
        <v>4159</v>
      </c>
      <c r="CL4" s="2657" t="s">
        <v>4160</v>
      </c>
      <c r="CM4" s="2657" t="s">
        <v>4161</v>
      </c>
      <c r="CN4" s="2657" t="s">
        <v>4162</v>
      </c>
      <c r="CO4" s="2657" t="s">
        <v>4163</v>
      </c>
      <c r="CP4" s="2657" t="s">
        <v>4154</v>
      </c>
      <c r="CQ4" s="2657" t="s">
        <v>4155</v>
      </c>
      <c r="CR4" s="2657" t="s">
        <v>4156</v>
      </c>
      <c r="CS4" s="2657" t="s">
        <v>4157</v>
      </c>
      <c r="CT4" s="2657" t="s">
        <v>4158</v>
      </c>
      <c r="CU4" s="2657" t="s">
        <v>4164</v>
      </c>
      <c r="CV4" s="2657" t="s">
        <v>4165</v>
      </c>
      <c r="CW4" s="2657" t="s">
        <v>4166</v>
      </c>
      <c r="CX4" s="2657" t="s">
        <v>4167</v>
      </c>
      <c r="CY4" s="2657" t="s">
        <v>4168</v>
      </c>
      <c r="CZ4" s="2657" t="s">
        <v>485</v>
      </c>
      <c r="DA4" s="2657" t="s">
        <v>486</v>
      </c>
      <c r="DB4" s="2657" t="s">
        <v>487</v>
      </c>
      <c r="DC4" s="2657" t="s">
        <v>488</v>
      </c>
      <c r="DD4" s="2657" t="s">
        <v>489</v>
      </c>
      <c r="DE4" s="2657" t="s">
        <v>4169</v>
      </c>
      <c r="DF4" s="2657" t="s">
        <v>4170</v>
      </c>
      <c r="DG4" s="2657" t="s">
        <v>4171</v>
      </c>
      <c r="DH4" s="2657" t="s">
        <v>4172</v>
      </c>
      <c r="DI4" s="2657" t="s">
        <v>4173</v>
      </c>
      <c r="DJ4" s="2657" t="s">
        <v>859</v>
      </c>
      <c r="DK4" s="2657" t="s">
        <v>860</v>
      </c>
      <c r="DL4" s="2657" t="s">
        <v>861</v>
      </c>
      <c r="DM4" s="2657" t="s">
        <v>862</v>
      </c>
      <c r="DN4" s="2657" t="s">
        <v>863</v>
      </c>
      <c r="DO4" s="2657" t="s">
        <v>864</v>
      </c>
      <c r="DP4" s="2657" t="s">
        <v>865</v>
      </c>
      <c r="DQ4" s="2657" t="s">
        <v>866</v>
      </c>
      <c r="DR4" s="2657" t="s">
        <v>867</v>
      </c>
      <c r="DS4" s="2657" t="s">
        <v>868</v>
      </c>
      <c r="DT4" s="2657" t="s">
        <v>4174</v>
      </c>
      <c r="DU4" s="2657" t="s">
        <v>4175</v>
      </c>
      <c r="DV4" s="2657" t="s">
        <v>4176</v>
      </c>
      <c r="DW4" s="2657" t="s">
        <v>4177</v>
      </c>
      <c r="DX4" s="2657" t="s">
        <v>4178</v>
      </c>
      <c r="DY4" s="2657" t="s">
        <v>4179</v>
      </c>
      <c r="DZ4" s="2657" t="s">
        <v>4180</v>
      </c>
      <c r="EA4" s="2657" t="s">
        <v>4181</v>
      </c>
      <c r="EB4" s="2657" t="s">
        <v>4182</v>
      </c>
      <c r="EC4" s="2657" t="s">
        <v>4183</v>
      </c>
      <c r="ED4" s="2657" t="s">
        <v>2366</v>
      </c>
      <c r="EE4" s="2657" t="s">
        <v>2367</v>
      </c>
      <c r="EF4" s="2657" t="s">
        <v>2368</v>
      </c>
      <c r="EG4" s="2657" t="s">
        <v>2369</v>
      </c>
      <c r="EH4" s="2657" t="s">
        <v>2370</v>
      </c>
      <c r="EI4" s="2657" t="s">
        <v>4184</v>
      </c>
      <c r="EJ4" s="2657" t="s">
        <v>4185</v>
      </c>
      <c r="EK4" s="2657" t="s">
        <v>4186</v>
      </c>
      <c r="EL4" s="2657" t="s">
        <v>4187</v>
      </c>
      <c r="EM4" s="2657" t="s">
        <v>4188</v>
      </c>
      <c r="EN4" s="2657" t="s">
        <v>4189</v>
      </c>
      <c r="EO4" s="2657" t="s">
        <v>4190</v>
      </c>
      <c r="EP4" s="2657" t="s">
        <v>4191</v>
      </c>
      <c r="EQ4" s="2657" t="s">
        <v>4192</v>
      </c>
      <c r="ER4" s="2657" t="s">
        <v>4193</v>
      </c>
      <c r="ES4" s="2643" t="s">
        <v>114</v>
      </c>
      <c r="ET4" s="2643" t="s">
        <v>1129</v>
      </c>
      <c r="EU4" s="2643" t="s">
        <v>1130</v>
      </c>
      <c r="EV4" s="2643" t="s">
        <v>1187</v>
      </c>
      <c r="EW4" s="2643" t="s">
        <v>1188</v>
      </c>
      <c r="EX4" s="2643" t="s">
        <v>129</v>
      </c>
      <c r="EY4" s="2643" t="s">
        <v>1189</v>
      </c>
      <c r="EZ4" s="2643" t="s">
        <v>1190</v>
      </c>
      <c r="FA4" s="2643" t="s">
        <v>1191</v>
      </c>
      <c r="FB4" s="2643" t="s">
        <v>1192</v>
      </c>
      <c r="FC4" s="2657" t="s">
        <v>4194</v>
      </c>
      <c r="FD4" s="2657" t="s">
        <v>4195</v>
      </c>
      <c r="FE4" s="2657" t="s">
        <v>4196</v>
      </c>
      <c r="FF4" s="2657" t="s">
        <v>4197</v>
      </c>
      <c r="FG4" s="2657" t="s">
        <v>4198</v>
      </c>
      <c r="FH4" s="2643" t="s">
        <v>128</v>
      </c>
      <c r="FI4" s="2643" t="s">
        <v>890</v>
      </c>
      <c r="FJ4" s="2643" t="s">
        <v>891</v>
      </c>
      <c r="FK4" s="2643" t="s">
        <v>892</v>
      </c>
      <c r="FL4" s="2643" t="s">
        <v>893</v>
      </c>
      <c r="FM4" s="2657" t="s">
        <v>4199</v>
      </c>
      <c r="FN4" s="2657" t="s">
        <v>4200</v>
      </c>
      <c r="FO4" s="2657" t="s">
        <v>4201</v>
      </c>
      <c r="FP4" s="2657" t="s">
        <v>4202</v>
      </c>
      <c r="FQ4" s="2657" t="s">
        <v>4203</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Finish Row!</v>
      </c>
      <c r="B5" s="4" t="s">
        <v>1799</v>
      </c>
      <c r="D5" s="1"/>
      <c r="E5" s="4"/>
      <c r="F5" s="1"/>
      <c r="G5" s="3966" t="s">
        <v>197</v>
      </c>
      <c r="I5" s="2641" t="s">
        <v>4793</v>
      </c>
      <c r="K5" s="2376" t="s">
        <v>3432</v>
      </c>
      <c r="L5" s="2662" t="str">
        <f>'Part I-Project Information'!$B$6</f>
        <v>May 26, 2020 Version</v>
      </c>
      <c r="M5" s="2663"/>
      <c r="N5" s="2371" t="s">
        <v>559</v>
      </c>
      <c r="P5" s="2375" t="s">
        <v>4219</v>
      </c>
      <c r="Q5" s="2641"/>
      <c r="R5" s="2374"/>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67" t="s">
        <v>2887</v>
      </c>
      <c r="G6" s="2376" t="s">
        <v>3489</v>
      </c>
      <c r="H6" s="2641" t="s">
        <v>3661</v>
      </c>
      <c r="I6" s="2641"/>
      <c r="J6" s="2376" t="s">
        <v>778</v>
      </c>
      <c r="K6" s="2376" t="s">
        <v>3492</v>
      </c>
      <c r="L6" s="2663"/>
      <c r="M6" s="2663"/>
      <c r="N6" s="2660" t="str">
        <f>'Part I-Project Information'!$O$40</f>
        <v>Columbus</v>
      </c>
      <c r="O6" s="2660"/>
      <c r="P6" s="3968">
        <f>VLOOKUP('Part I-Project Information'!$O$40,'DCA Underwriting Assumptions'!$C$173:$D$283,2)</f>
        <v>59600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4206</v>
      </c>
      <c r="C7" s="1"/>
      <c r="D7" s="4"/>
      <c r="E7" s="1"/>
      <c r="F7" s="1"/>
      <c r="G7" s="2376" t="s">
        <v>3490</v>
      </c>
      <c r="H7" s="2641"/>
      <c r="I7" s="2641"/>
      <c r="J7" s="2376" t="s">
        <v>779</v>
      </c>
      <c r="K7" s="2376" t="s">
        <v>3493</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4207</v>
      </c>
      <c r="C8" s="2376" t="s">
        <v>168</v>
      </c>
      <c r="D8" s="2376" t="s">
        <v>530</v>
      </c>
      <c r="E8" s="2376" t="s">
        <v>1445</v>
      </c>
      <c r="F8" s="2376" t="s">
        <v>1445</v>
      </c>
      <c r="G8" s="2376" t="s">
        <v>1447</v>
      </c>
      <c r="H8" s="2376" t="s">
        <v>3490</v>
      </c>
      <c r="I8" s="2641"/>
      <c r="J8" s="2664" t="s">
        <v>4475</v>
      </c>
      <c r="K8" s="2376" t="s">
        <v>2343</v>
      </c>
      <c r="L8" s="2667" t="s">
        <v>142</v>
      </c>
      <c r="M8" s="2667"/>
      <c r="N8" s="2376" t="s">
        <v>2306</v>
      </c>
      <c r="O8" s="2376" t="s">
        <v>4788</v>
      </c>
      <c r="P8" s="2376" t="s">
        <v>377</v>
      </c>
      <c r="Q8" s="2641"/>
      <c r="R8" s="2376" t="s">
        <v>2614</v>
      </c>
      <c r="S8" s="2376"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3258</v>
      </c>
      <c r="IK8" s="2643" t="s">
        <v>3258</v>
      </c>
      <c r="IL8" s="2643" t="s">
        <v>3258</v>
      </c>
      <c r="IM8" s="2643" t="s">
        <v>3258</v>
      </c>
      <c r="IN8" s="2643" t="s">
        <v>3258</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4794</v>
      </c>
      <c r="LH8" s="2643" t="s">
        <v>4794</v>
      </c>
      <c r="LI8" s="2643" t="s">
        <v>4794</v>
      </c>
      <c r="LJ8" s="2643" t="s">
        <v>4794</v>
      </c>
      <c r="LK8" s="2643" t="s">
        <v>4794</v>
      </c>
      <c r="LL8" s="2643" t="s">
        <v>4795</v>
      </c>
      <c r="LM8" s="2643" t="s">
        <v>4795</v>
      </c>
      <c r="LN8" s="2643" t="s">
        <v>4795</v>
      </c>
      <c r="LO8" s="2643" t="s">
        <v>4795</v>
      </c>
      <c r="LP8" s="2643" t="s">
        <v>4795</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4521</v>
      </c>
      <c r="C9" s="2376" t="s">
        <v>167</v>
      </c>
      <c r="D9" s="2376" t="s">
        <v>169</v>
      </c>
      <c r="E9" s="2376" t="s">
        <v>1446</v>
      </c>
      <c r="F9" s="2376" t="s">
        <v>1253</v>
      </c>
      <c r="G9" s="2376" t="s">
        <v>3491</v>
      </c>
      <c r="H9" s="2376" t="s">
        <v>1447</v>
      </c>
      <c r="I9" s="2642"/>
      <c r="J9" s="2665"/>
      <c r="K9" s="444" t="s">
        <v>344</v>
      </c>
      <c r="L9" s="2376" t="s">
        <v>1498</v>
      </c>
      <c r="M9" s="2376" t="s">
        <v>524</v>
      </c>
      <c r="N9" s="2376" t="s">
        <v>1445</v>
      </c>
      <c r="O9" s="2376" t="s">
        <v>3208</v>
      </c>
      <c r="P9" s="2376" t="s">
        <v>378</v>
      </c>
      <c r="Q9" s="2642"/>
      <c r="R9" s="2376" t="s">
        <v>1447</v>
      </c>
      <c r="S9" s="2376"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3259</v>
      </c>
      <c r="IU9" s="2246" t="s">
        <v>3259</v>
      </c>
      <c r="IV9" s="2246" t="s">
        <v>3259</v>
      </c>
      <c r="IW9" s="2246" t="s">
        <v>3259</v>
      </c>
      <c r="IX9" s="2246"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9" t="s">
        <v>4117</v>
      </c>
      <c r="C10" s="3970"/>
      <c r="D10" s="3971"/>
      <c r="E10" s="3972"/>
      <c r="F10" s="3972"/>
      <c r="G10" s="3972"/>
      <c r="H10" s="3972"/>
      <c r="I10" s="3973"/>
      <c r="J10" s="3974"/>
      <c r="K10" s="3975"/>
      <c r="L10" s="566">
        <f t="shared" ref="L10:L47" si="0">MAX(0,H10-I10-J10)</f>
        <v>0</v>
      </c>
      <c r="M10" s="566">
        <f t="shared" ref="M10:M47" si="1">MAX(0,E10*L10)</f>
        <v>0</v>
      </c>
      <c r="N10" s="3976"/>
      <c r="O10" s="3976"/>
      <c r="P10" s="3976"/>
      <c r="Q10" s="3977"/>
      <c r="R10" s="3978"/>
      <c r="S10" s="3979"/>
      <c r="T10" s="3980"/>
      <c r="U10" s="3981"/>
      <c r="V10" s="3981"/>
      <c r="W10" s="398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3" t="s">
        <v>4117</v>
      </c>
      <c r="C11" s="3984"/>
      <c r="D11" s="3985"/>
      <c r="E11" s="3986"/>
      <c r="F11" s="3986"/>
      <c r="G11" s="3986"/>
      <c r="H11" s="3986"/>
      <c r="I11" s="3986"/>
      <c r="J11" s="3987"/>
      <c r="K11" s="3988"/>
      <c r="L11" s="567">
        <f t="shared" si="0"/>
        <v>0</v>
      </c>
      <c r="M11" s="567">
        <f t="shared" si="1"/>
        <v>0</v>
      </c>
      <c r="N11" s="3989"/>
      <c r="O11" s="3989"/>
      <c r="P11" s="3989"/>
      <c r="Q11" s="3990"/>
      <c r="R11" s="3991"/>
      <c r="S11" s="3992"/>
      <c r="T11" s="3993"/>
      <c r="U11" s="3994"/>
      <c r="V11" s="3994"/>
      <c r="W11" s="399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3" t="s">
        <v>298</v>
      </c>
      <c r="C12" s="3984"/>
      <c r="D12" s="3985"/>
      <c r="E12" s="3986"/>
      <c r="F12" s="3986"/>
      <c r="G12" s="3986"/>
      <c r="H12" s="3986"/>
      <c r="I12" s="3986"/>
      <c r="J12" s="3987"/>
      <c r="K12" s="3988"/>
      <c r="L12" s="567">
        <f t="shared" si="0"/>
        <v>0</v>
      </c>
      <c r="M12" s="567">
        <f t="shared" si="1"/>
        <v>0</v>
      </c>
      <c r="N12" s="3989"/>
      <c r="O12" s="3989"/>
      <c r="P12" s="3989"/>
      <c r="Q12" s="3990"/>
      <c r="R12" s="3991"/>
      <c r="S12" s="3992"/>
      <c r="T12" s="3993"/>
      <c r="U12" s="3994"/>
      <c r="V12" s="3994"/>
      <c r="W12" s="399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3" t="s">
        <v>298</v>
      </c>
      <c r="C13" s="3984"/>
      <c r="D13" s="3985"/>
      <c r="E13" s="3986"/>
      <c r="F13" s="3986"/>
      <c r="G13" s="3986"/>
      <c r="H13" s="3986"/>
      <c r="I13" s="3986"/>
      <c r="J13" s="3987"/>
      <c r="K13" s="3988"/>
      <c r="L13" s="567">
        <f t="shared" si="0"/>
        <v>0</v>
      </c>
      <c r="M13" s="567">
        <f t="shared" si="1"/>
        <v>0</v>
      </c>
      <c r="N13" s="3989"/>
      <c r="O13" s="3989"/>
      <c r="P13" s="3989"/>
      <c r="Q13" s="3990"/>
      <c r="R13" s="3991"/>
      <c r="S13" s="3992"/>
      <c r="T13" s="3993"/>
      <c r="U13" s="3994"/>
      <c r="V13" s="3994"/>
      <c r="W13" s="399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3" t="s">
        <v>298</v>
      </c>
      <c r="C14" s="3984"/>
      <c r="D14" s="3985"/>
      <c r="E14" s="3986"/>
      <c r="F14" s="3986"/>
      <c r="G14" s="3986"/>
      <c r="H14" s="3986"/>
      <c r="I14" s="3986"/>
      <c r="J14" s="3987"/>
      <c r="K14" s="3988"/>
      <c r="L14" s="567">
        <f t="shared" si="0"/>
        <v>0</v>
      </c>
      <c r="M14" s="567">
        <f t="shared" si="1"/>
        <v>0</v>
      </c>
      <c r="N14" s="3989"/>
      <c r="O14" s="3989"/>
      <c r="P14" s="3989"/>
      <c r="Q14" s="3990"/>
      <c r="R14" s="3991"/>
      <c r="S14" s="3992"/>
      <c r="T14" s="3993"/>
      <c r="U14" s="3994"/>
      <c r="V14" s="3994"/>
      <c r="W14" s="399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3" t="s">
        <v>298</v>
      </c>
      <c r="C15" s="3984"/>
      <c r="D15" s="3985"/>
      <c r="E15" s="3986"/>
      <c r="F15" s="3986"/>
      <c r="G15" s="3986"/>
      <c r="H15" s="3986"/>
      <c r="I15" s="3986"/>
      <c r="J15" s="3987"/>
      <c r="K15" s="3988"/>
      <c r="L15" s="567">
        <f t="shared" si="0"/>
        <v>0</v>
      </c>
      <c r="M15" s="567">
        <f t="shared" si="1"/>
        <v>0</v>
      </c>
      <c r="N15" s="3989"/>
      <c r="O15" s="3989"/>
      <c r="P15" s="3989"/>
      <c r="Q15" s="3990"/>
      <c r="R15" s="3991"/>
      <c r="S15" s="3992"/>
      <c r="T15" s="3993"/>
      <c r="U15" s="3994"/>
      <c r="V15" s="3994"/>
      <c r="W15" s="399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6" t="s">
        <v>298</v>
      </c>
      <c r="C16" s="3997"/>
      <c r="D16" s="3998"/>
      <c r="E16" s="3999"/>
      <c r="F16" s="3999"/>
      <c r="G16" s="3999"/>
      <c r="H16" s="3999"/>
      <c r="I16" s="3999"/>
      <c r="J16" s="4000"/>
      <c r="K16" s="4001"/>
      <c r="L16" s="1338">
        <f t="shared" si="0"/>
        <v>0</v>
      </c>
      <c r="M16" s="1338">
        <f t="shared" si="1"/>
        <v>0</v>
      </c>
      <c r="N16" s="4002"/>
      <c r="O16" s="4002"/>
      <c r="P16" s="4002"/>
      <c r="Q16" s="4003"/>
      <c r="R16" s="3991"/>
      <c r="S16" s="3992"/>
      <c r="T16" s="3993"/>
      <c r="U16" s="3994"/>
      <c r="V16" s="3994"/>
      <c r="W16" s="399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04">
        <v>50</v>
      </c>
      <c r="C17" s="4005">
        <v>1</v>
      </c>
      <c r="D17" s="4006">
        <v>1</v>
      </c>
      <c r="E17" s="4007">
        <v>5</v>
      </c>
      <c r="F17" s="4007">
        <v>700</v>
      </c>
      <c r="G17" s="4007">
        <v>559</v>
      </c>
      <c r="H17" s="4007">
        <v>554</v>
      </c>
      <c r="I17" s="4007"/>
      <c r="J17" s="4008">
        <f>IF(C17="",0,HLOOKUP(C17,'Part V-Utility Allowances'!$I$11:$M$22,12))</f>
        <v>121</v>
      </c>
      <c r="K17" s="4009"/>
      <c r="L17" s="1337">
        <f t="shared" si="0"/>
        <v>433</v>
      </c>
      <c r="M17" s="1337">
        <f t="shared" si="1"/>
        <v>2165</v>
      </c>
      <c r="N17" s="4010" t="s">
        <v>2887</v>
      </c>
      <c r="O17" s="4010" t="s">
        <v>7082</v>
      </c>
      <c r="P17" s="4010" t="s">
        <v>2236</v>
      </c>
      <c r="Q17" s="4011" t="s">
        <v>2887</v>
      </c>
      <c r="R17" s="3991"/>
      <c r="S17" s="3992"/>
      <c r="T17" s="3993"/>
      <c r="U17" s="3994"/>
      <c r="V17" s="3994"/>
      <c r="W17" s="399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5</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3500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5</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5</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f t="shared" si="298"/>
        <v>5</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5</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2">
        <v>60</v>
      </c>
      <c r="C18" s="3984">
        <v>1</v>
      </c>
      <c r="D18" s="3985">
        <v>1</v>
      </c>
      <c r="E18" s="3986">
        <v>19</v>
      </c>
      <c r="F18" s="3986">
        <v>700</v>
      </c>
      <c r="G18" s="3986">
        <v>671</v>
      </c>
      <c r="H18" s="3986">
        <v>666</v>
      </c>
      <c r="I18" s="3986"/>
      <c r="J18" s="4013">
        <f>IF(C18="",0,HLOOKUP(C18,'Part V-Utility Allowances'!$I$11:$M$22,12))</f>
        <v>121</v>
      </c>
      <c r="K18" s="3988"/>
      <c r="L18" s="567">
        <f t="shared" si="0"/>
        <v>545</v>
      </c>
      <c r="M18" s="567">
        <f t="shared" si="1"/>
        <v>10355</v>
      </c>
      <c r="N18" s="3989" t="s">
        <v>2887</v>
      </c>
      <c r="O18" s="3989" t="s">
        <v>7082</v>
      </c>
      <c r="P18" s="3989" t="s">
        <v>2236</v>
      </c>
      <c r="Q18" s="3990" t="s">
        <v>2887</v>
      </c>
      <c r="R18" s="3991"/>
      <c r="S18" s="3992"/>
      <c r="T18" s="3993"/>
      <c r="U18" s="3994"/>
      <c r="V18" s="3994"/>
      <c r="W18" s="399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19</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13300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19</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f t="shared" si="213"/>
        <v>19</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f t="shared" si="298"/>
        <v>19</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19</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4012">
        <v>50</v>
      </c>
      <c r="C19" s="3984">
        <v>2</v>
      </c>
      <c r="D19" s="3985">
        <v>1</v>
      </c>
      <c r="E19" s="3986">
        <v>5</v>
      </c>
      <c r="F19" s="3986">
        <v>900</v>
      </c>
      <c r="G19" s="3986">
        <v>671</v>
      </c>
      <c r="H19" s="3986">
        <v>666</v>
      </c>
      <c r="I19" s="3986"/>
      <c r="J19" s="4013">
        <f>IF(C19="",0,HLOOKUP(C19,'Part V-Utility Allowances'!$I$11:$M$22,12))</f>
        <v>151</v>
      </c>
      <c r="K19" s="3988"/>
      <c r="L19" s="567">
        <f t="shared" si="0"/>
        <v>515</v>
      </c>
      <c r="M19" s="567">
        <f t="shared" si="1"/>
        <v>2575</v>
      </c>
      <c r="N19" s="3989" t="s">
        <v>2887</v>
      </c>
      <c r="O19" s="3989" t="s">
        <v>7082</v>
      </c>
      <c r="P19" s="3989" t="s">
        <v>2236</v>
      </c>
      <c r="Q19" s="3990" t="s">
        <v>2887</v>
      </c>
      <c r="R19" s="3991"/>
      <c r="S19" s="3992"/>
      <c r="T19" s="3993"/>
      <c r="U19" s="3994"/>
      <c r="V19" s="3994"/>
      <c r="W19" s="399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5</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4500</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5</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f t="shared" si="214"/>
        <v>5</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f t="shared" si="299"/>
        <v>5</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5</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4012">
        <v>60</v>
      </c>
      <c r="C20" s="3984">
        <v>2</v>
      </c>
      <c r="D20" s="3985">
        <v>1</v>
      </c>
      <c r="E20" s="3986">
        <v>19</v>
      </c>
      <c r="F20" s="3986">
        <v>900</v>
      </c>
      <c r="G20" s="3986">
        <v>805</v>
      </c>
      <c r="H20" s="3986">
        <v>800</v>
      </c>
      <c r="I20" s="3986"/>
      <c r="J20" s="4013">
        <f>IF(C20="",0,HLOOKUP(C20,'Part V-Utility Allowances'!$I$11:$M$22,12))</f>
        <v>151</v>
      </c>
      <c r="K20" s="3988"/>
      <c r="L20" s="567">
        <f t="shared" si="0"/>
        <v>649</v>
      </c>
      <c r="M20" s="567">
        <f t="shared" si="1"/>
        <v>12331</v>
      </c>
      <c r="N20" s="3989" t="s">
        <v>2887</v>
      </c>
      <c r="O20" s="3989" t="s">
        <v>7082</v>
      </c>
      <c r="P20" s="3989" t="s">
        <v>2236</v>
      </c>
      <c r="Q20" s="3990" t="s">
        <v>2887</v>
      </c>
      <c r="R20" s="3991"/>
      <c r="S20" s="3992"/>
      <c r="T20" s="3993"/>
      <c r="U20" s="3994"/>
      <c r="V20" s="3994"/>
      <c r="W20" s="399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19</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17100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19</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19</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f t="shared" si="299"/>
        <v>19</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19</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12"/>
      <c r="C21" s="3984"/>
      <c r="D21" s="3985"/>
      <c r="E21" s="3986"/>
      <c r="F21" s="3986"/>
      <c r="G21" s="3986"/>
      <c r="H21" s="3986"/>
      <c r="I21" s="3986"/>
      <c r="J21" s="4013">
        <f>IF(C21="",0,HLOOKUP(C21,'Part V-Utility Allowances'!$I$11:$M$22,12))</f>
        <v>0</v>
      </c>
      <c r="K21" s="3988"/>
      <c r="L21" s="567">
        <f t="shared" si="0"/>
        <v>0</v>
      </c>
      <c r="M21" s="567">
        <f t="shared" si="1"/>
        <v>0</v>
      </c>
      <c r="N21" s="3989"/>
      <c r="O21" s="3989"/>
      <c r="P21" s="3989"/>
      <c r="Q21" s="3990"/>
      <c r="R21" s="3991"/>
      <c r="S21" s="3992"/>
      <c r="T21" s="3993"/>
      <c r="U21" s="3994"/>
      <c r="V21" s="3994"/>
      <c r="W21" s="399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12"/>
      <c r="C22" s="3984"/>
      <c r="D22" s="3985"/>
      <c r="E22" s="3986"/>
      <c r="F22" s="3986"/>
      <c r="G22" s="3986"/>
      <c r="H22" s="3986"/>
      <c r="I22" s="3986"/>
      <c r="J22" s="4013">
        <f>IF(C22="",0,HLOOKUP(C22,'Part V-Utility Allowances'!$I$11:$M$22,12))</f>
        <v>0</v>
      </c>
      <c r="K22" s="3988"/>
      <c r="L22" s="567">
        <f t="shared" si="0"/>
        <v>0</v>
      </c>
      <c r="M22" s="567">
        <f t="shared" si="1"/>
        <v>0</v>
      </c>
      <c r="N22" s="3989"/>
      <c r="O22" s="3989"/>
      <c r="P22" s="3989"/>
      <c r="Q22" s="3990"/>
      <c r="R22" s="3991"/>
      <c r="S22" s="3992"/>
      <c r="T22" s="3993"/>
      <c r="U22" s="3994"/>
      <c r="V22" s="3994"/>
      <c r="W22" s="3995"/>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2"/>
      <c r="C23" s="3984"/>
      <c r="D23" s="3985"/>
      <c r="E23" s="3986"/>
      <c r="F23" s="3986"/>
      <c r="G23" s="3986"/>
      <c r="H23" s="3986"/>
      <c r="I23" s="3986"/>
      <c r="J23" s="4013">
        <f>IF(C23="",0,HLOOKUP(C23,'Part V-Utility Allowances'!$I$11:$M$22,12))</f>
        <v>0</v>
      </c>
      <c r="K23" s="3988"/>
      <c r="L23" s="567">
        <f t="shared" si="0"/>
        <v>0</v>
      </c>
      <c r="M23" s="567">
        <f t="shared" si="1"/>
        <v>0</v>
      </c>
      <c r="N23" s="3989"/>
      <c r="O23" s="3989"/>
      <c r="P23" s="3989"/>
      <c r="Q23" s="3990"/>
      <c r="R23" s="3991"/>
      <c r="S23" s="3992"/>
      <c r="T23" s="3993"/>
      <c r="U23" s="3994"/>
      <c r="V23" s="3994"/>
      <c r="W23" s="399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2"/>
      <c r="C24" s="3984"/>
      <c r="D24" s="3985"/>
      <c r="E24" s="3986"/>
      <c r="F24" s="3986"/>
      <c r="G24" s="3986"/>
      <c r="H24" s="3986"/>
      <c r="I24" s="3986"/>
      <c r="J24" s="4013">
        <f>IF(C24="",0,HLOOKUP(C24,'Part V-Utility Allowances'!$I$11:$M$22,12))</f>
        <v>0</v>
      </c>
      <c r="K24" s="3988"/>
      <c r="L24" s="567">
        <f t="shared" si="0"/>
        <v>0</v>
      </c>
      <c r="M24" s="567">
        <f t="shared" si="1"/>
        <v>0</v>
      </c>
      <c r="N24" s="3989"/>
      <c r="O24" s="3989"/>
      <c r="P24" s="3989"/>
      <c r="Q24" s="3990"/>
      <c r="R24" s="3991"/>
      <c r="S24" s="3992"/>
      <c r="T24" s="3993"/>
      <c r="U24" s="3994"/>
      <c r="V24" s="3994"/>
      <c r="W24" s="3995"/>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2"/>
      <c r="C25" s="3984"/>
      <c r="D25" s="3985"/>
      <c r="E25" s="3986"/>
      <c r="F25" s="3986"/>
      <c r="G25" s="3986"/>
      <c r="H25" s="3986"/>
      <c r="I25" s="3986"/>
      <c r="J25" s="4013">
        <f>IF(C25="",0,HLOOKUP(C25,'Part V-Utility Allowances'!$I$11:$M$22,12))</f>
        <v>0</v>
      </c>
      <c r="K25" s="3988"/>
      <c r="L25" s="567">
        <f t="shared" si="0"/>
        <v>0</v>
      </c>
      <c r="M25" s="567">
        <f t="shared" si="1"/>
        <v>0</v>
      </c>
      <c r="N25" s="3989"/>
      <c r="O25" s="3989"/>
      <c r="P25" s="3989"/>
      <c r="Q25" s="3990"/>
      <c r="R25" s="3991"/>
      <c r="S25" s="3992"/>
      <c r="T25" s="3993"/>
      <c r="U25" s="3994"/>
      <c r="V25" s="3994"/>
      <c r="W25" s="399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2"/>
      <c r="C26" s="3984"/>
      <c r="D26" s="3985"/>
      <c r="E26" s="3986"/>
      <c r="F26" s="3986"/>
      <c r="G26" s="3986"/>
      <c r="H26" s="3986"/>
      <c r="I26" s="3986"/>
      <c r="J26" s="4013">
        <f>IF(C26="",0,HLOOKUP(C26,'Part V-Utility Allowances'!$I$11:$M$22,12))</f>
        <v>0</v>
      </c>
      <c r="K26" s="3988"/>
      <c r="L26" s="567">
        <f t="shared" si="0"/>
        <v>0</v>
      </c>
      <c r="M26" s="567">
        <f t="shared" si="1"/>
        <v>0</v>
      </c>
      <c r="N26" s="3989"/>
      <c r="O26" s="3989"/>
      <c r="P26" s="3989"/>
      <c r="Q26" s="3990"/>
      <c r="R26" s="3991"/>
      <c r="S26" s="3992"/>
      <c r="T26" s="3993"/>
      <c r="U26" s="3994"/>
      <c r="V26" s="3994"/>
      <c r="W26" s="399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2"/>
      <c r="C27" s="3984"/>
      <c r="D27" s="3985"/>
      <c r="E27" s="3986"/>
      <c r="F27" s="3986"/>
      <c r="G27" s="3986"/>
      <c r="H27" s="3986"/>
      <c r="I27" s="3986"/>
      <c r="J27" s="4013">
        <f>IF(C27="",0,HLOOKUP(C27,'Part V-Utility Allowances'!$I$11:$M$22,12))</f>
        <v>0</v>
      </c>
      <c r="K27" s="3988"/>
      <c r="L27" s="567">
        <f t="shared" si="0"/>
        <v>0</v>
      </c>
      <c r="M27" s="567">
        <f t="shared" si="1"/>
        <v>0</v>
      </c>
      <c r="N27" s="3989"/>
      <c r="O27" s="3989"/>
      <c r="P27" s="3989"/>
      <c r="Q27" s="3990"/>
      <c r="R27" s="3991"/>
      <c r="S27" s="3992"/>
      <c r="T27" s="3993"/>
      <c r="U27" s="3994"/>
      <c r="V27" s="3994"/>
      <c r="W27" s="399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2"/>
      <c r="C28" s="3984"/>
      <c r="D28" s="3985"/>
      <c r="E28" s="3986"/>
      <c r="F28" s="3986"/>
      <c r="G28" s="3986"/>
      <c r="H28" s="3986"/>
      <c r="I28" s="3986"/>
      <c r="J28" s="4013">
        <f>IF(C28="",0,HLOOKUP(C28,'Part V-Utility Allowances'!$I$11:$M$22,12))</f>
        <v>0</v>
      </c>
      <c r="K28" s="3988"/>
      <c r="L28" s="567">
        <f t="shared" si="0"/>
        <v>0</v>
      </c>
      <c r="M28" s="567">
        <f t="shared" si="1"/>
        <v>0</v>
      </c>
      <c r="N28" s="3989"/>
      <c r="O28" s="3989"/>
      <c r="P28" s="3989"/>
      <c r="Q28" s="3990"/>
      <c r="R28" s="3991"/>
      <c r="S28" s="3992"/>
      <c r="T28" s="3993"/>
      <c r="U28" s="3994"/>
      <c r="V28" s="3994"/>
      <c r="W28" s="399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2"/>
      <c r="C29" s="3984"/>
      <c r="D29" s="3985"/>
      <c r="E29" s="3986"/>
      <c r="F29" s="3986"/>
      <c r="G29" s="3986"/>
      <c r="H29" s="3986"/>
      <c r="I29" s="3986"/>
      <c r="J29" s="4013">
        <f>IF(C29="",0,HLOOKUP(C29,'Part V-Utility Allowances'!$I$11:$M$22,12))</f>
        <v>0</v>
      </c>
      <c r="K29" s="3988"/>
      <c r="L29" s="567">
        <f t="shared" si="0"/>
        <v>0</v>
      </c>
      <c r="M29" s="567">
        <f t="shared" si="1"/>
        <v>0</v>
      </c>
      <c r="N29" s="3989"/>
      <c r="O29" s="3989"/>
      <c r="P29" s="3989"/>
      <c r="Q29" s="3990"/>
      <c r="R29" s="3991"/>
      <c r="S29" s="3992"/>
      <c r="T29" s="3993"/>
      <c r="U29" s="3994"/>
      <c r="V29" s="3994"/>
      <c r="W29" s="399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2"/>
      <c r="C30" s="3984"/>
      <c r="D30" s="3985"/>
      <c r="E30" s="3986"/>
      <c r="F30" s="3986"/>
      <c r="G30" s="3986"/>
      <c r="H30" s="3986"/>
      <c r="I30" s="3986"/>
      <c r="J30" s="4013">
        <f>IF(C30="",0,HLOOKUP(C30,'Part V-Utility Allowances'!$I$11:$M$22,12))</f>
        <v>0</v>
      </c>
      <c r="K30" s="3988"/>
      <c r="L30" s="567">
        <f t="shared" si="0"/>
        <v>0</v>
      </c>
      <c r="M30" s="567">
        <f t="shared" si="1"/>
        <v>0</v>
      </c>
      <c r="N30" s="3989"/>
      <c r="O30" s="3989"/>
      <c r="P30" s="3989"/>
      <c r="Q30" s="3990"/>
      <c r="R30" s="3991"/>
      <c r="S30" s="3992"/>
      <c r="T30" s="3993"/>
      <c r="U30" s="3994"/>
      <c r="V30" s="3994"/>
      <c r="W30" s="399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2"/>
      <c r="C31" s="3984"/>
      <c r="D31" s="3985"/>
      <c r="E31" s="3986"/>
      <c r="F31" s="3986"/>
      <c r="G31" s="3986"/>
      <c r="H31" s="3986"/>
      <c r="I31" s="3986"/>
      <c r="J31" s="4013">
        <f>IF(C31="",0,HLOOKUP(C31,'Part V-Utility Allowances'!$I$11:$M$22,12))</f>
        <v>0</v>
      </c>
      <c r="K31" s="3988"/>
      <c r="L31" s="567">
        <f t="shared" si="0"/>
        <v>0</v>
      </c>
      <c r="M31" s="567">
        <f t="shared" si="1"/>
        <v>0</v>
      </c>
      <c r="N31" s="3989"/>
      <c r="O31" s="3989"/>
      <c r="P31" s="3989"/>
      <c r="Q31" s="3990"/>
      <c r="R31" s="3991"/>
      <c r="S31" s="3992"/>
      <c r="T31" s="3993"/>
      <c r="U31" s="3994"/>
      <c r="V31" s="3994"/>
      <c r="W31" s="399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2"/>
      <c r="C32" s="3984"/>
      <c r="D32" s="3985"/>
      <c r="E32" s="3986"/>
      <c r="F32" s="3986"/>
      <c r="G32" s="3986"/>
      <c r="H32" s="3986"/>
      <c r="I32" s="3986"/>
      <c r="J32" s="4013">
        <f>IF(C32="",0,HLOOKUP(C32,'Part V-Utility Allowances'!$I$11:$M$22,12))</f>
        <v>0</v>
      </c>
      <c r="K32" s="3988"/>
      <c r="L32" s="567">
        <f t="shared" si="0"/>
        <v>0</v>
      </c>
      <c r="M32" s="567">
        <f t="shared" si="1"/>
        <v>0</v>
      </c>
      <c r="N32" s="3989"/>
      <c r="O32" s="3989"/>
      <c r="P32" s="3989"/>
      <c r="Q32" s="3990"/>
      <c r="R32" s="3991"/>
      <c r="S32" s="3992"/>
      <c r="T32" s="3993"/>
      <c r="U32" s="3994"/>
      <c r="V32" s="3994"/>
      <c r="W32" s="399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2"/>
      <c r="C33" s="3984"/>
      <c r="D33" s="3985"/>
      <c r="E33" s="3986"/>
      <c r="F33" s="3986"/>
      <c r="G33" s="3986"/>
      <c r="H33" s="3986"/>
      <c r="I33" s="3986"/>
      <c r="J33" s="4013">
        <f>IF(C33="",0,HLOOKUP(C33,'Part V-Utility Allowances'!$I$11:$M$22,12))</f>
        <v>0</v>
      </c>
      <c r="K33" s="3988"/>
      <c r="L33" s="567">
        <f t="shared" si="0"/>
        <v>0</v>
      </c>
      <c r="M33" s="567">
        <f t="shared" si="1"/>
        <v>0</v>
      </c>
      <c r="N33" s="3989"/>
      <c r="O33" s="3989"/>
      <c r="P33" s="3989"/>
      <c r="Q33" s="3990"/>
      <c r="R33" s="3991"/>
      <c r="S33" s="3992"/>
      <c r="T33" s="3993"/>
      <c r="U33" s="3994"/>
      <c r="V33" s="3994"/>
      <c r="W33" s="399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2"/>
      <c r="C34" s="3984"/>
      <c r="D34" s="3985"/>
      <c r="E34" s="3986"/>
      <c r="F34" s="3986"/>
      <c r="G34" s="3986"/>
      <c r="H34" s="3986"/>
      <c r="I34" s="3986"/>
      <c r="J34" s="4013">
        <f>IF(C34="",0,HLOOKUP(C34,'Part V-Utility Allowances'!$I$11:$M$22,12))</f>
        <v>0</v>
      </c>
      <c r="K34" s="3988"/>
      <c r="L34" s="567">
        <f t="shared" si="0"/>
        <v>0</v>
      </c>
      <c r="M34" s="567">
        <f t="shared" si="1"/>
        <v>0</v>
      </c>
      <c r="N34" s="3989"/>
      <c r="O34" s="3989"/>
      <c r="P34" s="3989"/>
      <c r="Q34" s="3990"/>
      <c r="R34" s="3991"/>
      <c r="S34" s="3992"/>
      <c r="T34" s="3993"/>
      <c r="U34" s="3994"/>
      <c r="V34" s="3994"/>
      <c r="W34" s="399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2"/>
      <c r="C35" s="3984"/>
      <c r="D35" s="3985"/>
      <c r="E35" s="3986"/>
      <c r="F35" s="3986"/>
      <c r="G35" s="3986"/>
      <c r="H35" s="3986"/>
      <c r="I35" s="3986"/>
      <c r="J35" s="4013">
        <f>IF(C35="",0,HLOOKUP(C35,'Part V-Utility Allowances'!$I$11:$M$22,12))</f>
        <v>0</v>
      </c>
      <c r="K35" s="3988"/>
      <c r="L35" s="567">
        <f t="shared" si="0"/>
        <v>0</v>
      </c>
      <c r="M35" s="567">
        <f t="shared" si="1"/>
        <v>0</v>
      </c>
      <c r="N35" s="3989"/>
      <c r="O35" s="3989"/>
      <c r="P35" s="3989"/>
      <c r="Q35" s="3990"/>
      <c r="R35" s="3991"/>
      <c r="S35" s="3992"/>
      <c r="T35" s="3993"/>
      <c r="U35" s="3994"/>
      <c r="V35" s="3994"/>
      <c r="W35" s="399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2"/>
      <c r="C36" s="3984"/>
      <c r="D36" s="3985"/>
      <c r="E36" s="3986"/>
      <c r="F36" s="3986"/>
      <c r="G36" s="3986"/>
      <c r="H36" s="3986"/>
      <c r="I36" s="3986"/>
      <c r="J36" s="4013">
        <f>IF(C36="",0,HLOOKUP(C36,'Part V-Utility Allowances'!$I$11:$M$22,12))</f>
        <v>0</v>
      </c>
      <c r="K36" s="3988"/>
      <c r="L36" s="567">
        <f t="shared" si="0"/>
        <v>0</v>
      </c>
      <c r="M36" s="567">
        <f t="shared" si="1"/>
        <v>0</v>
      </c>
      <c r="N36" s="3989"/>
      <c r="O36" s="3989"/>
      <c r="P36" s="3989"/>
      <c r="Q36" s="3990"/>
      <c r="R36" s="3991"/>
      <c r="S36" s="3992"/>
      <c r="T36" s="3993"/>
      <c r="U36" s="3994"/>
      <c r="V36" s="3994"/>
      <c r="W36" s="399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2"/>
      <c r="C37" s="3984"/>
      <c r="D37" s="3985"/>
      <c r="E37" s="3986"/>
      <c r="F37" s="3986"/>
      <c r="G37" s="3986"/>
      <c r="H37" s="3986"/>
      <c r="I37" s="3986"/>
      <c r="J37" s="4013">
        <f>IF(C37="",0,HLOOKUP(C37,'Part V-Utility Allowances'!$I$11:$M$22,12))</f>
        <v>0</v>
      </c>
      <c r="K37" s="3988"/>
      <c r="L37" s="567">
        <f t="shared" si="0"/>
        <v>0</v>
      </c>
      <c r="M37" s="567">
        <f t="shared" si="1"/>
        <v>0</v>
      </c>
      <c r="N37" s="3989"/>
      <c r="O37" s="3989"/>
      <c r="P37" s="3989"/>
      <c r="Q37" s="3990"/>
      <c r="R37" s="3991"/>
      <c r="S37" s="3992"/>
      <c r="T37" s="3993"/>
      <c r="U37" s="3994"/>
      <c r="V37" s="3994"/>
      <c r="W37" s="399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2"/>
      <c r="C38" s="3984"/>
      <c r="D38" s="3985"/>
      <c r="E38" s="3986"/>
      <c r="F38" s="3986"/>
      <c r="G38" s="3986"/>
      <c r="H38" s="3986"/>
      <c r="I38" s="3986"/>
      <c r="J38" s="4013">
        <f>IF(C38="",0,HLOOKUP(C38,'Part V-Utility Allowances'!$I$11:$M$22,12))</f>
        <v>0</v>
      </c>
      <c r="K38" s="3988"/>
      <c r="L38" s="567">
        <f t="shared" si="0"/>
        <v>0</v>
      </c>
      <c r="M38" s="567">
        <f t="shared" si="1"/>
        <v>0</v>
      </c>
      <c r="N38" s="3989"/>
      <c r="O38" s="3989"/>
      <c r="P38" s="3989"/>
      <c r="Q38" s="3990"/>
      <c r="R38" s="3991"/>
      <c r="S38" s="3992"/>
      <c r="T38" s="3993"/>
      <c r="U38" s="3994"/>
      <c r="V38" s="3994"/>
      <c r="W38" s="399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2"/>
      <c r="C39" s="3984"/>
      <c r="D39" s="3985"/>
      <c r="E39" s="3986"/>
      <c r="F39" s="3986"/>
      <c r="G39" s="3986"/>
      <c r="H39" s="3986"/>
      <c r="I39" s="3986"/>
      <c r="J39" s="4013">
        <f>IF(C39="",0,HLOOKUP(C39,'Part V-Utility Allowances'!$I$11:$M$22,12))</f>
        <v>0</v>
      </c>
      <c r="K39" s="3988"/>
      <c r="L39" s="567">
        <f t="shared" si="0"/>
        <v>0</v>
      </c>
      <c r="M39" s="567">
        <f t="shared" si="1"/>
        <v>0</v>
      </c>
      <c r="N39" s="3989"/>
      <c r="O39" s="3989"/>
      <c r="P39" s="3989"/>
      <c r="Q39" s="3990"/>
      <c r="R39" s="3991"/>
      <c r="S39" s="3992"/>
      <c r="T39" s="3993"/>
      <c r="U39" s="3994"/>
      <c r="V39" s="3994"/>
      <c r="W39" s="399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2"/>
      <c r="C40" s="3984"/>
      <c r="D40" s="3985"/>
      <c r="E40" s="3986"/>
      <c r="F40" s="3986"/>
      <c r="G40" s="3986"/>
      <c r="H40" s="3986"/>
      <c r="I40" s="3986"/>
      <c r="J40" s="4013">
        <f>IF(C40="",0,HLOOKUP(C40,'Part V-Utility Allowances'!$I$11:$M$22,12))</f>
        <v>0</v>
      </c>
      <c r="K40" s="3988"/>
      <c r="L40" s="567">
        <f t="shared" si="0"/>
        <v>0</v>
      </c>
      <c r="M40" s="567">
        <f t="shared" si="1"/>
        <v>0</v>
      </c>
      <c r="N40" s="3989"/>
      <c r="O40" s="3989"/>
      <c r="P40" s="3989"/>
      <c r="Q40" s="3990"/>
      <c r="R40" s="3991"/>
      <c r="S40" s="3992"/>
      <c r="T40" s="3993"/>
      <c r="U40" s="3994"/>
      <c r="V40" s="3994"/>
      <c r="W40" s="399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2"/>
      <c r="C41" s="3984"/>
      <c r="D41" s="3985"/>
      <c r="E41" s="3986"/>
      <c r="F41" s="3986"/>
      <c r="G41" s="3986"/>
      <c r="H41" s="3986"/>
      <c r="I41" s="3986"/>
      <c r="J41" s="4013">
        <f>IF(C41="",0,HLOOKUP(C41,'Part V-Utility Allowances'!$I$11:$M$22,12))</f>
        <v>0</v>
      </c>
      <c r="K41" s="3988"/>
      <c r="L41" s="567">
        <f t="shared" si="0"/>
        <v>0</v>
      </c>
      <c r="M41" s="567">
        <f t="shared" si="1"/>
        <v>0</v>
      </c>
      <c r="N41" s="3989"/>
      <c r="O41" s="3989"/>
      <c r="P41" s="3989"/>
      <c r="Q41" s="3990"/>
      <c r="R41" s="3991"/>
      <c r="S41" s="3992"/>
      <c r="T41" s="3993"/>
      <c r="U41" s="3994"/>
      <c r="V41" s="3994"/>
      <c r="W41" s="399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2"/>
      <c r="C42" s="3984"/>
      <c r="D42" s="3985"/>
      <c r="E42" s="3986"/>
      <c r="F42" s="3986"/>
      <c r="G42" s="3986"/>
      <c r="H42" s="3986"/>
      <c r="I42" s="3986"/>
      <c r="J42" s="4013">
        <f>IF(C42="",0,HLOOKUP(C42,'Part V-Utility Allowances'!$I$11:$M$22,12))</f>
        <v>0</v>
      </c>
      <c r="K42" s="3988"/>
      <c r="L42" s="567">
        <f t="shared" si="0"/>
        <v>0</v>
      </c>
      <c r="M42" s="567">
        <f t="shared" si="1"/>
        <v>0</v>
      </c>
      <c r="N42" s="3989"/>
      <c r="O42" s="3989"/>
      <c r="P42" s="3989"/>
      <c r="Q42" s="3990"/>
      <c r="R42" s="3991"/>
      <c r="S42" s="3992"/>
      <c r="T42" s="3993"/>
      <c r="U42" s="3994"/>
      <c r="V42" s="3994"/>
      <c r="W42" s="399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2"/>
      <c r="C43" s="3984"/>
      <c r="D43" s="3985"/>
      <c r="E43" s="3986"/>
      <c r="F43" s="3986"/>
      <c r="G43" s="3986"/>
      <c r="H43" s="3986"/>
      <c r="I43" s="3986"/>
      <c r="J43" s="4013">
        <f>IF(C43="",0,HLOOKUP(C43,'Part V-Utility Allowances'!$I$11:$M$22,12))</f>
        <v>0</v>
      </c>
      <c r="K43" s="3988"/>
      <c r="L43" s="567">
        <f t="shared" si="0"/>
        <v>0</v>
      </c>
      <c r="M43" s="567">
        <f t="shared" si="1"/>
        <v>0</v>
      </c>
      <c r="N43" s="3989"/>
      <c r="O43" s="3989"/>
      <c r="P43" s="3989"/>
      <c r="Q43" s="3990"/>
      <c r="R43" s="3991"/>
      <c r="S43" s="3992"/>
      <c r="T43" s="3993"/>
      <c r="U43" s="3994"/>
      <c r="V43" s="3994"/>
      <c r="W43" s="399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2"/>
      <c r="C44" s="3984"/>
      <c r="D44" s="3985"/>
      <c r="E44" s="3986"/>
      <c r="F44" s="3986"/>
      <c r="G44" s="3986"/>
      <c r="H44" s="3986"/>
      <c r="I44" s="3986"/>
      <c r="J44" s="4013">
        <f>IF(C44="",0,HLOOKUP(C44,'Part V-Utility Allowances'!$I$11:$M$22,12))</f>
        <v>0</v>
      </c>
      <c r="K44" s="3988"/>
      <c r="L44" s="567">
        <f t="shared" si="0"/>
        <v>0</v>
      </c>
      <c r="M44" s="567">
        <f t="shared" si="1"/>
        <v>0</v>
      </c>
      <c r="N44" s="3989"/>
      <c r="O44" s="3989"/>
      <c r="P44" s="3989"/>
      <c r="Q44" s="3990"/>
      <c r="R44" s="3991"/>
      <c r="S44" s="3992"/>
      <c r="T44" s="3993"/>
      <c r="U44" s="3994"/>
      <c r="V44" s="3994"/>
      <c r="W44" s="399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2"/>
      <c r="C45" s="3984"/>
      <c r="D45" s="3985"/>
      <c r="E45" s="3986"/>
      <c r="F45" s="3986"/>
      <c r="G45" s="3986"/>
      <c r="H45" s="3986"/>
      <c r="I45" s="3986"/>
      <c r="J45" s="4013">
        <f>IF(C45="",0,HLOOKUP(C45,'Part V-Utility Allowances'!$I$11:$M$22,12))</f>
        <v>0</v>
      </c>
      <c r="K45" s="3988"/>
      <c r="L45" s="567">
        <f t="shared" si="0"/>
        <v>0</v>
      </c>
      <c r="M45" s="567">
        <f t="shared" si="1"/>
        <v>0</v>
      </c>
      <c r="N45" s="3989"/>
      <c r="O45" s="3989"/>
      <c r="P45" s="3989"/>
      <c r="Q45" s="3990"/>
      <c r="R45" s="3991"/>
      <c r="S45" s="3992"/>
      <c r="T45" s="3993"/>
      <c r="U45" s="3994"/>
      <c r="V45" s="3994"/>
      <c r="W45" s="399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2"/>
      <c r="C46" s="3984"/>
      <c r="D46" s="3985"/>
      <c r="E46" s="3986"/>
      <c r="F46" s="3986"/>
      <c r="G46" s="3986"/>
      <c r="H46" s="3986"/>
      <c r="I46" s="3986"/>
      <c r="J46" s="4013">
        <f>IF(C46="",0,HLOOKUP(C46,'Part V-Utility Allowances'!$I$11:$M$22,12))</f>
        <v>0</v>
      </c>
      <c r="K46" s="3988"/>
      <c r="L46" s="567">
        <f t="shared" si="0"/>
        <v>0</v>
      </c>
      <c r="M46" s="567">
        <f t="shared" si="1"/>
        <v>0</v>
      </c>
      <c r="N46" s="3989"/>
      <c r="O46" s="3989"/>
      <c r="P46" s="3989"/>
      <c r="Q46" s="3990"/>
      <c r="R46" s="3991"/>
      <c r="S46" s="3992"/>
      <c r="T46" s="3993"/>
      <c r="U46" s="3994"/>
      <c r="V46" s="3994"/>
      <c r="W46" s="399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4"/>
      <c r="C47" s="4015"/>
      <c r="D47" s="4016"/>
      <c r="E47" s="4017"/>
      <c r="F47" s="4017"/>
      <c r="G47" s="4017"/>
      <c r="H47" s="4017"/>
      <c r="I47" s="4017"/>
      <c r="J47" s="4018">
        <f>IF(C47="",0,HLOOKUP(C47,'Part V-Utility Allowances'!$I$11:$M$22,12))</f>
        <v>0</v>
      </c>
      <c r="K47" s="4019"/>
      <c r="L47" s="568">
        <f t="shared" si="0"/>
        <v>0</v>
      </c>
      <c r="M47" s="568">
        <f t="shared" si="1"/>
        <v>0</v>
      </c>
      <c r="N47" s="4020"/>
      <c r="O47" s="4020"/>
      <c r="P47" s="4020"/>
      <c r="Q47" s="4021"/>
      <c r="R47" s="4022"/>
      <c r="S47" s="4023"/>
      <c r="T47" s="4024"/>
      <c r="U47" s="4025"/>
      <c r="V47" s="4025"/>
      <c r="W47" s="402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4</v>
      </c>
      <c r="B48" s="2651" t="s">
        <v>4211</v>
      </c>
      <c r="C48" s="2652"/>
      <c r="D48" s="138" t="s">
        <v>996</v>
      </c>
      <c r="E48" s="1343">
        <f>SUM(E10:E47)</f>
        <v>48</v>
      </c>
      <c r="F48" s="1341">
        <f>(E10*F10+E11*F11+E12*F12+E13*F13+E14*F14+E15*F15+E16*F16+E17*F17+E18*F18+E19*F19+E20*F20+E21*F21+E22*F22+E23*F23+E24*F24+E25*F25+E26*F26+E27*F27+E28*F28+E29*F29+E30*F30+E31*F31+E32*F32+E33*F33+E34*F34+E35*F35+E36*F36+E37*F37+E38*F38+E39*F39+E40*F40+E41*F41+E42*F42+E43*F43+E44*F44+E45*F45+E46*F46+E47*F47)</f>
        <v>38400</v>
      </c>
      <c r="H48" s="2655" t="s">
        <v>4208</v>
      </c>
      <c r="I48" s="4027" t="s">
        <v>4209</v>
      </c>
      <c r="J48" s="1344" t="str">
        <f>IF(P67=0,"",IF(SUM(P58:P62)/P67&gt;=0.4,"Pass","Fail"))</f>
        <v>Pass</v>
      </c>
      <c r="K48" s="547"/>
      <c r="L48" s="872" t="s">
        <v>1276</v>
      </c>
      <c r="M48" s="123">
        <f>SUM(M10:M47)</f>
        <v>27426</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19</v>
      </c>
      <c r="AJ48" s="2249">
        <f t="shared" si="349"/>
        <v>19</v>
      </c>
      <c r="AK48" s="2249">
        <f t="shared" si="349"/>
        <v>0</v>
      </c>
      <c r="AL48" s="2249">
        <f t="shared" si="349"/>
        <v>0</v>
      </c>
      <c r="AM48" s="2249">
        <f>SUM(AM10:AM47)</f>
        <v>0</v>
      </c>
      <c r="AN48" s="2249">
        <f>SUM(AN10:AN47)</f>
        <v>5</v>
      </c>
      <c r="AO48" s="2249">
        <f>SUM(AO10:AO47)</f>
        <v>5</v>
      </c>
      <c r="AP48" s="2249">
        <f>SUM(AP10:AP47)</f>
        <v>0</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13300</v>
      </c>
      <c r="EU48" s="2249">
        <f t="shared" si="352"/>
        <v>17100</v>
      </c>
      <c r="EV48" s="2249">
        <f t="shared" si="352"/>
        <v>0</v>
      </c>
      <c r="EW48" s="2249">
        <f t="shared" si="352"/>
        <v>0</v>
      </c>
      <c r="EX48" s="2249">
        <f t="shared" si="348"/>
        <v>0</v>
      </c>
      <c r="EY48" s="2249">
        <f t="shared" si="348"/>
        <v>3500</v>
      </c>
      <c r="EZ48" s="2249">
        <f t="shared" si="348"/>
        <v>4500</v>
      </c>
      <c r="FA48" s="2249">
        <f t="shared" si="348"/>
        <v>0</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24</v>
      </c>
      <c r="GI48" s="2249">
        <f t="shared" si="353"/>
        <v>24</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24</v>
      </c>
      <c r="IB48" s="2249">
        <f t="shared" si="354"/>
        <v>24</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24</v>
      </c>
      <c r="LI48" s="2249">
        <f t="shared" si="356"/>
        <v>24</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24</v>
      </c>
      <c r="MW48" s="2249">
        <f t="shared" si="355"/>
        <v>24</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57.916666666666664</v>
      </c>
      <c r="C49" s="2654"/>
      <c r="D49" s="2375" t="s">
        <v>4118</v>
      </c>
      <c r="E49" s="1340">
        <f>SUM(E17:E47)</f>
        <v>48</v>
      </c>
      <c r="F49" s="1342">
        <f>(E17*F17+E18*F18+E19*F19+E20*F20+E21*F21+E22*F22+E23*F23+E24*F24+E25*F25+E26*F26+E27*F27+E28*F28+E29*F29+E30*F30+E31*F31+E32*F32+E33*F33+E34*F34+E35*F35+E36*F36+E37*F37+E38*F38+E39*F39+E40*F40+E41*F41+E42*F42+E43*F43+E44*F44+E45*F45+E46*F46+E47*F47)</f>
        <v>38400</v>
      </c>
      <c r="H49" s="2656"/>
      <c r="I49" s="4028" t="s">
        <v>4210</v>
      </c>
      <c r="J49" s="1345" t="str">
        <f>IF(P67=0,"",IF(SUM(P59:P62)/P67&gt;=0.2,"Pass","Fail"))</f>
        <v>Pass</v>
      </c>
      <c r="K49" s="547"/>
      <c r="L49" s="138" t="s">
        <v>794</v>
      </c>
      <c r="M49" s="123">
        <f>M48*12</f>
        <v>329112</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29"/>
      <c r="C51" s="4029"/>
      <c r="D51" s="4029"/>
      <c r="E51" s="4029"/>
      <c r="F51" s="4029"/>
      <c r="G51" s="4029"/>
      <c r="H51" s="4029"/>
      <c r="I51" s="4029"/>
      <c r="J51" s="4029"/>
      <c r="K51" s="4029"/>
      <c r="L51" s="4029"/>
      <c r="M51" s="4029"/>
      <c r="N51" s="4029"/>
      <c r="O51" s="4029"/>
      <c r="P51" s="4029"/>
      <c r="Q51" s="4029"/>
      <c r="R51" s="4030"/>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29"/>
      <c r="B52" s="4029"/>
      <c r="C52" s="4029"/>
      <c r="D52" s="4029"/>
      <c r="E52" s="4029"/>
      <c r="F52" s="4029"/>
      <c r="G52" s="4029"/>
      <c r="H52" s="4029"/>
      <c r="I52" s="4029"/>
      <c r="J52" s="4029"/>
      <c r="K52" s="4029"/>
      <c r="L52" s="4029"/>
      <c r="M52" s="4029"/>
      <c r="N52" s="4029"/>
      <c r="O52" s="4029"/>
      <c r="P52" s="4029"/>
      <c r="Q52" s="4029"/>
      <c r="R52" s="4030"/>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Income Averaging</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4806</v>
      </c>
      <c r="B56" s="2640"/>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47" t="s">
        <v>3494</v>
      </c>
      <c r="R56" s="2382"/>
      <c r="S56" s="4031"/>
      <c r="T56" s="4032"/>
      <c r="U56" s="4032"/>
      <c r="V56" s="4032"/>
      <c r="W56" s="4033"/>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4120</v>
      </c>
      <c r="I57" s="36"/>
      <c r="J57" s="82"/>
      <c r="K57" s="1356">
        <f>AC48</f>
        <v>0</v>
      </c>
      <c r="L57" s="1357">
        <f>AD48</f>
        <v>0</v>
      </c>
      <c r="M57" s="1357">
        <f>AE48</f>
        <v>0</v>
      </c>
      <c r="N57" s="1357">
        <f>AF48</f>
        <v>0</v>
      </c>
      <c r="O57" s="1358">
        <f>AG48</f>
        <v>0</v>
      </c>
      <c r="P57" s="914">
        <f t="shared" si="357"/>
        <v>0</v>
      </c>
      <c r="Q57" s="2647"/>
      <c r="R57" s="2382"/>
      <c r="S57" s="3993"/>
      <c r="T57" s="3994"/>
      <c r="U57" s="3994"/>
      <c r="V57" s="3994"/>
      <c r="W57" s="399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19</v>
      </c>
      <c r="M58" s="1357">
        <f>AJ48</f>
        <v>19</v>
      </c>
      <c r="N58" s="1357">
        <f>AK48</f>
        <v>0</v>
      </c>
      <c r="O58" s="1358">
        <f>AL48</f>
        <v>0</v>
      </c>
      <c r="P58" s="914">
        <f t="shared" si="357"/>
        <v>38</v>
      </c>
      <c r="Q58" s="2647"/>
      <c r="R58" s="2382"/>
      <c r="S58" s="3993"/>
      <c r="T58" s="3994"/>
      <c r="U58" s="3994"/>
      <c r="V58" s="3994"/>
      <c r="W58" s="399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5</v>
      </c>
      <c r="M59" s="1378">
        <f>AO48</f>
        <v>5</v>
      </c>
      <c r="N59" s="1378">
        <f>AP48</f>
        <v>0</v>
      </c>
      <c r="O59" s="1379">
        <f>AQ48</f>
        <v>0</v>
      </c>
      <c r="P59" s="572">
        <f t="shared" si="357"/>
        <v>10</v>
      </c>
      <c r="Q59" s="2647"/>
      <c r="R59" s="2382"/>
      <c r="S59" s="3993"/>
      <c r="T59" s="3994"/>
      <c r="U59" s="3994"/>
      <c r="V59" s="3994"/>
      <c r="W59" s="399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4121</v>
      </c>
      <c r="I60" s="52"/>
      <c r="J60" s="1094"/>
      <c r="K60" s="1356">
        <f>AR48</f>
        <v>0</v>
      </c>
      <c r="L60" s="1357">
        <f>AS48</f>
        <v>0</v>
      </c>
      <c r="M60" s="1357">
        <f>AT48</f>
        <v>0</v>
      </c>
      <c r="N60" s="1357">
        <f>AU48</f>
        <v>0</v>
      </c>
      <c r="O60" s="1358">
        <f>AV48</f>
        <v>0</v>
      </c>
      <c r="P60" s="914">
        <f t="shared" si="357"/>
        <v>0</v>
      </c>
      <c r="Q60" s="2647"/>
      <c r="R60" s="2382"/>
      <c r="S60" s="3993"/>
      <c r="T60" s="3994"/>
      <c r="U60" s="3994"/>
      <c r="V60" s="3994"/>
      <c r="W60" s="399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4122</v>
      </c>
      <c r="I61" s="36"/>
      <c r="J61" s="82"/>
      <c r="K61" s="1356">
        <f>AW48</f>
        <v>0</v>
      </c>
      <c r="L61" s="1357">
        <f>AX48</f>
        <v>0</v>
      </c>
      <c r="M61" s="1357">
        <f>AY48</f>
        <v>0</v>
      </c>
      <c r="N61" s="1357">
        <f>AZ48</f>
        <v>0</v>
      </c>
      <c r="O61" s="1358">
        <f>BA48</f>
        <v>0</v>
      </c>
      <c r="P61" s="914">
        <f t="shared" si="357"/>
        <v>0</v>
      </c>
      <c r="Q61" s="2647"/>
      <c r="R61" s="2382"/>
      <c r="S61" s="3993"/>
      <c r="T61" s="3994"/>
      <c r="U61" s="3994"/>
      <c r="V61" s="3994"/>
      <c r="W61" s="399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4123</v>
      </c>
      <c r="I62" s="36"/>
      <c r="J62" s="82"/>
      <c r="K62" s="1359">
        <f>BB48</f>
        <v>0</v>
      </c>
      <c r="L62" s="1360">
        <f>BC48</f>
        <v>0</v>
      </c>
      <c r="M62" s="1360">
        <f>BD48</f>
        <v>0</v>
      </c>
      <c r="N62" s="1360">
        <f>BE48</f>
        <v>0</v>
      </c>
      <c r="O62" s="1361">
        <f>BF48</f>
        <v>0</v>
      </c>
      <c r="P62" s="572">
        <f t="shared" si="357"/>
        <v>0</v>
      </c>
      <c r="Q62" s="2647"/>
      <c r="R62" s="2382"/>
      <c r="S62" s="3993"/>
      <c r="T62" s="3994"/>
      <c r="U62" s="3994"/>
      <c r="V62" s="3994"/>
      <c r="W62" s="3995"/>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4205</v>
      </c>
      <c r="D63" s="1"/>
      <c r="E63" s="1"/>
      <c r="F63" s="1"/>
      <c r="G63" s="82"/>
      <c r="H63" s="89"/>
      <c r="I63" s="55"/>
      <c r="J63" s="82"/>
      <c r="K63" s="1327">
        <f>SUM(K56:K62)</f>
        <v>0</v>
      </c>
      <c r="L63" s="1327">
        <f>SUM(L56:L62)</f>
        <v>24</v>
      </c>
      <c r="M63" s="1327">
        <f>SUM(M56:M62)</f>
        <v>24</v>
      </c>
      <c r="N63" s="1327">
        <f>SUM(N56:N62)</f>
        <v>0</v>
      </c>
      <c r="O63" s="1327">
        <f>SUM(O56:O62)</f>
        <v>0</v>
      </c>
      <c r="P63" s="1327">
        <f t="shared" si="357"/>
        <v>48</v>
      </c>
      <c r="Q63" s="2648"/>
      <c r="S63" s="3993"/>
      <c r="T63" s="3994"/>
      <c r="U63" s="3994"/>
      <c r="V63" s="3994"/>
      <c r="W63" s="3995"/>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0</v>
      </c>
      <c r="M64" s="915">
        <f>BI48</f>
        <v>0</v>
      </c>
      <c r="N64" s="915">
        <f>BJ48</f>
        <v>0</v>
      </c>
      <c r="O64" s="915">
        <f>BK48</f>
        <v>0</v>
      </c>
      <c r="P64" s="915">
        <f t="shared" si="357"/>
        <v>0</v>
      </c>
      <c r="S64" s="3993"/>
      <c r="T64" s="3994"/>
      <c r="U64" s="3994"/>
      <c r="V64" s="3994"/>
      <c r="W64" s="399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24</v>
      </c>
      <c r="M65" s="1336">
        <f>SUM(M63:M64)</f>
        <v>24</v>
      </c>
      <c r="N65" s="1336">
        <f>SUM(N63:N64)</f>
        <v>0</v>
      </c>
      <c r="O65" s="1336">
        <f>SUM(O63:O64)</f>
        <v>0</v>
      </c>
      <c r="P65" s="1336">
        <f t="shared" si="357"/>
        <v>48</v>
      </c>
      <c r="S65" s="3993"/>
      <c r="T65" s="3994"/>
      <c r="U65" s="3994"/>
      <c r="V65" s="3994"/>
      <c r="W65" s="399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3495</v>
      </c>
      <c r="S66" s="3993"/>
      <c r="T66" s="3994"/>
      <c r="U66" s="3994"/>
      <c r="V66" s="3994"/>
      <c r="W66" s="399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24</v>
      </c>
      <c r="M67" s="1326">
        <f>SUM(M65:M66)</f>
        <v>24</v>
      </c>
      <c r="N67" s="1326">
        <f>SUM(N65:N66)</f>
        <v>0</v>
      </c>
      <c r="O67" s="1326">
        <f>SUM(O65:O66)</f>
        <v>0</v>
      </c>
      <c r="P67" s="1326">
        <f t="shared" si="357"/>
        <v>48</v>
      </c>
      <c r="S67" s="4024"/>
      <c r="T67" s="4025"/>
      <c r="U67" s="4025"/>
      <c r="V67" s="4025"/>
      <c r="W67" s="4026"/>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4119</v>
      </c>
      <c r="I70" s="36"/>
      <c r="J70" s="1741"/>
      <c r="K70" s="4034" t="str">
        <f t="shared" ref="K70:P70" si="358">IF(OR(K56=0,K$67=0),"",K56/K$67)</f>
        <v/>
      </c>
      <c r="L70" s="4035" t="str">
        <f t="shared" si="358"/>
        <v/>
      </c>
      <c r="M70" s="4035" t="str">
        <f t="shared" si="358"/>
        <v/>
      </c>
      <c r="N70" s="4035" t="str">
        <f t="shared" si="358"/>
        <v/>
      </c>
      <c r="O70" s="4035" t="str">
        <f t="shared" si="358"/>
        <v/>
      </c>
      <c r="P70" s="4036" t="str">
        <f t="shared" si="358"/>
        <v/>
      </c>
      <c r="Q70" s="40" t="s">
        <v>4779</v>
      </c>
      <c r="S70" s="4031"/>
      <c r="T70" s="4032"/>
      <c r="U70" s="4032"/>
      <c r="V70" s="4032"/>
      <c r="W70" s="4033"/>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4801</v>
      </c>
      <c r="I71" s="36"/>
      <c r="J71" s="1"/>
      <c r="K71" s="4037" t="str">
        <f>IF(OR(K56=0,$P70="",K$67=0),"",$P70*K$67)</f>
        <v/>
      </c>
      <c r="L71" s="4037" t="str">
        <f>IF(OR(L56=0,$P70="",L$67=0),"",$P70*L$67)</f>
        <v/>
      </c>
      <c r="M71" s="4037" t="str">
        <f>IF(OR(M56=0,$P70="",M$67=0),"",$P70*M$67)</f>
        <v/>
      </c>
      <c r="N71" s="4037" t="str">
        <f>IF(OR(N56=0,$P70="",N$67=0),"",$P70*N$67)</f>
        <v/>
      </c>
      <c r="O71" s="4037" t="str">
        <f>IF(OR(O56=0,$P70="",O$67=0),"",$P70*O$67)</f>
        <v/>
      </c>
      <c r="P71" s="4038" t="str">
        <f t="shared" ref="P71" si="359">IF(OR($P70="",P$67=0),"",$P70*P$67)</f>
        <v/>
      </c>
      <c r="S71" s="3993"/>
      <c r="T71" s="3994"/>
      <c r="U71" s="3994"/>
      <c r="V71" s="3994"/>
      <c r="W71" s="399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9" t="s">
        <v>4802</v>
      </c>
      <c r="I72" s="4040"/>
      <c r="J72" s="1"/>
      <c r="K72" s="4041" t="str">
        <f t="shared" ref="K72:P72" si="360">IF(OR(K71="",K56=0),"", K56-K71)</f>
        <v/>
      </c>
      <c r="L72" s="4042" t="str">
        <f t="shared" si="360"/>
        <v/>
      </c>
      <c r="M72" s="4042" t="str">
        <f t="shared" si="360"/>
        <v/>
      </c>
      <c r="N72" s="4042" t="str">
        <f t="shared" si="360"/>
        <v/>
      </c>
      <c r="O72" s="4042" t="str">
        <f t="shared" si="360"/>
        <v/>
      </c>
      <c r="P72" s="4043" t="str">
        <f t="shared" si="360"/>
        <v/>
      </c>
      <c r="S72" s="3993"/>
      <c r="T72" s="3994"/>
      <c r="U72" s="3994"/>
      <c r="V72" s="3994"/>
      <c r="W72" s="399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4" t="s">
        <v>4778</v>
      </c>
      <c r="E73" s="4044"/>
      <c r="F73" s="4044"/>
      <c r="G73" s="8"/>
      <c r="H73" s="110" t="s">
        <v>4120</v>
      </c>
      <c r="I73" s="36"/>
      <c r="J73" s="1"/>
      <c r="K73" s="4045" t="str">
        <f t="shared" ref="K73:P73" si="361">IF(OR(K57=0,K$67=0),"",K57/K$67)</f>
        <v/>
      </c>
      <c r="L73" s="4046" t="str">
        <f t="shared" si="361"/>
        <v/>
      </c>
      <c r="M73" s="4046" t="str">
        <f t="shared" si="361"/>
        <v/>
      </c>
      <c r="N73" s="4046" t="str">
        <f t="shared" si="361"/>
        <v/>
      </c>
      <c r="O73" s="4046" t="str">
        <f t="shared" si="361"/>
        <v/>
      </c>
      <c r="P73" s="4047" t="str">
        <f t="shared" si="361"/>
        <v/>
      </c>
      <c r="S73" s="3993"/>
      <c r="T73" s="3994"/>
      <c r="U73" s="3994"/>
      <c r="V73" s="3994"/>
      <c r="W73" s="399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4"/>
      <c r="E74" s="4044"/>
      <c r="F74" s="4044"/>
      <c r="G74" s="8"/>
      <c r="H74" s="110" t="s">
        <v>4801</v>
      </c>
      <c r="I74" s="36"/>
      <c r="J74" s="1"/>
      <c r="K74" s="4037" t="str">
        <f>IF(OR(K57=0,$P73="",K$67=0),"",$P73*K$67)</f>
        <v/>
      </c>
      <c r="L74" s="4037" t="str">
        <f>IF(OR(L57=0,$P73="",L$67=0),"",$P73*L$67)</f>
        <v/>
      </c>
      <c r="M74" s="4037" t="str">
        <f>IF(OR(M57=0,$P73="",M$67=0),"",$P73*M$67)</f>
        <v/>
      </c>
      <c r="N74" s="4037" t="str">
        <f>IF(OR(N57=0,$P73="",N$67=0),"",$P73*N$67)</f>
        <v/>
      </c>
      <c r="O74" s="4037" t="str">
        <f>IF(OR(O57=0,$P73="",O$67=0),"",$P73*O$67)</f>
        <v/>
      </c>
      <c r="P74" s="4038" t="str">
        <f t="shared" ref="P74" si="362">IF(OR($P73="",P$67=0),"",$P73*P$67)</f>
        <v/>
      </c>
      <c r="S74" s="3993"/>
      <c r="T74" s="3994"/>
      <c r="U74" s="3994"/>
      <c r="V74" s="3994"/>
      <c r="W74" s="399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4"/>
      <c r="E75" s="4044"/>
      <c r="F75" s="4044"/>
      <c r="G75" s="8"/>
      <c r="H75" s="4039" t="s">
        <v>4802</v>
      </c>
      <c r="I75" s="4040"/>
      <c r="J75" s="1"/>
      <c r="K75" s="4041" t="str">
        <f t="shared" ref="K75:P75" si="363">IF(OR(K74="",K57=0),"", K57-K74)</f>
        <v/>
      </c>
      <c r="L75" s="4041" t="str">
        <f t="shared" si="363"/>
        <v/>
      </c>
      <c r="M75" s="4041" t="str">
        <f t="shared" si="363"/>
        <v/>
      </c>
      <c r="N75" s="4041" t="str">
        <f t="shared" si="363"/>
        <v/>
      </c>
      <c r="O75" s="4041" t="str">
        <f t="shared" si="363"/>
        <v/>
      </c>
      <c r="P75" s="4041" t="str">
        <f t="shared" si="363"/>
        <v/>
      </c>
      <c r="S75" s="3993"/>
      <c r="T75" s="3994"/>
      <c r="U75" s="3994"/>
      <c r="V75" s="3994"/>
      <c r="W75" s="399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44"/>
      <c r="E76" s="4044"/>
      <c r="F76" s="4044"/>
      <c r="G76" s="8"/>
      <c r="H76" s="110" t="s">
        <v>1127</v>
      </c>
      <c r="I76" s="36"/>
      <c r="J76" s="1"/>
      <c r="K76" s="4045" t="str">
        <f t="shared" ref="K76:P76" si="364">IF(OR(K58=0,K$67=0),"",K58/K$67)</f>
        <v/>
      </c>
      <c r="L76" s="4046">
        <f t="shared" si="364"/>
        <v>0.79166666666666663</v>
      </c>
      <c r="M76" s="4046">
        <f t="shared" si="364"/>
        <v>0.79166666666666663</v>
      </c>
      <c r="N76" s="4046" t="str">
        <f t="shared" si="364"/>
        <v/>
      </c>
      <c r="O76" s="4046" t="str">
        <f t="shared" si="364"/>
        <v/>
      </c>
      <c r="P76" s="4047">
        <f t="shared" si="364"/>
        <v>0.79166666666666663</v>
      </c>
      <c r="S76" s="3993"/>
      <c r="T76" s="3994"/>
      <c r="U76" s="3994"/>
      <c r="V76" s="3994"/>
      <c r="W76" s="399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4"/>
      <c r="E77" s="4044"/>
      <c r="F77" s="4044"/>
      <c r="G77" s="8"/>
      <c r="H77" s="110" t="s">
        <v>4801</v>
      </c>
      <c r="I77" s="36"/>
      <c r="J77" s="1"/>
      <c r="K77" s="4037" t="str">
        <f>IF(OR(K58=0,$P76="",K$67=0),"",$P76*K$67)</f>
        <v/>
      </c>
      <c r="L77" s="4037">
        <f>IF(OR(L58=0,$P76="",L$67=0),"",$P76*L$67)</f>
        <v>19</v>
      </c>
      <c r="M77" s="4037">
        <f>IF(OR(M58=0,$P76="",M$67=0),"",$P76*M$67)</f>
        <v>19</v>
      </c>
      <c r="N77" s="4037" t="str">
        <f>IF(OR(N58=0,$P76="",N$67=0),"",$P76*N$67)</f>
        <v/>
      </c>
      <c r="O77" s="4037" t="str">
        <f>IF(OR(O58=0,$P76="",O$67=0),"",$P76*O$67)</f>
        <v/>
      </c>
      <c r="P77" s="4038">
        <f t="shared" ref="P77" si="365">IF(OR($P76="",P$67=0),"",$P76*P$67)</f>
        <v>38</v>
      </c>
      <c r="S77" s="4024"/>
      <c r="T77" s="4025"/>
      <c r="U77" s="4025"/>
      <c r="V77" s="4025"/>
      <c r="W77" s="4026"/>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9" t="s">
        <v>4802</v>
      </c>
      <c r="I78" s="4040"/>
      <c r="J78" s="1"/>
      <c r="K78" s="4041" t="str">
        <f t="shared" ref="K78:P78" si="366">IF(OR(K77="",K58=0),"", K58-K77)</f>
        <v/>
      </c>
      <c r="L78" s="4041">
        <f t="shared" si="366"/>
        <v>0</v>
      </c>
      <c r="M78" s="4041">
        <f t="shared" si="366"/>
        <v>0</v>
      </c>
      <c r="N78" s="4041" t="str">
        <f t="shared" si="366"/>
        <v/>
      </c>
      <c r="O78" s="4041" t="str">
        <f t="shared" si="366"/>
        <v/>
      </c>
      <c r="P78" s="4041">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48"/>
      <c r="E79" s="4048"/>
      <c r="F79" s="8"/>
      <c r="G79" s="8"/>
      <c r="H79" s="110" t="s">
        <v>115</v>
      </c>
      <c r="I79" s="36"/>
      <c r="J79" s="1"/>
      <c r="K79" s="4045" t="str">
        <f t="shared" ref="K79:P79" si="367">IF(OR(K59=0,K$67=0),"",K59/K$67)</f>
        <v/>
      </c>
      <c r="L79" s="4046">
        <f t="shared" si="367"/>
        <v>0.20833333333333334</v>
      </c>
      <c r="M79" s="4046">
        <f t="shared" si="367"/>
        <v>0.20833333333333334</v>
      </c>
      <c r="N79" s="4046" t="str">
        <f t="shared" si="367"/>
        <v/>
      </c>
      <c r="O79" s="4046" t="str">
        <f t="shared" si="367"/>
        <v/>
      </c>
      <c r="P79" s="4047">
        <f t="shared" si="367"/>
        <v>0.20833333333333334</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8"/>
      <c r="E80" s="4048"/>
      <c r="F80" s="8"/>
      <c r="G80" s="8"/>
      <c r="H80" s="110" t="s">
        <v>4801</v>
      </c>
      <c r="I80" s="36"/>
      <c r="J80" s="1"/>
      <c r="K80" s="4037" t="str">
        <f>IF(OR(K59=0,$P79="",K$67=0),"",$P79*K$67)</f>
        <v/>
      </c>
      <c r="L80" s="4037">
        <f>IF(OR(L59=0,$P79="",L$67=0),"",$P79*L$67)</f>
        <v>5</v>
      </c>
      <c r="M80" s="4037">
        <f>IF(OR(M59=0,$P79="",M$67=0),"",$P79*M$67)</f>
        <v>5</v>
      </c>
      <c r="N80" s="4037" t="str">
        <f>IF(OR(N59=0,$P79="",N$67=0),"",$P79*N$67)</f>
        <v/>
      </c>
      <c r="O80" s="4037" t="str">
        <f>IF(OR(O59=0,$P79="",O$67=0),"",$P79*O$67)</f>
        <v/>
      </c>
      <c r="P80" s="4038">
        <f t="shared" ref="P80" si="368">IF(OR($P79="",P$67=0),"",$P79*P$67)</f>
        <v>10</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8"/>
      <c r="E81" s="4048"/>
      <c r="F81" s="8"/>
      <c r="G81" s="8"/>
      <c r="H81" s="4039" t="s">
        <v>4802</v>
      </c>
      <c r="I81" s="4040"/>
      <c r="J81" s="1"/>
      <c r="K81" s="4041" t="str">
        <f t="shared" ref="K81:P81" si="369">IF(OR(K80="",K59=0),"", K59-K80)</f>
        <v/>
      </c>
      <c r="L81" s="4041">
        <f t="shared" si="369"/>
        <v>0</v>
      </c>
      <c r="M81" s="4041">
        <f t="shared" si="369"/>
        <v>0</v>
      </c>
      <c r="N81" s="4041" t="str">
        <f t="shared" si="369"/>
        <v/>
      </c>
      <c r="O81" s="4041" t="str">
        <f t="shared" si="369"/>
        <v/>
      </c>
      <c r="P81" s="4041">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48"/>
      <c r="E82" s="4048"/>
      <c r="F82" s="8"/>
      <c r="G82" s="8"/>
      <c r="H82" s="110" t="s">
        <v>4121</v>
      </c>
      <c r="I82" s="36"/>
      <c r="J82" s="1"/>
      <c r="K82" s="4045" t="str">
        <f t="shared" ref="K82:P82" si="370">IF(OR(K60=0,K$67=0),"",K60/K$67)</f>
        <v/>
      </c>
      <c r="L82" s="4046" t="str">
        <f t="shared" si="370"/>
        <v/>
      </c>
      <c r="M82" s="4046" t="str">
        <f t="shared" si="370"/>
        <v/>
      </c>
      <c r="N82" s="4046" t="str">
        <f t="shared" si="370"/>
        <v/>
      </c>
      <c r="O82" s="4046" t="str">
        <f t="shared" si="370"/>
        <v/>
      </c>
      <c r="P82" s="404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37" t="str">
        <f>IF(OR(K60=0,$P82="",K$67=0),"",$P82*K$67)</f>
        <v/>
      </c>
      <c r="L83" s="4037" t="str">
        <f>IF(OR(L60=0,$P82="",L$67=0),"",$P82*L$67)</f>
        <v/>
      </c>
      <c r="M83" s="4037" t="str">
        <f>IF(OR(M60=0,$P82="",M$67=0),"",$P82*M$67)</f>
        <v/>
      </c>
      <c r="N83" s="4037" t="str">
        <f>IF(OR(N60=0,$P82="",N$67=0),"",$P82*N$67)</f>
        <v/>
      </c>
      <c r="O83" s="4037" t="str">
        <f>IF(OR(O60=0,$P82="",O$67=0),"",$P82*O$67)</f>
        <v/>
      </c>
      <c r="P83" s="4038"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9" t="s">
        <v>4802</v>
      </c>
      <c r="I84" s="4040"/>
      <c r="J84" s="1"/>
      <c r="K84" s="4041" t="str">
        <f t="shared" ref="K84:P84" si="372">IF(OR(K83="",K60=0),"", K60-K83)</f>
        <v/>
      </c>
      <c r="L84" s="4041" t="str">
        <f t="shared" si="372"/>
        <v/>
      </c>
      <c r="M84" s="4041" t="str">
        <f t="shared" si="372"/>
        <v/>
      </c>
      <c r="N84" s="4041" t="str">
        <f t="shared" si="372"/>
        <v/>
      </c>
      <c r="O84" s="4041" t="str">
        <f t="shared" si="372"/>
        <v/>
      </c>
      <c r="P84" s="4041"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4122</v>
      </c>
      <c r="I85" s="36"/>
      <c r="J85" s="1"/>
      <c r="K85" s="4045" t="str">
        <f t="shared" ref="K85:P85" si="373">IF(OR(K61=0,K$67=0),"",K61/K$67)</f>
        <v/>
      </c>
      <c r="L85" s="4046" t="str">
        <f t="shared" si="373"/>
        <v/>
      </c>
      <c r="M85" s="4046" t="str">
        <f t="shared" si="373"/>
        <v/>
      </c>
      <c r="N85" s="4046" t="str">
        <f t="shared" si="373"/>
        <v/>
      </c>
      <c r="O85" s="4046" t="str">
        <f t="shared" si="373"/>
        <v/>
      </c>
      <c r="P85" s="404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37" t="str">
        <f>IF(OR(K61=0,$P85="",K$67=0),"",$P85*K$67)</f>
        <v/>
      </c>
      <c r="L86" s="4037" t="str">
        <f>IF(OR(L61=0,$P85="",L$67=0),"",$P85*L$67)</f>
        <v/>
      </c>
      <c r="M86" s="4037" t="str">
        <f>IF(OR(M61=0,$P85="",M$67=0),"",$P85*M$67)</f>
        <v/>
      </c>
      <c r="N86" s="4037" t="str">
        <f>IF(OR(N61=0,$P85="",N$67=0),"",$P85*N$67)</f>
        <v/>
      </c>
      <c r="O86" s="4037" t="str">
        <f>IF(OR(O61=0,$P85="",O$67=0),"",$P85*O$67)</f>
        <v/>
      </c>
      <c r="P86" s="4038"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9" t="s">
        <v>4802</v>
      </c>
      <c r="I87" s="4040"/>
      <c r="J87" s="1"/>
      <c r="K87" s="4041" t="str">
        <f t="shared" ref="K87:P87" si="375">IF(OR(K86="",K61=0),"", K61-K86)</f>
        <v/>
      </c>
      <c r="L87" s="4041" t="str">
        <f t="shared" si="375"/>
        <v/>
      </c>
      <c r="M87" s="4041" t="str">
        <f t="shared" si="375"/>
        <v/>
      </c>
      <c r="N87" s="4041" t="str">
        <f t="shared" si="375"/>
        <v/>
      </c>
      <c r="O87" s="4041" t="str">
        <f t="shared" si="375"/>
        <v/>
      </c>
      <c r="P87" s="4041"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4123</v>
      </c>
      <c r="I88" s="52"/>
      <c r="J88" s="1"/>
      <c r="K88" s="4045" t="str">
        <f t="shared" ref="K88:P88" si="376">IF(OR(K62=0,K$67=0),"",K62/K$67)</f>
        <v/>
      </c>
      <c r="L88" s="4046" t="str">
        <f t="shared" si="376"/>
        <v/>
      </c>
      <c r="M88" s="4046" t="str">
        <f t="shared" si="376"/>
        <v/>
      </c>
      <c r="N88" s="4046" t="str">
        <f t="shared" si="376"/>
        <v/>
      </c>
      <c r="O88" s="4046" t="str">
        <f t="shared" si="376"/>
        <v/>
      </c>
      <c r="P88" s="404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9"/>
      <c r="E89" s="4049"/>
      <c r="F89" s="8"/>
      <c r="G89" s="8"/>
      <c r="H89" s="110" t="s">
        <v>4801</v>
      </c>
      <c r="I89" s="36"/>
      <c r="J89" s="1"/>
      <c r="K89" s="4037" t="str">
        <f>IF(OR(K62=0,$P88="",K$67=0),"",$P88*K$67)</f>
        <v/>
      </c>
      <c r="L89" s="4037" t="str">
        <f>IF(OR(L62=0,$P88="",L$67=0),"",$P88*L$67)</f>
        <v/>
      </c>
      <c r="M89" s="4037" t="str">
        <f>IF(OR(M62=0,$P88="",M$67=0),"",$P88*M$67)</f>
        <v/>
      </c>
      <c r="N89" s="4037" t="str">
        <f>IF(OR(N62=0,$P88="",N$67=0),"",$P88*N$67)</f>
        <v/>
      </c>
      <c r="O89" s="4037" t="str">
        <f>IF(OR(O62=0,$P88="",O$67=0),"",$P88*O$67)</f>
        <v/>
      </c>
      <c r="P89" s="4038"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8"/>
      <c r="E90" s="4048"/>
      <c r="F90" s="8"/>
      <c r="G90" s="8"/>
      <c r="H90" s="4039" t="s">
        <v>4802</v>
      </c>
      <c r="I90" s="4040"/>
      <c r="J90" s="1"/>
      <c r="K90" s="4050" t="str">
        <f t="shared" ref="K90:P90" si="378">IF(OR(K89="",K62=0),"", K62-K89)</f>
        <v/>
      </c>
      <c r="L90" s="4050" t="str">
        <f t="shared" si="378"/>
        <v/>
      </c>
      <c r="M90" s="4050" t="str">
        <f t="shared" si="378"/>
        <v/>
      </c>
      <c r="N90" s="4050" t="str">
        <f t="shared" si="378"/>
        <v/>
      </c>
      <c r="O90" s="4050" t="str">
        <f t="shared" si="378"/>
        <v/>
      </c>
      <c r="P90" s="405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4031"/>
      <c r="T93" s="4032"/>
      <c r="U93" s="4032"/>
      <c r="V93" s="4032"/>
      <c r="W93" s="4033"/>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4120</v>
      </c>
      <c r="I94" s="36"/>
      <c r="J94" s="82"/>
      <c r="K94" s="1365">
        <f>CK48</f>
        <v>0</v>
      </c>
      <c r="L94" s="1366">
        <f>CL48</f>
        <v>0</v>
      </c>
      <c r="M94" s="1366">
        <f>CM48</f>
        <v>0</v>
      </c>
      <c r="N94" s="1366">
        <f>CN48</f>
        <v>0</v>
      </c>
      <c r="O94" s="1367">
        <f>CO48</f>
        <v>0</v>
      </c>
      <c r="P94" s="1325">
        <f t="shared" si="379"/>
        <v>0</v>
      </c>
      <c r="S94" s="3993"/>
      <c r="T94" s="3994"/>
      <c r="U94" s="3994"/>
      <c r="V94" s="3994"/>
      <c r="W94" s="399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3"/>
      <c r="T95" s="3994"/>
      <c r="U95" s="3994"/>
      <c r="V95" s="3994"/>
      <c r="W95" s="399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3"/>
      <c r="T96" s="3994"/>
      <c r="U96" s="3994"/>
      <c r="V96" s="3994"/>
      <c r="W96" s="399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3993"/>
      <c r="T97" s="3994"/>
      <c r="U97" s="3994"/>
      <c r="V97" s="3994"/>
      <c r="W97" s="399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3993"/>
      <c r="T98" s="3994"/>
      <c r="U98" s="3994"/>
      <c r="V98" s="3994"/>
      <c r="W98" s="399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3993"/>
      <c r="T99" s="3994"/>
      <c r="U99" s="3994"/>
      <c r="V99" s="3994"/>
      <c r="W99" s="399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4"/>
      <c r="T100" s="4025"/>
      <c r="U100" s="4025"/>
      <c r="V100" s="4025"/>
      <c r="W100" s="4026"/>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4423</v>
      </c>
      <c r="H102" s="89"/>
      <c r="L102" s="2644" t="str">
        <f>$L$53</f>
        <v>Income Averaging</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4031"/>
      <c r="T104" s="4032"/>
      <c r="U104" s="4032"/>
      <c r="V104" s="4032"/>
      <c r="W104" s="4033"/>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3993"/>
      <c r="T105" s="3994"/>
      <c r="U105" s="3994"/>
      <c r="V105" s="3994"/>
      <c r="W105" s="399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3"/>
      <c r="T106" s="3994"/>
      <c r="U106" s="3994"/>
      <c r="V106" s="3994"/>
      <c r="W106" s="399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3"/>
      <c r="T107" s="3994"/>
      <c r="U107" s="3994"/>
      <c r="V107" s="3994"/>
      <c r="W107" s="399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3993"/>
      <c r="T108" s="3994"/>
      <c r="U108" s="3994"/>
      <c r="V108" s="3994"/>
      <c r="W108" s="399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3993"/>
      <c r="T109" s="3994"/>
      <c r="U109" s="3994"/>
      <c r="V109" s="3994"/>
      <c r="W109" s="399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3993"/>
      <c r="T110" s="3994"/>
      <c r="U110" s="3994"/>
      <c r="V110" s="3994"/>
      <c r="W110" s="3995"/>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4"/>
      <c r="T111" s="4025"/>
      <c r="U111" s="4025"/>
      <c r="V111" s="4025"/>
      <c r="W111" s="4026"/>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24</v>
      </c>
      <c r="M113" s="1354">
        <f>GI48</f>
        <v>24</v>
      </c>
      <c r="N113" s="1354">
        <f>GJ48</f>
        <v>0</v>
      </c>
      <c r="O113" s="1355">
        <f>GK48</f>
        <v>0</v>
      </c>
      <c r="P113" s="919">
        <f t="shared" ref="P113:P123" si="381">SUM(K113:O113)</f>
        <v>48</v>
      </c>
      <c r="S113" s="4031"/>
      <c r="T113" s="4032"/>
      <c r="U113" s="4032"/>
      <c r="V113" s="4032"/>
      <c r="W113" s="4033"/>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0</v>
      </c>
      <c r="M114" s="1360">
        <f>GN48</f>
        <v>0</v>
      </c>
      <c r="N114" s="1360">
        <f>GO48</f>
        <v>0</v>
      </c>
      <c r="O114" s="1361">
        <f>GP48</f>
        <v>0</v>
      </c>
      <c r="P114" s="915">
        <f t="shared" si="381"/>
        <v>0</v>
      </c>
      <c r="S114" s="3993"/>
      <c r="T114" s="3994"/>
      <c r="U114" s="3994"/>
      <c r="V114" s="3994"/>
      <c r="W114" s="399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24</v>
      </c>
      <c r="M115" s="1328">
        <f>SUM(M113:M114)+GS48</f>
        <v>24</v>
      </c>
      <c r="N115" s="1328">
        <f>SUM(N113:N114)+GT48</f>
        <v>0</v>
      </c>
      <c r="O115" s="1328">
        <f>SUM(O113:O114)+GU48</f>
        <v>0</v>
      </c>
      <c r="P115" s="1328">
        <f t="shared" si="381"/>
        <v>48</v>
      </c>
      <c r="S115" s="3993"/>
      <c r="T115" s="3994"/>
      <c r="U115" s="3994"/>
      <c r="V115" s="3994"/>
      <c r="W115" s="3995"/>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3993"/>
      <c r="T116" s="3994"/>
      <c r="U116" s="3994"/>
      <c r="V116" s="3994"/>
      <c r="W116" s="399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93"/>
      <c r="T117" s="3994"/>
      <c r="U117" s="3994"/>
      <c r="V117" s="3994"/>
      <c r="W117" s="399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3"/>
      <c r="T118" s="3994"/>
      <c r="U118" s="3994"/>
      <c r="V118" s="3994"/>
      <c r="W118" s="3995"/>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3993"/>
      <c r="T119" s="3994"/>
      <c r="U119" s="3994"/>
      <c r="V119" s="3994"/>
      <c r="W119" s="399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93"/>
      <c r="T120" s="3994"/>
      <c r="U120" s="3994"/>
      <c r="V120" s="3994"/>
      <c r="W120" s="399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3"/>
      <c r="T121" s="3994"/>
      <c r="U121" s="3994"/>
      <c r="V121" s="3994"/>
      <c r="W121" s="3995"/>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1"/>
      <c r="L122" s="4051"/>
      <c r="M122" s="4051"/>
      <c r="N122" s="4051"/>
      <c r="O122" s="4051"/>
      <c r="P122" s="569">
        <f t="shared" si="381"/>
        <v>0</v>
      </c>
      <c r="S122" s="3993"/>
      <c r="T122" s="3994"/>
      <c r="U122" s="3994"/>
      <c r="V122" s="3994"/>
      <c r="W122" s="399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052"/>
      <c r="L123" s="4052"/>
      <c r="M123" s="4052"/>
      <c r="N123" s="4052"/>
      <c r="O123" s="4052"/>
      <c r="P123" s="570">
        <f t="shared" si="381"/>
        <v>0</v>
      </c>
      <c r="S123" s="3993"/>
      <c r="T123" s="3994"/>
      <c r="U123" s="3994"/>
      <c r="V123" s="3994"/>
      <c r="W123" s="399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3"/>
      <c r="T124" s="3994"/>
      <c r="U124" s="3994"/>
      <c r="V124" s="3994"/>
      <c r="W124" s="399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4"/>
      <c r="T125" s="4025"/>
      <c r="U125" s="4025"/>
      <c r="V125" s="4025"/>
      <c r="W125" s="4026"/>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SUM(K128:K137)</f>
        <v>0</v>
      </c>
      <c r="L127" s="1375">
        <f>SUM(L128:L137)</f>
        <v>24</v>
      </c>
      <c r="M127" s="1375">
        <f t="shared" ref="M127:N127" si="382">SUM(M128:M137)</f>
        <v>24</v>
      </c>
      <c r="N127" s="1375">
        <f t="shared" si="382"/>
        <v>0</v>
      </c>
      <c r="O127" s="1376">
        <f>SUM(O128:O137)</f>
        <v>0</v>
      </c>
      <c r="P127" s="1333">
        <f>SUM(P128:P137)</f>
        <v>48</v>
      </c>
      <c r="S127" s="4031"/>
      <c r="T127" s="4032"/>
      <c r="U127" s="4032"/>
      <c r="V127" s="4032"/>
      <c r="W127" s="4033"/>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93"/>
      <c r="T128" s="3994"/>
      <c r="U128" s="3994"/>
      <c r="V128" s="3994"/>
      <c r="W128" s="399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83"/>
        <v>0</v>
      </c>
      <c r="S129" s="3993"/>
      <c r="T129" s="3994"/>
      <c r="U129" s="3994"/>
      <c r="V129" s="3994"/>
      <c r="W129" s="399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83"/>
        <v>0</v>
      </c>
      <c r="S130" s="3993"/>
      <c r="T130" s="3994"/>
      <c r="U130" s="3994"/>
      <c r="V130" s="3994"/>
      <c r="W130" s="399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83"/>
        <v>0</v>
      </c>
      <c r="S131" s="3993"/>
      <c r="T131" s="3994"/>
      <c r="U131" s="3994"/>
      <c r="V131" s="3994"/>
      <c r="W131" s="399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3993"/>
      <c r="T132" s="3994"/>
      <c r="U132" s="3994"/>
      <c r="V132" s="3994"/>
      <c r="W132" s="399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83"/>
        <v>0</v>
      </c>
      <c r="S133" s="3993"/>
      <c r="T133" s="3994"/>
      <c r="U133" s="3994"/>
      <c r="V133" s="3994"/>
      <c r="W133" s="399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83"/>
        <v>0</v>
      </c>
      <c r="S134" s="3993"/>
      <c r="T134" s="3994"/>
      <c r="U134" s="3994"/>
      <c r="V134" s="3994"/>
      <c r="W134" s="399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83"/>
        <v>0</v>
      </c>
      <c r="S135" s="3993"/>
      <c r="T135" s="3994"/>
      <c r="U135" s="3994"/>
      <c r="V135" s="3994"/>
      <c r="W135" s="399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4796</v>
      </c>
      <c r="I136" s="40"/>
      <c r="J136" s="82"/>
      <c r="K136" s="1380">
        <f>LG48</f>
        <v>0</v>
      </c>
      <c r="L136" s="1381">
        <f>LH48</f>
        <v>24</v>
      </c>
      <c r="M136" s="1381">
        <f>LI48</f>
        <v>24</v>
      </c>
      <c r="N136" s="1381">
        <f>LJ48</f>
        <v>0</v>
      </c>
      <c r="O136" s="1382">
        <f>LK48</f>
        <v>0</v>
      </c>
      <c r="P136" s="573">
        <f t="shared" ref="P136:P137" si="384">SUM(K136:O136)</f>
        <v>48</v>
      </c>
      <c r="S136" s="3993"/>
      <c r="T136" s="3994"/>
      <c r="U136" s="3994"/>
      <c r="V136" s="3994"/>
      <c r="W136" s="399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3249</v>
      </c>
      <c r="I137" s="852"/>
      <c r="J137" s="82"/>
      <c r="K137" s="1356">
        <f>LL48</f>
        <v>0</v>
      </c>
      <c r="L137" s="1357">
        <f>LM48</f>
        <v>0</v>
      </c>
      <c r="M137" s="1357">
        <f>LN48</f>
        <v>0</v>
      </c>
      <c r="N137" s="1357">
        <f>LO48</f>
        <v>0</v>
      </c>
      <c r="O137" s="1358">
        <f>LP48</f>
        <v>0</v>
      </c>
      <c r="P137" s="914">
        <f t="shared" si="384"/>
        <v>0</v>
      </c>
      <c r="S137" s="3993"/>
      <c r="T137" s="3994"/>
      <c r="U137" s="3994"/>
      <c r="V137" s="3994"/>
      <c r="W137" s="399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3"/>
      <c r="T138" s="3994"/>
      <c r="U138" s="3994"/>
      <c r="V138" s="3994"/>
      <c r="W138" s="399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993"/>
      <c r="T139" s="3994"/>
      <c r="U139" s="3994"/>
      <c r="V139" s="3994"/>
      <c r="W139" s="399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3"/>
      <c r="T140" s="3994"/>
      <c r="U140" s="3994"/>
      <c r="V140" s="3994"/>
      <c r="W140" s="399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993"/>
      <c r="T141" s="3994"/>
      <c r="U141" s="3994"/>
      <c r="V141" s="3994"/>
      <c r="W141" s="399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3"/>
      <c r="T142" s="3994"/>
      <c r="U142" s="3994"/>
      <c r="V142" s="3994"/>
      <c r="W142" s="399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993"/>
      <c r="T143" s="3994"/>
      <c r="U143" s="3994"/>
      <c r="V143" s="3994"/>
      <c r="W143" s="399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3"/>
      <c r="T144" s="3994"/>
      <c r="U144" s="3994"/>
      <c r="V144" s="3994"/>
      <c r="W144" s="399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24"/>
      <c r="T145" s="4025"/>
      <c r="U145" s="4025"/>
      <c r="V145" s="4025"/>
      <c r="W145" s="4026"/>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2644" t="str">
        <f>$L$53</f>
        <v>Income Averaging</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4114</v>
      </c>
      <c r="D149" s="2670"/>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1"/>
      <c r="T149" s="4032"/>
      <c r="U149" s="4032"/>
      <c r="V149" s="4032"/>
      <c r="W149" s="4033"/>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993"/>
      <c r="T150" s="3994"/>
      <c r="U150" s="3994"/>
      <c r="V150" s="3994"/>
      <c r="W150" s="399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3"/>
      <c r="T151" s="3994"/>
      <c r="U151" s="3994"/>
      <c r="V151" s="3994"/>
      <c r="W151" s="399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993"/>
      <c r="T152" s="3994"/>
      <c r="U152" s="3994"/>
      <c r="V152" s="3994"/>
      <c r="W152" s="399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3"/>
      <c r="T153" s="3994"/>
      <c r="U153" s="3994"/>
      <c r="V153" s="3994"/>
      <c r="W153" s="399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3993"/>
      <c r="T154" s="3994"/>
      <c r="U154" s="3994"/>
      <c r="V154" s="3994"/>
      <c r="W154" s="399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9">K130+K136</f>
        <v>0</v>
      </c>
      <c r="L155" s="1390">
        <f t="shared" si="389"/>
        <v>24</v>
      </c>
      <c r="M155" s="1390">
        <f t="shared" si="389"/>
        <v>24</v>
      </c>
      <c r="N155" s="1390">
        <f t="shared" si="389"/>
        <v>0</v>
      </c>
      <c r="O155" s="1391">
        <f t="shared" si="389"/>
        <v>0</v>
      </c>
      <c r="P155" s="917">
        <f t="shared" si="386"/>
        <v>48</v>
      </c>
      <c r="S155" s="3993"/>
      <c r="T155" s="3994"/>
      <c r="U155" s="3994"/>
      <c r="V155" s="3994"/>
      <c r="W155" s="399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49" t="s">
        <v>4449</v>
      </c>
      <c r="S156" s="4024"/>
      <c r="T156" s="4025"/>
      <c r="U156" s="4025"/>
      <c r="V156" s="4025"/>
      <c r="W156" s="4026"/>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1"/>
      <c r="T159" s="4032"/>
      <c r="U159" s="4032"/>
      <c r="V159" s="4032"/>
      <c r="W159" s="4033"/>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0</v>
      </c>
      <c r="M160" s="1396">
        <f>EP48</f>
        <v>0</v>
      </c>
      <c r="N160" s="1396">
        <f>EQ48</f>
        <v>0</v>
      </c>
      <c r="O160" s="1397">
        <f>ER48</f>
        <v>0</v>
      </c>
      <c r="P160" s="1323">
        <f t="shared" si="390"/>
        <v>0</v>
      </c>
      <c r="Q160" s="1555" t="str">
        <f t="shared" si="391"/>
        <v/>
      </c>
      <c r="S160" s="3993"/>
      <c r="T160" s="3994"/>
      <c r="U160" s="3994"/>
      <c r="V160" s="3994"/>
      <c r="W160" s="399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13300</v>
      </c>
      <c r="M161" s="1396">
        <f>EU48</f>
        <v>17100</v>
      </c>
      <c r="N161" s="1396">
        <f>EV48</f>
        <v>0</v>
      </c>
      <c r="O161" s="1397">
        <f>EW48</f>
        <v>0</v>
      </c>
      <c r="P161" s="1323">
        <f t="shared" si="390"/>
        <v>30400</v>
      </c>
      <c r="Q161" s="1555">
        <f t="shared" si="391"/>
        <v>800</v>
      </c>
      <c r="S161" s="3993"/>
      <c r="T161" s="3994"/>
      <c r="U161" s="3994"/>
      <c r="V161" s="3994"/>
      <c r="W161" s="399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3500</v>
      </c>
      <c r="M162" s="1491">
        <f>EZ48</f>
        <v>4500</v>
      </c>
      <c r="N162" s="1491">
        <f>FA48</f>
        <v>0</v>
      </c>
      <c r="O162" s="1492">
        <f>FB48</f>
        <v>0</v>
      </c>
      <c r="P162" s="1493">
        <f t="shared" si="390"/>
        <v>8000</v>
      </c>
      <c r="Q162" s="1555">
        <f t="shared" si="391"/>
        <v>800</v>
      </c>
      <c r="S162" s="3993"/>
      <c r="T162" s="3994"/>
      <c r="U162" s="3994"/>
      <c r="V162" s="3994"/>
      <c r="W162" s="399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90"/>
        <v>0</v>
      </c>
      <c r="Q163" s="1555" t="str">
        <f t="shared" si="391"/>
        <v/>
      </c>
      <c r="S163" s="3993"/>
      <c r="T163" s="3994"/>
      <c r="U163" s="3994"/>
      <c r="V163" s="3994"/>
      <c r="W163" s="399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3993"/>
      <c r="T164" s="3994"/>
      <c r="U164" s="3994"/>
      <c r="V164" s="3994"/>
      <c r="W164" s="399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3993"/>
      <c r="T165" s="3994"/>
      <c r="U165" s="3994"/>
      <c r="V165" s="3994"/>
      <c r="W165" s="3995"/>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16800</v>
      </c>
      <c r="M166" s="1332">
        <f>SUM(M159:M165)</f>
        <v>21600</v>
      </c>
      <c r="N166" s="1332">
        <f>SUM(N159:N165)</f>
        <v>0</v>
      </c>
      <c r="O166" s="1332">
        <f>SUM(O159:O165)</f>
        <v>0</v>
      </c>
      <c r="P166" s="1332">
        <f>SUM(K166:O166)</f>
        <v>38400</v>
      </c>
      <c r="S166" s="3993"/>
      <c r="T166" s="3994"/>
      <c r="U166" s="3994"/>
      <c r="V166" s="3994"/>
      <c r="W166" s="3995"/>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3"/>
      <c r="T167" s="3994"/>
      <c r="U167" s="3994"/>
      <c r="V167" s="3994"/>
      <c r="W167" s="399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16800</v>
      </c>
      <c r="M168" s="1331">
        <f>SUM(M166:M167)</f>
        <v>21600</v>
      </c>
      <c r="N168" s="1331">
        <f>SUM(N166:N167)</f>
        <v>0</v>
      </c>
      <c r="O168" s="1331">
        <f>SUM(O166:O167)</f>
        <v>0</v>
      </c>
      <c r="P168" s="1331">
        <f>SUM(K168:O168)</f>
        <v>38400</v>
      </c>
      <c r="S168" s="3993"/>
      <c r="T168" s="3994"/>
      <c r="U168" s="3994"/>
      <c r="V168" s="3994"/>
      <c r="W168" s="399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3"/>
      <c r="T169" s="3994"/>
      <c r="U169" s="3994"/>
      <c r="V169" s="3994"/>
      <c r="W169" s="399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16800</v>
      </c>
      <c r="M170" s="1329">
        <f>SUM(M168:M169)</f>
        <v>21600</v>
      </c>
      <c r="N170" s="1329">
        <f>SUM(N168:N169)</f>
        <v>0</v>
      </c>
      <c r="O170" s="1329">
        <f>SUM(O168:O169)</f>
        <v>0</v>
      </c>
      <c r="P170" s="1329">
        <f>SUM(K170:O170)</f>
        <v>38400</v>
      </c>
      <c r="S170" s="4024"/>
      <c r="T170" s="4025"/>
      <c r="U170" s="4025"/>
      <c r="V170" s="4025"/>
      <c r="W170" s="4026"/>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t="str">
        <f>IF(OR(K67="",K67=0),"",K170/K67)</f>
        <v/>
      </c>
      <c r="L173" s="1554">
        <f>IF(OR(L67="",L67=0),"",L170/L67)</f>
        <v>700</v>
      </c>
      <c r="M173" s="1554">
        <f>IF(OR(M67="",M67=0),"",M170/M67)</f>
        <v>900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3">
        <f>'Part VII-Pro Forma'!B9*M49</f>
        <v>6582.24</v>
      </c>
      <c r="I178" s="4054"/>
      <c r="J178" s="4055"/>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6"/>
      <c r="I182" s="4056"/>
      <c r="J182" s="4056"/>
      <c r="K182" s="4056"/>
      <c r="L182" s="4056"/>
      <c r="M182" s="4056"/>
      <c r="N182" s="4056"/>
      <c r="O182" s="4056"/>
      <c r="P182" s="4056"/>
      <c r="Q182" s="4056"/>
      <c r="R182" s="837"/>
      <c r="S182" s="4031"/>
      <c r="T182" s="4032"/>
      <c r="U182" s="4032"/>
      <c r="V182" s="4032"/>
      <c r="W182" s="4033"/>
    </row>
    <row r="183" spans="1:503" ht="15.6" customHeight="1">
      <c r="B183" s="110" t="s">
        <v>723</v>
      </c>
      <c r="C183" s="4057"/>
      <c r="D183" s="4058"/>
      <c r="E183" s="4058"/>
      <c r="F183" s="4059"/>
      <c r="H183" s="4060"/>
      <c r="I183" s="4060"/>
      <c r="J183" s="4060"/>
      <c r="K183" s="4060"/>
      <c r="L183" s="4061"/>
      <c r="M183" s="4060"/>
      <c r="N183" s="4060"/>
      <c r="O183" s="4060"/>
      <c r="P183" s="4060"/>
      <c r="Q183" s="4060"/>
      <c r="R183" s="837"/>
      <c r="S183" s="3993"/>
      <c r="T183" s="3994"/>
      <c r="U183" s="3994"/>
      <c r="V183" s="3994"/>
      <c r="W183" s="3995"/>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4"/>
      <c r="T184" s="4025"/>
      <c r="U184" s="4025"/>
      <c r="V184" s="4025"/>
      <c r="W184" s="4026"/>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6"/>
      <c r="I186" s="4056"/>
      <c r="J186" s="4056"/>
      <c r="K186" s="4056"/>
      <c r="L186" s="4056"/>
      <c r="M186" s="4056"/>
      <c r="N186" s="4056"/>
      <c r="O186" s="4056"/>
      <c r="P186" s="4056"/>
      <c r="Q186" s="4056"/>
      <c r="R186" s="837"/>
      <c r="S186" s="4031"/>
      <c r="T186" s="4032"/>
      <c r="U186" s="4032"/>
      <c r="V186" s="4032"/>
      <c r="W186" s="4033"/>
    </row>
    <row r="187" spans="1:503" ht="15.6" customHeight="1">
      <c r="B187" s="110" t="s">
        <v>723</v>
      </c>
      <c r="C187" s="4057"/>
      <c r="D187" s="4058"/>
      <c r="E187" s="4058"/>
      <c r="F187" s="4059"/>
      <c r="H187" s="4060"/>
      <c r="I187" s="4060"/>
      <c r="J187" s="4060"/>
      <c r="K187" s="4060"/>
      <c r="L187" s="4061"/>
      <c r="M187" s="4060"/>
      <c r="N187" s="4060"/>
      <c r="O187" s="4060"/>
      <c r="P187" s="4060"/>
      <c r="Q187" s="4060"/>
      <c r="R187" s="837"/>
      <c r="S187" s="3993"/>
      <c r="T187" s="3994"/>
      <c r="U187" s="3994"/>
      <c r="V187" s="3994"/>
      <c r="W187" s="3995"/>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4"/>
      <c r="T188" s="4025"/>
      <c r="U188" s="4025"/>
      <c r="V188" s="4025"/>
      <c r="W188" s="4026"/>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56"/>
      <c r="I191" s="4056"/>
      <c r="J191" s="4056"/>
      <c r="K191" s="4056"/>
      <c r="L191" s="4062"/>
      <c r="M191" s="4056"/>
      <c r="N191" s="4056"/>
      <c r="O191" s="4056"/>
      <c r="P191" s="4056"/>
      <c r="Q191" s="4056"/>
      <c r="R191" s="837"/>
      <c r="S191" s="4031"/>
      <c r="T191" s="4032"/>
      <c r="U191" s="4032"/>
      <c r="V191" s="4032"/>
      <c r="W191" s="403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7"/>
      <c r="D192" s="4058"/>
      <c r="E192" s="4058"/>
      <c r="F192" s="4059"/>
      <c r="H192" s="4060"/>
      <c r="I192" s="4060"/>
      <c r="J192" s="4060"/>
      <c r="K192" s="4060"/>
      <c r="L192" s="4061"/>
      <c r="M192" s="4060"/>
      <c r="N192" s="4060"/>
      <c r="O192" s="4060"/>
      <c r="P192" s="4060"/>
      <c r="Q192" s="4060"/>
      <c r="R192" s="837"/>
      <c r="S192" s="3993"/>
      <c r="T192" s="3994"/>
      <c r="U192" s="3994"/>
      <c r="V192" s="3994"/>
      <c r="W192" s="399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4"/>
      <c r="T193" s="4025"/>
      <c r="U193" s="4025"/>
      <c r="V193" s="4025"/>
      <c r="W193" s="402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6"/>
      <c r="I195" s="4056"/>
      <c r="J195" s="4056"/>
      <c r="K195" s="4056"/>
      <c r="L195" s="4062"/>
      <c r="M195" s="4056"/>
      <c r="N195" s="4056"/>
      <c r="O195" s="4056"/>
      <c r="P195" s="4056"/>
      <c r="Q195" s="4056"/>
      <c r="R195" s="837"/>
      <c r="S195" s="4031"/>
      <c r="T195" s="4032"/>
      <c r="U195" s="4032"/>
      <c r="V195" s="4032"/>
      <c r="W195" s="403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7"/>
      <c r="D196" s="4058"/>
      <c r="E196" s="4058"/>
      <c r="F196" s="4059"/>
      <c r="H196" s="4060"/>
      <c r="I196" s="4060"/>
      <c r="J196" s="4060"/>
      <c r="K196" s="4060"/>
      <c r="L196" s="4061"/>
      <c r="M196" s="4060"/>
      <c r="N196" s="4060"/>
      <c r="O196" s="4060"/>
      <c r="P196" s="4060"/>
      <c r="Q196" s="4060"/>
      <c r="R196" s="837"/>
      <c r="S196" s="3993"/>
      <c r="T196" s="3994"/>
      <c r="U196" s="3994"/>
      <c r="V196" s="3994"/>
      <c r="W196" s="399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4"/>
      <c r="T197" s="4025"/>
      <c r="U197" s="4025"/>
      <c r="V197" s="4025"/>
      <c r="W197" s="402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6"/>
      <c r="I200" s="4056"/>
      <c r="J200" s="4056"/>
      <c r="K200" s="4056"/>
      <c r="L200" s="4062"/>
      <c r="M200" s="4056"/>
      <c r="N200" s="4056"/>
      <c r="O200" s="4056"/>
      <c r="P200" s="4056"/>
      <c r="Q200" s="4056"/>
      <c r="R200" s="837"/>
      <c r="S200" s="4031"/>
      <c r="T200" s="4032"/>
      <c r="U200" s="4032"/>
      <c r="V200" s="4032"/>
      <c r="W200" s="403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7"/>
      <c r="D201" s="4058"/>
      <c r="E201" s="4058"/>
      <c r="F201" s="4059"/>
      <c r="H201" s="4060"/>
      <c r="I201" s="4060"/>
      <c r="J201" s="4060"/>
      <c r="K201" s="4060"/>
      <c r="L201" s="4061"/>
      <c r="M201" s="4060"/>
      <c r="N201" s="4060"/>
      <c r="O201" s="4060"/>
      <c r="P201" s="4060"/>
      <c r="Q201" s="4060"/>
      <c r="R201" s="837"/>
      <c r="S201" s="3993"/>
      <c r="T201" s="3994"/>
      <c r="U201" s="3994"/>
      <c r="V201" s="3994"/>
      <c r="W201" s="399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4"/>
      <c r="T202" s="4025"/>
      <c r="U202" s="4025"/>
      <c r="V202" s="4025"/>
      <c r="W202" s="402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6"/>
      <c r="I204" s="4056"/>
      <c r="J204" s="4056"/>
      <c r="K204" s="4056"/>
      <c r="L204" s="4062"/>
      <c r="M204" s="4056"/>
      <c r="N204" s="4056"/>
      <c r="O204" s="4056"/>
      <c r="P204" s="4056"/>
      <c r="Q204" s="4056"/>
      <c r="R204" s="837"/>
      <c r="S204" s="4031"/>
      <c r="T204" s="4032"/>
      <c r="U204" s="4032"/>
      <c r="V204" s="4032"/>
      <c r="W204" s="403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7"/>
      <c r="D205" s="4058"/>
      <c r="E205" s="4058"/>
      <c r="F205" s="4059"/>
      <c r="H205" s="4060"/>
      <c r="I205" s="4060"/>
      <c r="J205" s="4060"/>
      <c r="K205" s="4060"/>
      <c r="L205" s="4061"/>
      <c r="M205" s="4060"/>
      <c r="N205" s="4060"/>
      <c r="O205" s="4060"/>
      <c r="P205" s="4060"/>
      <c r="Q205" s="4060"/>
      <c r="R205" s="837"/>
      <c r="S205" s="3993"/>
      <c r="T205" s="3994"/>
      <c r="U205" s="3994"/>
      <c r="V205" s="3994"/>
      <c r="W205" s="399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4"/>
      <c r="T206" s="4025"/>
      <c r="U206" s="4025"/>
      <c r="V206" s="4025"/>
      <c r="W206" s="402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56"/>
      <c r="I209" s="4056"/>
      <c r="J209" s="4056"/>
      <c r="K209" s="4056"/>
      <c r="L209" s="4062"/>
      <c r="M209" s="89"/>
      <c r="N209" s="89"/>
      <c r="O209" s="89"/>
      <c r="P209" s="89"/>
      <c r="Q209" s="89"/>
      <c r="R209" s="8"/>
      <c r="S209" s="4031"/>
      <c r="T209" s="4032"/>
      <c r="U209" s="4032"/>
      <c r="V209" s="4032"/>
      <c r="W209" s="4033"/>
    </row>
    <row r="210" spans="1:503" ht="15.6" customHeight="1">
      <c r="B210" s="110" t="s">
        <v>723</v>
      </c>
      <c r="C210" s="4057"/>
      <c r="D210" s="4058"/>
      <c r="E210" s="4058"/>
      <c r="F210" s="4059"/>
      <c r="H210" s="4060"/>
      <c r="I210" s="4060"/>
      <c r="J210" s="4060"/>
      <c r="K210" s="4060"/>
      <c r="L210" s="4061"/>
      <c r="M210" s="89"/>
      <c r="N210" s="89"/>
      <c r="O210" s="89"/>
      <c r="P210" s="89"/>
      <c r="Q210" s="89"/>
      <c r="R210" s="8"/>
      <c r="S210" s="3993"/>
      <c r="T210" s="3994"/>
      <c r="U210" s="3994"/>
      <c r="V210" s="3994"/>
      <c r="W210" s="3995"/>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4"/>
      <c r="T211" s="4025"/>
      <c r="U211" s="4025"/>
      <c r="V211" s="4025"/>
      <c r="W211" s="4026"/>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6"/>
      <c r="I213" s="4056"/>
      <c r="J213" s="4056"/>
      <c r="K213" s="4056"/>
      <c r="L213" s="4062"/>
      <c r="M213" s="89"/>
      <c r="N213" s="89"/>
      <c r="O213" s="89"/>
      <c r="P213" s="89"/>
      <c r="Q213" s="89"/>
      <c r="R213" s="8"/>
      <c r="S213" s="4031"/>
      <c r="T213" s="4032"/>
      <c r="U213" s="4032"/>
      <c r="V213" s="4032"/>
      <c r="W213" s="4033"/>
    </row>
    <row r="214" spans="1:503" ht="15.6" customHeight="1">
      <c r="B214" s="110" t="s">
        <v>723</v>
      </c>
      <c r="C214" s="4057"/>
      <c r="D214" s="4058"/>
      <c r="E214" s="4058"/>
      <c r="F214" s="4059"/>
      <c r="H214" s="4060"/>
      <c r="I214" s="4060"/>
      <c r="J214" s="4060"/>
      <c r="K214" s="4060"/>
      <c r="L214" s="4061"/>
      <c r="M214" s="89"/>
      <c r="N214" s="89"/>
      <c r="O214" s="89"/>
      <c r="P214" s="89"/>
      <c r="Q214" s="89"/>
      <c r="R214" s="8"/>
      <c r="S214" s="3993"/>
      <c r="T214" s="3994"/>
      <c r="U214" s="3994"/>
      <c r="V214" s="3994"/>
      <c r="W214" s="399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4"/>
      <c r="T215" s="4025"/>
      <c r="U215" s="4025"/>
      <c r="V215" s="4025"/>
      <c r="W215" s="402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23040</v>
      </c>
      <c r="R219" s="1"/>
      <c r="S219" s="4031"/>
      <c r="T219" s="4032"/>
      <c r="U219" s="4032"/>
      <c r="V219" s="4032"/>
      <c r="W219" s="403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63">
        <v>24710</v>
      </c>
      <c r="G220" s="4064"/>
      <c r="H220" s="1"/>
      <c r="I220" s="1" t="s">
        <v>1351</v>
      </c>
      <c r="K220" s="1"/>
      <c r="L220" s="4063"/>
      <c r="M220" s="4064"/>
      <c r="N220" s="1"/>
      <c r="O220" s="391">
        <f>+Q219/(P67*0.93)</f>
        <v>516.12903225806451</v>
      </c>
      <c r="P220" s="66" t="s">
        <v>2666</v>
      </c>
      <c r="Q220" s="1"/>
      <c r="R220" s="837"/>
      <c r="S220" s="3993"/>
      <c r="T220" s="3994"/>
      <c r="U220" s="3994"/>
      <c r="V220" s="3994"/>
      <c r="W220" s="399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5">
        <v>28142</v>
      </c>
      <c r="G221" s="4066"/>
      <c r="H221" s="1"/>
      <c r="I221" s="1" t="s">
        <v>1352</v>
      </c>
      <c r="K221" s="1"/>
      <c r="L221" s="4067">
        <v>600</v>
      </c>
      <c r="M221" s="4068"/>
      <c r="N221" s="1"/>
      <c r="O221" s="391">
        <f>+Q219/(P67*0.93)/12</f>
        <v>43.01075268817204</v>
      </c>
      <c r="P221" s="66" t="s">
        <v>2667</v>
      </c>
      <c r="Q221" s="1"/>
      <c r="R221" s="837"/>
      <c r="S221" s="3993"/>
      <c r="T221" s="3994"/>
      <c r="U221" s="3994"/>
      <c r="V221" s="3994"/>
      <c r="W221" s="399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5"/>
      <c r="G222" s="4066"/>
      <c r="H222" s="1"/>
      <c r="I222" s="1"/>
      <c r="K222" s="122" t="s">
        <v>187</v>
      </c>
      <c r="L222" s="2674">
        <f>SUM(L220:M221)</f>
        <v>600</v>
      </c>
      <c r="M222" s="2675"/>
      <c r="N222" s="1"/>
      <c r="O222" s="36" t="s">
        <v>3545</v>
      </c>
      <c r="P222" s="930"/>
      <c r="Q222" s="930"/>
      <c r="R222" s="837"/>
      <c r="S222" s="3993"/>
      <c r="T222" s="3994"/>
      <c r="U222" s="3994"/>
      <c r="V222" s="3994"/>
      <c r="W222" s="399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4065">
        <v>18000</v>
      </c>
      <c r="G223" s="4066"/>
      <c r="H223" s="1"/>
      <c r="I223" s="1"/>
      <c r="K223" s="1"/>
      <c r="L223" s="1"/>
      <c r="M223" s="1"/>
      <c r="N223" s="1"/>
      <c r="R223" s="837"/>
      <c r="S223" s="3993"/>
      <c r="T223" s="3994"/>
      <c r="U223" s="3994"/>
      <c r="V223" s="3994"/>
      <c r="W223" s="399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4065"/>
      <c r="G224" s="4066"/>
      <c r="H224" s="1"/>
      <c r="I224" s="1"/>
      <c r="K224" s="1"/>
      <c r="L224" s="1"/>
      <c r="M224" s="1"/>
      <c r="N224" s="1"/>
      <c r="R224" s="837"/>
      <c r="S224" s="3993"/>
      <c r="T224" s="3994"/>
      <c r="U224" s="3994"/>
      <c r="V224" s="3994"/>
      <c r="W224" s="399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9" t="s">
        <v>49</v>
      </c>
      <c r="C225" s="4070"/>
      <c r="D225" s="4070"/>
      <c r="E225" s="4071"/>
      <c r="F225" s="4067"/>
      <c r="G225" s="4068"/>
      <c r="H225" s="1"/>
      <c r="I225" s="10" t="s">
        <v>1266</v>
      </c>
      <c r="K225" s="1"/>
      <c r="L225" s="1"/>
      <c r="M225" s="1"/>
      <c r="N225" s="1"/>
      <c r="R225" s="837"/>
      <c r="S225" s="3993"/>
      <c r="T225" s="3994"/>
      <c r="U225" s="3994"/>
      <c r="V225" s="3994"/>
      <c r="W225" s="399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70852</v>
      </c>
      <c r="G226" s="2675"/>
      <c r="H226" s="1"/>
      <c r="I226" s="1" t="s">
        <v>1569</v>
      </c>
      <c r="K226" s="1"/>
      <c r="L226" s="4072">
        <v>500</v>
      </c>
      <c r="M226" s="4073"/>
      <c r="N226" s="1"/>
      <c r="R226" s="1"/>
      <c r="S226" s="3993"/>
      <c r="T226" s="3994"/>
      <c r="U226" s="3994"/>
      <c r="V226" s="3994"/>
      <c r="W226" s="399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74">
        <v>7000</v>
      </c>
      <c r="M227" s="4075"/>
      <c r="N227" s="2658" t="str">
        <f>IF(Q229="","",IF(Q227&lt;Q229, "WARNING! OE below required minimum.",""))</f>
        <v/>
      </c>
      <c r="O227" s="10" t="s">
        <v>2135</v>
      </c>
      <c r="P227" s="5"/>
      <c r="Q227" s="401">
        <f>F226+F235+F246+L222+L230+L239+L246+Q219</f>
        <v>235177</v>
      </c>
      <c r="R227" s="5"/>
      <c r="S227" s="3993"/>
      <c r="T227" s="3994"/>
      <c r="U227" s="3994"/>
      <c r="V227" s="3994"/>
      <c r="W227" s="399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4">
        <v>500</v>
      </c>
      <c r="M228" s="4075"/>
      <c r="N228" s="2658"/>
      <c r="O228" s="66" t="s">
        <v>2668</v>
      </c>
      <c r="P228" s="391">
        <f>+Q227/P67</f>
        <v>4899.520833333333</v>
      </c>
      <c r="R228" s="838"/>
      <c r="S228" s="3993"/>
      <c r="T228" s="3994"/>
      <c r="U228" s="3994"/>
      <c r="V228" s="3994"/>
      <c r="W228" s="399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3">
        <v>1875</v>
      </c>
      <c r="G229" s="4064"/>
      <c r="H229" s="1"/>
      <c r="I229" s="4076" t="s">
        <v>3617</v>
      </c>
      <c r="J229" s="4077"/>
      <c r="K229" s="4078"/>
      <c r="L229" s="4079">
        <v>3500</v>
      </c>
      <c r="M229" s="4080"/>
      <c r="N229" s="2658"/>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216000</v>
      </c>
      <c r="R229" s="1"/>
      <c r="S229" s="3993"/>
      <c r="T229" s="3994"/>
      <c r="U229" s="3994"/>
      <c r="V229" s="3994"/>
      <c r="W229" s="399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5">
        <v>8500</v>
      </c>
      <c r="G230" s="4066"/>
      <c r="H230" s="1"/>
      <c r="I230" s="10"/>
      <c r="K230" s="11" t="s">
        <v>187</v>
      </c>
      <c r="L230" s="2676">
        <f>SUM(L226:L229)</f>
        <v>11500</v>
      </c>
      <c r="M230" s="2677"/>
      <c r="N230" s="2658"/>
      <c r="R230" s="1"/>
      <c r="S230" s="3993"/>
      <c r="T230" s="3994"/>
      <c r="U230" s="3994"/>
      <c r="V230" s="3994"/>
      <c r="W230" s="399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5"/>
      <c r="G231" s="4066"/>
      <c r="H231" s="1"/>
      <c r="N231" s="1"/>
      <c r="R231" s="2392"/>
      <c r="S231" s="3993"/>
      <c r="T231" s="3994"/>
      <c r="U231" s="3994"/>
      <c r="V231" s="3994"/>
      <c r="W231" s="399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5"/>
      <c r="G232" s="4066"/>
      <c r="H232" s="1"/>
      <c r="L232" s="1"/>
      <c r="M232" s="1"/>
      <c r="N232" s="1"/>
      <c r="R232" s="2392"/>
      <c r="S232" s="3993"/>
      <c r="T232" s="3994"/>
      <c r="U232" s="3994"/>
      <c r="V232" s="3994"/>
      <c r="W232" s="399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5"/>
      <c r="G233" s="4066"/>
      <c r="H233" s="1"/>
      <c r="I233" s="10" t="s">
        <v>1348</v>
      </c>
      <c r="K233" s="2362" t="s">
        <v>4435</v>
      </c>
      <c r="O233" s="1590" t="s">
        <v>3359</v>
      </c>
      <c r="P233" s="10"/>
      <c r="Q233" s="4081">
        <f>Q242</f>
        <v>12000</v>
      </c>
      <c r="S233" s="3993"/>
      <c r="T233" s="3994"/>
      <c r="U233" s="3994"/>
      <c r="V233" s="3994"/>
      <c r="W233" s="399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9" t="s">
        <v>7083</v>
      </c>
      <c r="C234" s="4070"/>
      <c r="D234" s="4070"/>
      <c r="E234" s="4071"/>
      <c r="F234" s="4067">
        <v>4380</v>
      </c>
      <c r="G234" s="4068"/>
      <c r="H234" s="1"/>
      <c r="I234" s="1" t="s">
        <v>1341</v>
      </c>
      <c r="K234" s="452">
        <f>L234/12/P67</f>
        <v>31.25</v>
      </c>
      <c r="L234" s="4072">
        <v>18000</v>
      </c>
      <c r="M234" s="4073"/>
      <c r="N234" s="2681" t="str">
        <f>IF(Q233&lt;Q242, "WARNING! RR proposed is below the DCA required minimum.","")</f>
        <v/>
      </c>
      <c r="O234" s="953" t="s">
        <v>4434</v>
      </c>
      <c r="P234" s="948"/>
      <c r="Q234" s="954">
        <f>Q233/P242</f>
        <v>250</v>
      </c>
      <c r="R234" s="837"/>
      <c r="S234" s="3993"/>
      <c r="T234" s="3994"/>
      <c r="U234" s="3994"/>
      <c r="V234" s="3994"/>
      <c r="W234" s="399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14755</v>
      </c>
      <c r="G235" s="2675"/>
      <c r="H235" s="1"/>
      <c r="I235" s="1" t="s">
        <v>1342</v>
      </c>
      <c r="K235" s="452">
        <f>L235/12/P67</f>
        <v>0</v>
      </c>
      <c r="L235" s="4074"/>
      <c r="M235" s="4075"/>
      <c r="N235" s="2682"/>
      <c r="O235" s="2683" t="s">
        <v>3553</v>
      </c>
      <c r="P235" s="2684"/>
      <c r="Q235" s="2685"/>
      <c r="S235" s="3993"/>
      <c r="T235" s="3994"/>
      <c r="U235" s="3994"/>
      <c r="V235" s="3994"/>
      <c r="W235" s="399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5.208333333333333</v>
      </c>
      <c r="L236" s="4074">
        <v>3000</v>
      </c>
      <c r="M236" s="4075"/>
      <c r="N236" s="2682"/>
      <c r="O236" s="947" t="s">
        <v>2633</v>
      </c>
      <c r="P236" s="834" t="s">
        <v>3633</v>
      </c>
      <c r="Q236" s="949" t="s">
        <v>3322</v>
      </c>
      <c r="R236" s="5"/>
      <c r="S236" s="3993"/>
      <c r="T236" s="3994"/>
      <c r="U236" s="3994"/>
      <c r="V236" s="3994"/>
      <c r="W236" s="399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4">
        <v>5000</v>
      </c>
      <c r="M237" s="4075"/>
      <c r="N237" s="2682"/>
      <c r="O237" s="598" t="s">
        <v>37</v>
      </c>
      <c r="P237" s="599"/>
      <c r="Q237" s="600"/>
      <c r="R237" s="838"/>
      <c r="S237" s="3993"/>
      <c r="T237" s="3994"/>
      <c r="U237" s="3994"/>
      <c r="V237" s="3994"/>
      <c r="W237" s="399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2"/>
      <c r="G238" s="4083"/>
      <c r="H238" s="1"/>
      <c r="I238" s="4076" t="s">
        <v>7084</v>
      </c>
      <c r="J238" s="4077"/>
      <c r="K238" s="4078"/>
      <c r="L238" s="4079">
        <v>1200</v>
      </c>
      <c r="M238" s="4080"/>
      <c r="N238" s="2682"/>
      <c r="O238" s="482" t="s">
        <v>3314</v>
      </c>
      <c r="P238" s="839" t="str">
        <f>CONCATENATE(SUM(MP48:MT48)," units x $",'DCA Underwriting Assumptions'!$Q$68," =")</f>
        <v>0 units x $350 =</v>
      </c>
      <c r="Q238" s="601">
        <f>SUM(MP48:MT48)*'DCA Underwriting Assumptions'!$Q$68</f>
        <v>0</v>
      </c>
      <c r="R238" s="4084"/>
      <c r="S238" s="3993"/>
      <c r="T238" s="3994"/>
      <c r="U238" s="3994"/>
      <c r="V238" s="3994"/>
      <c r="W238" s="399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5">
        <v>3500</v>
      </c>
      <c r="G239" s="4086"/>
      <c r="H239" s="1"/>
      <c r="I239" s="1"/>
      <c r="K239" s="11" t="s">
        <v>187</v>
      </c>
      <c r="L239" s="2676">
        <f>SUM(L234:L238)</f>
        <v>27200</v>
      </c>
      <c r="M239" s="2677"/>
      <c r="N239" s="2682"/>
      <c r="O239" s="482" t="s">
        <v>3313</v>
      </c>
      <c r="P239" s="839" t="str">
        <f>CONCATENATE(SUM(MU48:MY48)," units x $",'DCA Underwriting Assumptions'!$Q$69," =")</f>
        <v>48 units x $250 =</v>
      </c>
      <c r="Q239" s="601">
        <f>SUM(MU48:MY48)*'DCA Underwriting Assumptions'!$Q$69</f>
        <v>12000</v>
      </c>
      <c r="S239" s="3993"/>
      <c r="T239" s="3994"/>
      <c r="U239" s="3994"/>
      <c r="V239" s="3994"/>
      <c r="W239" s="399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5">
        <v>15000</v>
      </c>
      <c r="G240" s="4086"/>
      <c r="H240" s="1"/>
      <c r="K240" s="1"/>
      <c r="L240" s="1"/>
      <c r="N240" s="2682"/>
      <c r="O240" s="602" t="s">
        <v>3317</v>
      </c>
      <c r="P240" s="839" t="str">
        <f>CONCATENATE(SUM(MZ48:ND48)," units x $",'DCA Underwriting Assumptions'!$Q$70," =")</f>
        <v>0 units x $420 =</v>
      </c>
      <c r="Q240" s="601">
        <f>SUM(MZ48:ND48)*'DCA Underwriting Assumptions'!$Q$70</f>
        <v>0</v>
      </c>
      <c r="R240" s="834"/>
      <c r="S240" s="3993"/>
      <c r="T240" s="3994"/>
      <c r="U240" s="3994"/>
      <c r="V240" s="3994"/>
      <c r="W240" s="399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5">
        <v>7000</v>
      </c>
      <c r="G241" s="4066"/>
      <c r="H241" s="1"/>
      <c r="O241" s="602" t="s">
        <v>3312</v>
      </c>
      <c r="P241" s="839" t="str">
        <f>CONCATENATE(P125," units x $",'DCA Underwriting Assumptions'!$Q$70," =")</f>
        <v>0 units x $420 =</v>
      </c>
      <c r="Q241" s="601">
        <f>P125*'DCA Underwriting Assumptions'!$Q$70</f>
        <v>0</v>
      </c>
      <c r="R241" s="599"/>
      <c r="S241" s="3993"/>
      <c r="T241" s="3994"/>
      <c r="U241" s="3994"/>
      <c r="V241" s="3994"/>
      <c r="W241" s="399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5">
        <v>1200</v>
      </c>
      <c r="G242" s="4066"/>
      <c r="H242" s="1"/>
      <c r="I242" s="10" t="s">
        <v>1349</v>
      </c>
      <c r="O242" s="950" t="s">
        <v>2636</v>
      </c>
      <c r="P242" s="951">
        <f>SUM(MP48:MT48)+SUM(MU48:MY48)+SUM(MZ48:ND48)+P125</f>
        <v>48</v>
      </c>
      <c r="Q242" s="952">
        <f>SUM(Q238:Q241)</f>
        <v>12000</v>
      </c>
      <c r="R242" s="839"/>
      <c r="S242" s="3993"/>
      <c r="T242" s="3994"/>
      <c r="U242" s="3994"/>
      <c r="V242" s="3994"/>
      <c r="W242" s="399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5">
        <v>3000</v>
      </c>
      <c r="G243" s="4066"/>
      <c r="H243" s="1"/>
      <c r="I243" s="94" t="s">
        <v>4518</v>
      </c>
      <c r="K243" s="1"/>
      <c r="L243" s="4072">
        <v>36000</v>
      </c>
      <c r="M243" s="4073"/>
      <c r="R243" s="839"/>
      <c r="S243" s="3993"/>
      <c r="T243" s="3994"/>
      <c r="U243" s="3994"/>
      <c r="V243" s="3994"/>
      <c r="W243" s="399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5">
        <v>500</v>
      </c>
      <c r="G244" s="4066"/>
      <c r="H244" s="1"/>
      <c r="I244" s="1" t="s">
        <v>143</v>
      </c>
      <c r="K244" s="1"/>
      <c r="L244" s="4074">
        <v>20530</v>
      </c>
      <c r="M244" s="4075"/>
      <c r="R244" s="839"/>
      <c r="S244" s="3993"/>
      <c r="T244" s="3994"/>
      <c r="U244" s="3994"/>
      <c r="V244" s="3994"/>
      <c r="W244" s="399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9" t="s">
        <v>49</v>
      </c>
      <c r="C245" s="4070"/>
      <c r="D245" s="4070"/>
      <c r="E245" s="4071"/>
      <c r="F245" s="4067"/>
      <c r="G245" s="4068"/>
      <c r="H245" s="1"/>
      <c r="I245" s="4076" t="s">
        <v>7100</v>
      </c>
      <c r="J245" s="4077"/>
      <c r="K245" s="4078"/>
      <c r="L245" s="4087">
        <v>500</v>
      </c>
      <c r="M245" s="4088"/>
      <c r="N245" s="1"/>
      <c r="R245" s="839"/>
      <c r="S245" s="3993"/>
      <c r="T245" s="3994"/>
      <c r="U245" s="3994"/>
      <c r="V245" s="3994"/>
      <c r="W245" s="399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30200</v>
      </c>
      <c r="G246" s="2680"/>
      <c r="H246" s="1"/>
      <c r="K246" s="11" t="s">
        <v>187</v>
      </c>
      <c r="L246" s="2676">
        <f>SUM(L242:L245)</f>
        <v>57030</v>
      </c>
      <c r="M246" s="2678"/>
      <c r="N246" s="1"/>
      <c r="O246" s="10" t="s">
        <v>2136</v>
      </c>
      <c r="P246" s="1"/>
      <c r="Q246" s="401">
        <f>Q227+Q233</f>
        <v>247177</v>
      </c>
      <c r="R246" s="839"/>
      <c r="S246" s="4024"/>
      <c r="T246" s="4025"/>
      <c r="U246" s="4025"/>
      <c r="V246" s="4025"/>
      <c r="W246" s="402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9" t="s">
        <v>4422</v>
      </c>
      <c r="K250" s="4089"/>
      <c r="L250" s="4090"/>
      <c r="M250" s="1552" t="s">
        <v>4478</v>
      </c>
      <c r="N250" s="4091"/>
      <c r="O250" s="10" t="s">
        <v>4424</v>
      </c>
      <c r="P250" s="1"/>
      <c r="Q250" s="4092">
        <f>K250*N250</f>
        <v>0</v>
      </c>
      <c r="R250" s="837"/>
      <c r="S250" s="4093"/>
      <c r="T250" s="4094"/>
      <c r="U250" s="4094"/>
      <c r="V250" s="4094"/>
      <c r="W250" s="409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55" t="s">
        <v>1727</v>
      </c>
      <c r="K252" s="1489" t="s">
        <v>4481</v>
      </c>
      <c r="L252" s="3955" t="s">
        <v>1727</v>
      </c>
      <c r="M252" s="72" t="s">
        <v>4482</v>
      </c>
      <c r="N252" s="4091"/>
      <c r="O252" s="461" t="s">
        <v>4480</v>
      </c>
      <c r="P252" s="1"/>
      <c r="Q252" s="4096"/>
      <c r="R252" s="837"/>
      <c r="S252" s="4093"/>
      <c r="T252" s="4094"/>
      <c r="U252" s="4094"/>
      <c r="V252" s="4094"/>
      <c r="W252" s="409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820" t="s">
        <v>7101</v>
      </c>
      <c r="B255" s="3820"/>
      <c r="C255" s="3820"/>
      <c r="D255" s="3820"/>
      <c r="E255" s="3820"/>
      <c r="F255" s="3820"/>
      <c r="G255" s="3820"/>
      <c r="H255" s="3820"/>
      <c r="I255" s="3820"/>
      <c r="J255" s="3820"/>
      <c r="K255" s="3820"/>
      <c r="L255" s="3820"/>
      <c r="M255" s="3820"/>
      <c r="N255" s="3821"/>
      <c r="O255" s="3821"/>
      <c r="P255" s="3821"/>
      <c r="Q255" s="3821"/>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KS27It4pkIq5SIvrWap8MH5OZsWg+ZSr7Vf+ITSOjFQeUlgLUPTyNOEFNRLlkMK7EXaVqhhtokTNvUYl1dmXJg==" saltValue="2YtWQed7amuV5Ycq7WnQy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2020-067 Boxwood Heights, Columbus, Muscogee County</v>
      </c>
      <c r="B1" s="4097"/>
      <c r="C1" s="4097"/>
      <c r="D1" s="4097"/>
      <c r="E1" s="4097"/>
      <c r="F1" s="4097"/>
      <c r="G1" s="4097"/>
      <c r="H1" s="4097"/>
      <c r="I1" s="4097"/>
      <c r="J1" s="4097"/>
      <c r="K1" s="4098"/>
      <c r="L1" s="10"/>
      <c r="M1" s="10"/>
      <c r="N1" s="2693" t="str">
        <f>A1</f>
        <v>PART SEVEN - OPERATING PRO FORMA  -  2020-067 Boxwood Heights, Columbus, Muscogee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2137</v>
      </c>
      <c r="B5" s="77">
        <v>0.02</v>
      </c>
      <c r="C5" s="2695"/>
      <c r="D5" s="2671" t="s">
        <v>3829</v>
      </c>
      <c r="E5" s="2671"/>
      <c r="F5" s="2671"/>
      <c r="G5" s="4099">
        <v>5000</v>
      </c>
      <c r="H5" s="96" t="s">
        <v>1859</v>
      </c>
      <c r="K5" s="101">
        <f>IF(($B$14+$B$15+$B$16+$B$17)=0,"",B30/($B$14+$B$15+$B$16+$B$17))</f>
        <v>-1.6015598259956756E-2</v>
      </c>
      <c r="N5" s="4031"/>
      <c r="O5" s="4033"/>
    </row>
    <row r="6" spans="1:19">
      <c r="A6" s="16" t="s">
        <v>2138</v>
      </c>
      <c r="B6" s="77">
        <v>0.03</v>
      </c>
      <c r="C6" s="2695"/>
      <c r="D6" s="2671"/>
      <c r="E6" s="2671"/>
      <c r="F6" s="2671"/>
      <c r="G6" s="1141">
        <f>IF(OR('Part III-Sources of Funds'!E5="Yes",'Part III-Sources of Funds'!H5&gt;0),'DCA Underwriting Assumptions'!$Q$100,0)</f>
        <v>0</v>
      </c>
      <c r="H6" s="16"/>
      <c r="I6" s="16"/>
      <c r="J6" s="16"/>
      <c r="K6" s="16"/>
      <c r="N6" s="3993"/>
      <c r="O6" s="3995"/>
    </row>
    <row r="7" spans="1:19">
      <c r="A7" s="16" t="s">
        <v>2140</v>
      </c>
      <c r="B7" s="77">
        <v>0.03</v>
      </c>
      <c r="C7" s="2695"/>
      <c r="D7" s="79" t="s">
        <v>265</v>
      </c>
      <c r="G7" s="81"/>
      <c r="H7" s="96" t="s">
        <v>2313</v>
      </c>
      <c r="K7" s="101">
        <f>IF(($B$14+$B$15+$B$16+$B$17)=0,"",-B21/($B$14+$B$15+$B$16+$B$17))</f>
        <v>7.3799876781880727E-2</v>
      </c>
      <c r="N7" s="3993"/>
      <c r="O7" s="3995"/>
    </row>
    <row r="8" spans="1:19" ht="13.35" customHeight="1">
      <c r="A8" s="16" t="s">
        <v>2139</v>
      </c>
      <c r="B8" s="4100">
        <v>7.0000000000000007E-2</v>
      </c>
      <c r="C8" s="1480" t="str">
        <f>IF(B8&lt;0.07, "Must be &gt;= 7%!","")</f>
        <v/>
      </c>
      <c r="D8" s="78" t="s">
        <v>2442</v>
      </c>
      <c r="G8" s="4101" t="s">
        <v>2884</v>
      </c>
      <c r="H8" s="163" t="s">
        <v>1416</v>
      </c>
      <c r="K8" s="4102">
        <v>23040</v>
      </c>
      <c r="N8" s="3993"/>
      <c r="O8" s="3995"/>
    </row>
    <row r="9" spans="1:19">
      <c r="A9" s="16" t="s">
        <v>1390</v>
      </c>
      <c r="B9" s="77">
        <v>0.02</v>
      </c>
      <c r="D9" s="78" t="s">
        <v>1676</v>
      </c>
      <c r="G9" s="4103"/>
      <c r="H9" s="163" t="s">
        <v>2295</v>
      </c>
      <c r="K9" s="4104"/>
      <c r="N9" s="4024"/>
      <c r="O9" s="4026"/>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329112</v>
      </c>
      <c r="C14" s="19">
        <f t="shared" ref="C14:K14" si="1">$B$14*(1+$B$5)^(C13-1)</f>
        <v>335694.24</v>
      </c>
      <c r="D14" s="19">
        <f t="shared" si="1"/>
        <v>342408.12479999999</v>
      </c>
      <c r="E14" s="19">
        <f t="shared" si="1"/>
        <v>349256.28729599999</v>
      </c>
      <c r="F14" s="19">
        <f t="shared" si="1"/>
        <v>356241.41304191999</v>
      </c>
      <c r="G14" s="19">
        <f t="shared" si="1"/>
        <v>363366.2413027584</v>
      </c>
      <c r="H14" s="19">
        <f t="shared" si="1"/>
        <v>370633.5661288136</v>
      </c>
      <c r="I14" s="19">
        <f t="shared" si="1"/>
        <v>378046.23745138978</v>
      </c>
      <c r="J14" s="19">
        <f t="shared" si="1"/>
        <v>385607.1622004176</v>
      </c>
      <c r="K14" s="20">
        <f t="shared" si="1"/>
        <v>393319.30544442596</v>
      </c>
      <c r="N14" s="4031"/>
      <c r="O14" s="4033"/>
      <c r="S14" s="2688" t="s">
        <v>3834</v>
      </c>
    </row>
    <row r="15" spans="1:19" ht="13.35" customHeight="1">
      <c r="A15" s="21" t="s">
        <v>994</v>
      </c>
      <c r="B15" s="22">
        <f>MIN(B14*B9,'Part VI-Revenues &amp; Expenses'!$H$178)</f>
        <v>6582.24</v>
      </c>
      <c r="C15" s="22">
        <f t="shared" ref="C15:K15" si="2">$B$15*(1+$B$5)^(C13-1)</f>
        <v>6713.8847999999998</v>
      </c>
      <c r="D15" s="22">
        <f t="shared" si="2"/>
        <v>6848.1624959999999</v>
      </c>
      <c r="E15" s="22">
        <f t="shared" si="2"/>
        <v>6985.1257459199996</v>
      </c>
      <c r="F15" s="22">
        <f t="shared" si="2"/>
        <v>7124.8282608383997</v>
      </c>
      <c r="G15" s="22">
        <f t="shared" si="2"/>
        <v>7267.3248260551682</v>
      </c>
      <c r="H15" s="22">
        <f t="shared" si="2"/>
        <v>7412.6713225762715</v>
      </c>
      <c r="I15" s="22">
        <f t="shared" si="2"/>
        <v>7560.9247490277958</v>
      </c>
      <c r="J15" s="22">
        <f t="shared" si="2"/>
        <v>7712.1432440083518</v>
      </c>
      <c r="K15" s="23">
        <f t="shared" si="2"/>
        <v>7866.3861088885187</v>
      </c>
      <c r="N15" s="3993"/>
      <c r="O15" s="3995"/>
      <c r="S15" s="2689"/>
    </row>
    <row r="16" spans="1:19" ht="13.35" customHeight="1">
      <c r="A16" s="21" t="s">
        <v>2342</v>
      </c>
      <c r="B16" s="22">
        <f t="shared" ref="B16:K16" si="3">-(B14+B15)*$B$8</f>
        <v>-23498.596800000003</v>
      </c>
      <c r="C16" s="22">
        <f t="shared" si="3"/>
        <v>-23968.568736000001</v>
      </c>
      <c r="D16" s="22">
        <f t="shared" si="3"/>
        <v>-24447.940110720003</v>
      </c>
      <c r="E16" s="22">
        <f t="shared" si="3"/>
        <v>-24936.898912934401</v>
      </c>
      <c r="F16" s="22">
        <f t="shared" si="3"/>
        <v>-25435.636891193091</v>
      </c>
      <c r="G16" s="22">
        <f t="shared" si="3"/>
        <v>-25944.34962901695</v>
      </c>
      <c r="H16" s="22">
        <f t="shared" si="3"/>
        <v>-26463.236621597294</v>
      </c>
      <c r="I16" s="22">
        <f t="shared" si="3"/>
        <v>-26992.501354029235</v>
      </c>
      <c r="J16" s="22">
        <f t="shared" si="3"/>
        <v>-27532.35138110982</v>
      </c>
      <c r="K16" s="23">
        <f t="shared" si="3"/>
        <v>-28082.998408732019</v>
      </c>
      <c r="N16" s="3993"/>
      <c r="O16" s="3995"/>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3"/>
      <c r="O17" s="3995"/>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3"/>
      <c r="O18" s="3995"/>
    </row>
    <row r="19" spans="1:19" ht="13.35" customHeight="1">
      <c r="A19" s="417" t="s">
        <v>4376</v>
      </c>
      <c r="B19" s="22">
        <f>SUM(B14:B18)</f>
        <v>312195.64319999999</v>
      </c>
      <c r="C19" s="22">
        <f t="shared" ref="C19:K19" si="4">SUM(C14:C18)</f>
        <v>318439.556064</v>
      </c>
      <c r="D19" s="22">
        <f t="shared" si="4"/>
        <v>324808.34718528</v>
      </c>
      <c r="E19" s="22">
        <f t="shared" si="4"/>
        <v>331304.51412898558</v>
      </c>
      <c r="F19" s="22">
        <f t="shared" si="4"/>
        <v>337930.60441156529</v>
      </c>
      <c r="G19" s="22">
        <f t="shared" si="4"/>
        <v>344689.2164997966</v>
      </c>
      <c r="H19" s="22">
        <f t="shared" si="4"/>
        <v>351583.00082979258</v>
      </c>
      <c r="I19" s="22">
        <f t="shared" si="4"/>
        <v>358614.66084638837</v>
      </c>
      <c r="J19" s="22">
        <f t="shared" si="4"/>
        <v>365786.95406331617</v>
      </c>
      <c r="K19" s="23">
        <f t="shared" si="4"/>
        <v>373102.6931445825</v>
      </c>
      <c r="N19" s="3993"/>
      <c r="O19" s="3995"/>
    </row>
    <row r="20" spans="1:19" ht="13.35" customHeight="1">
      <c r="A20" s="21" t="s">
        <v>597</v>
      </c>
      <c r="B20" s="22">
        <f>-('Part VI-Revenues &amp; Expenses'!$Q$227-'Part VI-Revenues &amp; Expenses'!$Q$219)</f>
        <v>-212137</v>
      </c>
      <c r="C20" s="22">
        <f t="shared" ref="C20:K20" si="5">$B$20*(1+$B$6)^(C13-1)</f>
        <v>-218501.11000000002</v>
      </c>
      <c r="D20" s="22">
        <f t="shared" si="5"/>
        <v>-225056.1433</v>
      </c>
      <c r="E20" s="22">
        <f t="shared" si="5"/>
        <v>-231807.82759900001</v>
      </c>
      <c r="F20" s="22">
        <f t="shared" si="5"/>
        <v>-238762.06242696999</v>
      </c>
      <c r="G20" s="22">
        <f t="shared" si="5"/>
        <v>-245924.92429977906</v>
      </c>
      <c r="H20" s="22">
        <f t="shared" si="5"/>
        <v>-253302.67202877245</v>
      </c>
      <c r="I20" s="22">
        <f t="shared" si="5"/>
        <v>-260901.75218963565</v>
      </c>
      <c r="J20" s="22">
        <f t="shared" si="5"/>
        <v>-268728.80475532467</v>
      </c>
      <c r="K20" s="23">
        <f t="shared" si="5"/>
        <v>-276790.66889798443</v>
      </c>
      <c r="N20" s="3993"/>
      <c r="O20" s="3995"/>
      <c r="Q20" s="62">
        <v>1</v>
      </c>
      <c r="R20" s="1043">
        <f>-B31</f>
        <v>19127</v>
      </c>
      <c r="S20" s="1043">
        <f>B32+R20</f>
        <v>60018.643199999991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-23040</v>
      </c>
      <c r="C21" s="22">
        <f>IF(AND('Part VII-Pro Forma'!$G$8="Yes",'Part VII-Pro Forma'!$G$9="Yes"),"Choose One!",IF('Part VII-Pro Forma'!$G$8="Yes",ROUND((-$K$8*(1+'Part VII-Pro Forma'!$B$6)^('Part VII-Pro Forma'!C13-1)),),IF('Part VII-Pro Forma'!$G$9="Yes",ROUND((-(SUM(C14:C17)*'Part VII-Pro Forma'!$K$9)),),"Choose mgt fee")))</f>
        <v>-23731</v>
      </c>
      <c r="D21" s="22">
        <f>IF(AND('Part VII-Pro Forma'!$G$8="Yes",'Part VII-Pro Forma'!$G$9="Yes"),"Choose One!",IF('Part VII-Pro Forma'!$G$8="Yes",ROUND((-$K$8*(1+'Part VII-Pro Forma'!$B$6)^('Part VII-Pro Forma'!D13-1)),),IF('Part VII-Pro Forma'!$G$9="Yes",ROUND((-(SUM(D14:D17)*'Part VII-Pro Forma'!$K$9)),),"Choose mgt fee")))</f>
        <v>-24443</v>
      </c>
      <c r="E21" s="22">
        <f>IF(AND('Part VII-Pro Forma'!$G$8="Yes",'Part VII-Pro Forma'!$G$9="Yes"),"Choose One!",IF('Part VII-Pro Forma'!$G$8="Yes",ROUND((-$K$8*(1+'Part VII-Pro Forma'!$B$6)^('Part VII-Pro Forma'!E13-1)),),IF('Part VII-Pro Forma'!$G$9="Yes",ROUND((-(SUM(E14:E17)*'Part VII-Pro Forma'!$K$9)),),"Choose mgt fee")))</f>
        <v>-25176</v>
      </c>
      <c r="F21" s="22">
        <f>IF(AND('Part VII-Pro Forma'!$G$8="Yes",'Part VII-Pro Forma'!$G$9="Yes"),"Choose One!",IF('Part VII-Pro Forma'!$G$8="Yes",ROUND((-$K$8*(1+'Part VII-Pro Forma'!$B$6)^('Part VII-Pro Forma'!F13-1)),),IF('Part VII-Pro Forma'!$G$9="Yes",ROUND((-(SUM(F14:F17)*'Part VII-Pro Forma'!$K$9)),),"Choose mgt fee")))</f>
        <v>-25932</v>
      </c>
      <c r="G21" s="22">
        <f>IF(AND('Part VII-Pro Forma'!$G$8="Yes",'Part VII-Pro Forma'!$G$9="Yes"),"Choose One!",IF('Part VII-Pro Forma'!$G$8="Yes",ROUND((-$K$8*(1+'Part VII-Pro Forma'!$B$6)^('Part VII-Pro Forma'!G13-1)),),IF('Part VII-Pro Forma'!$G$9="Yes",ROUND((-(SUM(G14:G17)*'Part VII-Pro Forma'!$K$9)),),"Choose mgt fee")))</f>
        <v>-26710</v>
      </c>
      <c r="H21" s="22">
        <f>IF(AND('Part VII-Pro Forma'!$G$8="Yes",'Part VII-Pro Forma'!$G$9="Yes"),"Choose One!",IF('Part VII-Pro Forma'!$G$8="Yes",ROUND((-$K$8*(1+'Part VII-Pro Forma'!$B$6)^('Part VII-Pro Forma'!H13-1)),),IF('Part VII-Pro Forma'!$G$9="Yes",ROUND((-(SUM(H14:H17)*'Part VII-Pro Forma'!$K$9)),),"Choose mgt fee")))</f>
        <v>-27511</v>
      </c>
      <c r="I21" s="22">
        <f>IF(AND('Part VII-Pro Forma'!$G$8="Yes",'Part VII-Pro Forma'!$G$9="Yes"),"Choose One!",IF('Part VII-Pro Forma'!$G$8="Yes",ROUND((-$K$8*(1+'Part VII-Pro Forma'!$B$6)^('Part VII-Pro Forma'!I13-1)),),IF('Part VII-Pro Forma'!$G$9="Yes",ROUND((-(SUM(I14:I17)*'Part VII-Pro Forma'!$K$9)),),"Choose mgt fee")))</f>
        <v>-28336</v>
      </c>
      <c r="J21" s="22">
        <f>IF(AND('Part VII-Pro Forma'!$G$8="Yes",'Part VII-Pro Forma'!$G$9="Yes"),"Choose One!",IF('Part VII-Pro Forma'!$G$8="Yes",ROUND((-$K$8*(1+'Part VII-Pro Forma'!$B$6)^('Part VII-Pro Forma'!J13-1)),),IF('Part VII-Pro Forma'!$G$9="Yes",ROUND((-(SUM(J14:J17)*'Part VII-Pro Forma'!$K$9)),),"Choose mgt fee")))</f>
        <v>-29186</v>
      </c>
      <c r="K21" s="23">
        <f>IF(AND('Part VII-Pro Forma'!$G$8="Yes",'Part VII-Pro Forma'!$G$9="Yes"),"Choose One!",IF('Part VII-Pro Forma'!$G$8="Yes",ROUND((-$K$8*(1+'Part VII-Pro Forma'!$B$6)^('Part VII-Pro Forma'!K13-1)),),IF('Part VII-Pro Forma'!$G$9="Yes",ROUND((-(SUM(K14:K17)*'Part VII-Pro Forma'!$K$9)),),"Choose mgt fee")))</f>
        <v>-30062</v>
      </c>
      <c r="N21" s="3993"/>
      <c r="O21" s="3995"/>
      <c r="Q21" s="62">
        <v>2</v>
      </c>
      <c r="R21" s="1043">
        <f>-SUM(B31:C31)</f>
        <v>19127</v>
      </c>
      <c r="S21" s="1043">
        <f>SUM(B32:C32)+R21</f>
        <v>118866.08926399998</v>
      </c>
    </row>
    <row r="22" spans="1:19" ht="13.35" customHeight="1">
      <c r="A22" s="21" t="s">
        <v>1176</v>
      </c>
      <c r="B22" s="22">
        <f>-('Part VI-Revenues &amp; Expenses'!$Q$233)</f>
        <v>-12000</v>
      </c>
      <c r="C22" s="22">
        <f t="shared" ref="C22:K22" si="6">$B$22*(1+$B$7)^(C13-1)</f>
        <v>-12360</v>
      </c>
      <c r="D22" s="22">
        <f t="shared" si="6"/>
        <v>-12730.8</v>
      </c>
      <c r="E22" s="22">
        <f t="shared" si="6"/>
        <v>-13112.724</v>
      </c>
      <c r="F22" s="22">
        <f t="shared" si="6"/>
        <v>-13506.10572</v>
      </c>
      <c r="G22" s="22">
        <f t="shared" si="6"/>
        <v>-13911.288891599997</v>
      </c>
      <c r="H22" s="22">
        <f t="shared" si="6"/>
        <v>-14328.627558347998</v>
      </c>
      <c r="I22" s="22">
        <f t="shared" si="6"/>
        <v>-14758.48638509844</v>
      </c>
      <c r="J22" s="22">
        <f t="shared" si="6"/>
        <v>-15201.240976651392</v>
      </c>
      <c r="K22" s="23">
        <f t="shared" si="6"/>
        <v>-15657.278205950934</v>
      </c>
      <c r="N22" s="3993"/>
      <c r="O22" s="3995"/>
      <c r="Q22" s="62">
        <v>3</v>
      </c>
      <c r="R22" s="1043">
        <f>-SUM(B31:D31)</f>
        <v>19127</v>
      </c>
      <c r="S22" s="1043">
        <f>SUM(B32:D32)+R22</f>
        <v>176444.49314927997</v>
      </c>
    </row>
    <row r="23" spans="1:19" ht="13.35" customHeight="1">
      <c r="A23" s="417" t="s">
        <v>4375</v>
      </c>
      <c r="B23" s="4105">
        <f>IF(B13&lt;=+'Part VI-Revenues &amp; Expenses'!$N$250,-'Part VI-Revenues &amp; Expenses'!$K$250,0)</f>
        <v>0</v>
      </c>
      <c r="C23" s="4105">
        <f>IF(C13&lt;=+'Part VI-Revenues &amp; Expenses'!$N$250,-'Part VI-Revenues &amp; Expenses'!$K$250,0)</f>
        <v>0</v>
      </c>
      <c r="D23" s="4105">
        <f>IF(D13&lt;=+'Part VI-Revenues &amp; Expenses'!$N$250,-'Part VI-Revenues &amp; Expenses'!$K$250,0)</f>
        <v>0</v>
      </c>
      <c r="E23" s="4105">
        <f>IF(E13&lt;=+'Part VI-Revenues &amp; Expenses'!$N$250,-'Part VI-Revenues &amp; Expenses'!$K$250,0)</f>
        <v>0</v>
      </c>
      <c r="F23" s="4105">
        <f>IF(F13&lt;=+'Part VI-Revenues &amp; Expenses'!$N$250,-'Part VI-Revenues &amp; Expenses'!$K$250,0)</f>
        <v>0</v>
      </c>
      <c r="G23" s="4105">
        <f>IF(G13&lt;=+'Part VI-Revenues &amp; Expenses'!$N$250,-'Part VI-Revenues &amp; Expenses'!$K$250,0)</f>
        <v>0</v>
      </c>
      <c r="H23" s="4105">
        <f>IF(H13&lt;=+'Part VI-Revenues &amp; Expenses'!$N$250,-'Part VI-Revenues &amp; Expenses'!$K$250,0)</f>
        <v>0</v>
      </c>
      <c r="I23" s="4105">
        <f>IF(I13&lt;=+'Part VI-Revenues &amp; Expenses'!$N$250,-'Part VI-Revenues &amp; Expenses'!$K$250,0)</f>
        <v>0</v>
      </c>
      <c r="J23" s="4105">
        <f>IF(J13&lt;=+'Part VI-Revenues &amp; Expenses'!$N$250,-'Part VI-Revenues &amp; Expenses'!$K$250,0)</f>
        <v>0</v>
      </c>
      <c r="K23" s="4105">
        <f>IF(K13&lt;=+'Part VI-Revenues &amp; Expenses'!$N$250,-'Part VI-Revenues &amp; Expenses'!$K$250,0)</f>
        <v>0</v>
      </c>
      <c r="N23" s="3993"/>
      <c r="O23" s="3995"/>
      <c r="Q23" s="929">
        <v>4</v>
      </c>
      <c r="R23" s="1043">
        <f>-SUM(B31:E31)</f>
        <v>19127</v>
      </c>
      <c r="S23" s="1043">
        <f>SUM(B32:E32)+R23</f>
        <v>232652.45567926555</v>
      </c>
    </row>
    <row r="24" spans="1:19" ht="13.35" customHeight="1">
      <c r="A24" s="21" t="s">
        <v>1177</v>
      </c>
      <c r="B24" s="22">
        <f>SUM(B19:B23)</f>
        <v>65018.643199999991</v>
      </c>
      <c r="C24" s="22">
        <f t="shared" ref="C24:J24" si="7">SUM(C19:C23)</f>
        <v>63847.446063999989</v>
      </c>
      <c r="D24" s="22">
        <f t="shared" si="7"/>
        <v>62578.40388528</v>
      </c>
      <c r="E24" s="22">
        <f t="shared" si="7"/>
        <v>61207.962529985569</v>
      </c>
      <c r="F24" s="22">
        <f t="shared" si="7"/>
        <v>59730.436264595301</v>
      </c>
      <c r="G24" s="22">
        <f t="shared" si="7"/>
        <v>58143.003308417552</v>
      </c>
      <c r="H24" s="22">
        <f t="shared" si="7"/>
        <v>56440.701242672134</v>
      </c>
      <c r="I24" s="22">
        <f t="shared" si="7"/>
        <v>54618.422271654286</v>
      </c>
      <c r="J24" s="22">
        <f t="shared" si="7"/>
        <v>52670.908331340106</v>
      </c>
      <c r="K24" s="1482">
        <f>SUM(K19:K23)</f>
        <v>50592.746040647136</v>
      </c>
      <c r="N24" s="3993"/>
      <c r="O24" s="3995"/>
      <c r="Q24" s="929">
        <v>5</v>
      </c>
      <c r="R24" s="1043">
        <f>-SUM(B31:F31)</f>
        <v>19127</v>
      </c>
      <c r="S24" s="1043">
        <f>SUM(B32:F32)+R24</f>
        <v>287382.89194386086</v>
      </c>
    </row>
    <row r="25" spans="1:19" ht="13.35" customHeight="1">
      <c r="A25" s="417" t="s">
        <v>1558</v>
      </c>
      <c r="B25" s="4106">
        <f>IF('Part III-Sources of Funds'!$P$38="", 0,-'Part III-Sources of Funds'!$P$38)</f>
        <v>0</v>
      </c>
      <c r="C25" s="4106">
        <f>IF('Part III-Sources of Funds'!$P$38="", 0,-'Part III-Sources of Funds'!$P$38)</f>
        <v>0</v>
      </c>
      <c r="D25" s="4106">
        <f>IF('Part III-Sources of Funds'!$P$38="", 0,-'Part III-Sources of Funds'!$P$38)</f>
        <v>0</v>
      </c>
      <c r="E25" s="4106">
        <f>IF('Part III-Sources of Funds'!$P$38="", 0,-'Part III-Sources of Funds'!$P$38)</f>
        <v>0</v>
      </c>
      <c r="F25" s="4106">
        <f>IF('Part III-Sources of Funds'!$P$38="", 0,-'Part III-Sources of Funds'!$P$38)</f>
        <v>0</v>
      </c>
      <c r="G25" s="4106">
        <f>IF('Part III-Sources of Funds'!$P$38="", 0,-'Part III-Sources of Funds'!$P$38)</f>
        <v>0</v>
      </c>
      <c r="H25" s="4106">
        <f>IF('Part III-Sources of Funds'!$P$38="", 0,-'Part III-Sources of Funds'!$P$38)</f>
        <v>0</v>
      </c>
      <c r="I25" s="4106">
        <f>IF('Part III-Sources of Funds'!$P$38="", 0,-'Part III-Sources of Funds'!$P$38)</f>
        <v>0</v>
      </c>
      <c r="J25" s="4106">
        <f>IF('Part III-Sources of Funds'!$P$38="", 0,-'Part III-Sources of Funds'!$P$38)</f>
        <v>0</v>
      </c>
      <c r="K25" s="4106">
        <f>IF('Part III-Sources of Funds'!$P$38="", 0,-'Part III-Sources of Funds'!$P$38)</f>
        <v>0</v>
      </c>
      <c r="N25" s="3993"/>
      <c r="O25" s="3995"/>
      <c r="Q25" s="929">
        <v>6</v>
      </c>
      <c r="R25" s="1043">
        <f>-SUM(B31:G31)</f>
        <v>19127</v>
      </c>
      <c r="S25" s="1043">
        <f>SUM(B32:G32)+R25</f>
        <v>340525.89525227842</v>
      </c>
    </row>
    <row r="26" spans="1:19" ht="13.35" customHeight="1">
      <c r="A26" s="417" t="s">
        <v>1559</v>
      </c>
      <c r="B26" s="4107">
        <f>IF('Part III-Sources of Funds'!$P$39="", 0,-'Part III-Sources of Funds'!$P$39)</f>
        <v>0</v>
      </c>
      <c r="C26" s="4107">
        <f>IF('Part III-Sources of Funds'!$P$39="", 0,-'Part III-Sources of Funds'!$P$39)</f>
        <v>0</v>
      </c>
      <c r="D26" s="4107">
        <f>IF('Part III-Sources of Funds'!$P$39="", 0,-'Part III-Sources of Funds'!$P$39)</f>
        <v>0</v>
      </c>
      <c r="E26" s="4107">
        <f>IF('Part III-Sources of Funds'!$P$39="", 0,-'Part III-Sources of Funds'!$P$39)</f>
        <v>0</v>
      </c>
      <c r="F26" s="4107">
        <f>IF('Part III-Sources of Funds'!$P$39="", 0,-'Part III-Sources of Funds'!$P$39)</f>
        <v>0</v>
      </c>
      <c r="G26" s="4107">
        <f>IF('Part III-Sources of Funds'!$P$39="", 0,-'Part III-Sources of Funds'!$P$39)</f>
        <v>0</v>
      </c>
      <c r="H26" s="4107">
        <f>IF('Part III-Sources of Funds'!$P$39="", 0,-'Part III-Sources of Funds'!$P$39)</f>
        <v>0</v>
      </c>
      <c r="I26" s="4107">
        <f>IF('Part III-Sources of Funds'!$P$39="", 0,-'Part III-Sources of Funds'!$P$39)</f>
        <v>0</v>
      </c>
      <c r="J26" s="4107">
        <f>IF('Part III-Sources of Funds'!$P$39="", 0,-'Part III-Sources of Funds'!$P$39)</f>
        <v>0</v>
      </c>
      <c r="K26" s="4107">
        <f>IF('Part III-Sources of Funds'!$P$39="", 0,-'Part III-Sources of Funds'!$P$39)</f>
        <v>0</v>
      </c>
      <c r="N26" s="3993"/>
      <c r="O26" s="3995"/>
      <c r="Q26" s="929">
        <v>7</v>
      </c>
      <c r="R26" s="1043">
        <f>-SUM(B31:H31)</f>
        <v>19127</v>
      </c>
      <c r="S26" s="1043">
        <f>SUM(B32:H32)+R26</f>
        <v>391966.59649495059</v>
      </c>
    </row>
    <row r="27" spans="1:19" ht="13.35" customHeight="1">
      <c r="A27" s="417" t="s">
        <v>1560</v>
      </c>
      <c r="B27" s="4107">
        <f>IF('Part III-Sources of Funds'!$P$40="", 0,-'Part III-Sources of Funds'!$P$40)</f>
        <v>0</v>
      </c>
      <c r="C27" s="4107">
        <f>IF('Part III-Sources of Funds'!$P$40="", 0,-'Part III-Sources of Funds'!$P$40)</f>
        <v>0</v>
      </c>
      <c r="D27" s="4107">
        <f>IF('Part III-Sources of Funds'!$P$40="", 0,-'Part III-Sources of Funds'!$P$40)</f>
        <v>0</v>
      </c>
      <c r="E27" s="4107">
        <f>IF('Part III-Sources of Funds'!$P$40="", 0,-'Part III-Sources of Funds'!$P$40)</f>
        <v>0</v>
      </c>
      <c r="F27" s="4107">
        <f>IF('Part III-Sources of Funds'!$P$40="", 0,-'Part III-Sources of Funds'!$P$40)</f>
        <v>0</v>
      </c>
      <c r="G27" s="4107">
        <f>IF('Part III-Sources of Funds'!$P$40="", 0,-'Part III-Sources of Funds'!$P$40)</f>
        <v>0</v>
      </c>
      <c r="H27" s="4107">
        <f>IF('Part III-Sources of Funds'!$P$40="", 0,-'Part III-Sources of Funds'!$P$40)</f>
        <v>0</v>
      </c>
      <c r="I27" s="4107">
        <f>IF('Part III-Sources of Funds'!$P$40="", 0,-'Part III-Sources of Funds'!$P$40)</f>
        <v>0</v>
      </c>
      <c r="J27" s="4107">
        <f>IF('Part III-Sources of Funds'!$P$40="", 0,-'Part III-Sources of Funds'!$P$40)</f>
        <v>0</v>
      </c>
      <c r="K27" s="4107">
        <f>IF('Part III-Sources of Funds'!$P$40="", 0,-'Part III-Sources of Funds'!$P$40)</f>
        <v>0</v>
      </c>
      <c r="N27" s="3993"/>
      <c r="O27" s="3995"/>
      <c r="Q27" s="929">
        <v>8</v>
      </c>
      <c r="R27" s="1043">
        <f>-SUM(B31:I31)</f>
        <v>19127</v>
      </c>
      <c r="S27" s="1043">
        <f>SUM(B32:I32)+R27</f>
        <v>441585.01876660489</v>
      </c>
    </row>
    <row r="28" spans="1:19" ht="13.35" customHeight="1">
      <c r="A28" s="417" t="s">
        <v>3634</v>
      </c>
      <c r="B28" s="4107">
        <f>IF('Part III-Sources of Funds'!$P$41="", 0,-'Part III-Sources of Funds'!$P$41)</f>
        <v>0</v>
      </c>
      <c r="C28" s="4107">
        <f>IF('Part III-Sources of Funds'!$P$41="", 0,-'Part III-Sources of Funds'!$P$41)</f>
        <v>0</v>
      </c>
      <c r="D28" s="4107">
        <f>IF('Part III-Sources of Funds'!$P$41="", 0,-'Part III-Sources of Funds'!$P$41)</f>
        <v>0</v>
      </c>
      <c r="E28" s="4107">
        <f>IF('Part III-Sources of Funds'!$P$41="", 0,-'Part III-Sources of Funds'!$P$41)</f>
        <v>0</v>
      </c>
      <c r="F28" s="4107">
        <f>IF('Part III-Sources of Funds'!$P$41="", 0,-'Part III-Sources of Funds'!$P$41)</f>
        <v>0</v>
      </c>
      <c r="G28" s="4107">
        <f>IF('Part III-Sources of Funds'!$P$41="", 0,-'Part III-Sources of Funds'!$P$41)</f>
        <v>0</v>
      </c>
      <c r="H28" s="4107">
        <f>IF('Part III-Sources of Funds'!$P$41="", 0,-'Part III-Sources of Funds'!$P$41)</f>
        <v>0</v>
      </c>
      <c r="I28" s="4107">
        <f>IF('Part III-Sources of Funds'!$P$41="", 0,-'Part III-Sources of Funds'!$P$41)</f>
        <v>0</v>
      </c>
      <c r="J28" s="4107">
        <f>IF('Part III-Sources of Funds'!$P$41="", 0,-'Part III-Sources of Funds'!$P$41)</f>
        <v>0</v>
      </c>
      <c r="K28" s="4107">
        <f>IF('Part III-Sources of Funds'!$P$41="", 0,-'Part III-Sources of Funds'!$P$41)</f>
        <v>0</v>
      </c>
      <c r="N28" s="3993"/>
      <c r="O28" s="3995"/>
      <c r="Q28" s="929">
        <v>9</v>
      </c>
      <c r="R28" s="1043">
        <f>-SUM(B31:J31)</f>
        <v>19127</v>
      </c>
      <c r="S28" s="1043">
        <f>SUM(B32:J32)+R28</f>
        <v>489255.92709794501</v>
      </c>
    </row>
    <row r="29" spans="1:19" ht="13.35" customHeight="1">
      <c r="A29" s="21" t="s">
        <v>745</v>
      </c>
      <c r="B29" s="4108"/>
      <c r="C29" s="4108"/>
      <c r="D29" s="4108"/>
      <c r="E29" s="4108"/>
      <c r="F29" s="4108"/>
      <c r="G29" s="4108"/>
      <c r="H29" s="4108"/>
      <c r="I29" s="4108"/>
      <c r="J29" s="4108"/>
      <c r="K29" s="4108"/>
      <c r="N29" s="3993"/>
      <c r="O29" s="3995"/>
      <c r="Q29" s="929">
        <v>10</v>
      </c>
      <c r="R29" s="1043">
        <f>-SUM(B31:K31)</f>
        <v>19127</v>
      </c>
      <c r="S29" s="1043">
        <f>SUM(B32:K32)+R29</f>
        <v>534848.67313859216</v>
      </c>
    </row>
    <row r="30" spans="1:19" ht="13.35" customHeight="1">
      <c r="A30" s="417" t="s">
        <v>1141</v>
      </c>
      <c r="B30" s="4109">
        <f>-$G$5</f>
        <v>-5000</v>
      </c>
      <c r="C30" s="4109">
        <f t="shared" ref="C30:K30" si="8">+B30</f>
        <v>-5000</v>
      </c>
      <c r="D30" s="4109">
        <f t="shared" si="8"/>
        <v>-5000</v>
      </c>
      <c r="E30" s="4109">
        <f t="shared" si="8"/>
        <v>-5000</v>
      </c>
      <c r="F30" s="4109">
        <f t="shared" si="8"/>
        <v>-5000</v>
      </c>
      <c r="G30" s="4109">
        <f t="shared" si="8"/>
        <v>-5000</v>
      </c>
      <c r="H30" s="4109">
        <f t="shared" si="8"/>
        <v>-5000</v>
      </c>
      <c r="I30" s="4109">
        <f t="shared" si="8"/>
        <v>-5000</v>
      </c>
      <c r="J30" s="4109">
        <f t="shared" si="8"/>
        <v>-5000</v>
      </c>
      <c r="K30" s="4109">
        <f t="shared" si="8"/>
        <v>-5000</v>
      </c>
      <c r="N30" s="3993"/>
      <c r="O30" s="3995"/>
      <c r="Q30" s="929">
        <v>11</v>
      </c>
      <c r="R30" s="1043">
        <f>-SUM(B31:K31)-B63</f>
        <v>19127</v>
      </c>
      <c r="S30" s="1043">
        <f>SUM(B32:K32)+B64+R30</f>
        <v>578228.03462901281</v>
      </c>
    </row>
    <row r="31" spans="1:19" ht="13.35" customHeight="1">
      <c r="A31" s="417" t="s">
        <v>3768</v>
      </c>
      <c r="B31" s="4110">
        <v>-19127</v>
      </c>
      <c r="C31" s="4110"/>
      <c r="D31" s="4110">
        <f>IF('Part III-Sources of Funds'!$P$43="", 0,-'Part III-Sources of Funds'!$P$43)</f>
        <v>0</v>
      </c>
      <c r="E31" s="4110">
        <f>IF('Part III-Sources of Funds'!$P$43="", 0,-'Part III-Sources of Funds'!$P$43)</f>
        <v>0</v>
      </c>
      <c r="F31" s="4110">
        <f>IF('Part III-Sources of Funds'!$P$43="", 0,-'Part III-Sources of Funds'!$P$43)</f>
        <v>0</v>
      </c>
      <c r="G31" s="4110">
        <f>IF('Part III-Sources of Funds'!$P$43="", 0,-'Part III-Sources of Funds'!$P$43)</f>
        <v>0</v>
      </c>
      <c r="H31" s="4110">
        <f>IF('Part III-Sources of Funds'!$P$43="", 0,-'Part III-Sources of Funds'!$P$43)</f>
        <v>0</v>
      </c>
      <c r="I31" s="4110">
        <f>IF('Part III-Sources of Funds'!$P$43="", 0,-'Part III-Sources of Funds'!$P$43)</f>
        <v>0</v>
      </c>
      <c r="J31" s="4110">
        <f>IF('Part III-Sources of Funds'!$P$43="", 0,-'Part III-Sources of Funds'!$P$43)</f>
        <v>0</v>
      </c>
      <c r="K31" s="4110">
        <f>IF('Part III-Sources of Funds'!$P$43="", 0,-'Part III-Sources of Funds'!$P$43)</f>
        <v>0</v>
      </c>
      <c r="N31" s="3993"/>
      <c r="O31" s="3995"/>
      <c r="Q31" s="929">
        <v>12</v>
      </c>
      <c r="R31" s="1043">
        <f>-SUM(B31:K31) - SUM(B63:C63)</f>
        <v>19127</v>
      </c>
      <c r="S31" s="1043">
        <f>SUM(B32:K32) + SUM(B64:C64)+R31</f>
        <v>619253.0494940714</v>
      </c>
    </row>
    <row r="32" spans="1:19" ht="13.35" customHeight="1">
      <c r="A32" s="21" t="s">
        <v>1142</v>
      </c>
      <c r="B32" s="22">
        <f t="shared" ref="B32:K32" si="9">SUM(B24:B31)</f>
        <v>40891.643199999991</v>
      </c>
      <c r="C32" s="22">
        <f t="shared" si="9"/>
        <v>58847.446063999989</v>
      </c>
      <c r="D32" s="22">
        <f t="shared" si="9"/>
        <v>57578.40388528</v>
      </c>
      <c r="E32" s="22">
        <f t="shared" si="9"/>
        <v>56207.962529985569</v>
      </c>
      <c r="F32" s="22">
        <f t="shared" si="9"/>
        <v>54730.436264595301</v>
      </c>
      <c r="G32" s="22">
        <f t="shared" si="9"/>
        <v>53143.003308417552</v>
      </c>
      <c r="H32" s="22">
        <f t="shared" si="9"/>
        <v>51440.701242672134</v>
      </c>
      <c r="I32" s="22">
        <f t="shared" si="9"/>
        <v>49618.422271654286</v>
      </c>
      <c r="J32" s="22">
        <f t="shared" si="9"/>
        <v>47670.908331340106</v>
      </c>
      <c r="K32" s="23">
        <f t="shared" si="9"/>
        <v>45592.746040647136</v>
      </c>
      <c r="N32" s="3993"/>
      <c r="O32" s="3995"/>
      <c r="Q32" s="929">
        <v>13</v>
      </c>
      <c r="R32" s="1043">
        <f>-SUM(B31:K31) - SUM(B63:D63)</f>
        <v>19127</v>
      </c>
      <c r="S32" s="1043">
        <f>SUM(B32:K32) + SUM(B64:D64)+R32</f>
        <v>657776.84438560554</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993"/>
      <c r="O33" s="3995"/>
      <c r="Q33" s="929">
        <v>14</v>
      </c>
      <c r="R33" s="1043">
        <f>-SUM(B31:K31) - SUM(B63:E63)</f>
        <v>19127</v>
      </c>
      <c r="S33" s="1043">
        <f>SUM(B32:K32) + SUM(B64:E64)+R33</f>
        <v>693647.45749602001</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3"/>
      <c r="O34" s="3995"/>
      <c r="Q34" s="929">
        <v>15</v>
      </c>
      <c r="R34" s="1043">
        <f>-SUM(B31:K31) - SUM(B63:F63)</f>
        <v>19127</v>
      </c>
      <c r="S34" s="1043">
        <f>SUM(B32:K32) + SUM(B64:F64)+R34</f>
        <v>726705.65545932378</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3"/>
      <c r="O35" s="3995"/>
      <c r="Q35" s="62">
        <v>16</v>
      </c>
      <c r="R35" s="1043">
        <f>-SUM(B31:K31) - SUM(B63:G63)</f>
        <v>19127</v>
      </c>
      <c r="S35" s="1043">
        <f>SUM(B32:K32) + SUM(B64:G64)+R35</f>
        <v>756785.74415029492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3"/>
      <c r="O36" s="3995"/>
      <c r="Q36" s="62">
        <v>17</v>
      </c>
      <c r="R36" s="1043">
        <f>-SUM(B31:K31) - SUM(B63:H63)</f>
        <v>19127</v>
      </c>
      <c r="S36" s="1043">
        <f>SUM(B32:K32) + SUM(B64:H64)+R36</f>
        <v>783717.37318653928</v>
      </c>
    </row>
    <row r="37" spans="1:19" ht="13.35" customHeight="1">
      <c r="A37" s="417" t="s">
        <v>3532</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993"/>
      <c r="O37" s="3995"/>
      <c r="Q37" s="62">
        <v>18</v>
      </c>
      <c r="R37" s="1043">
        <f>-SUM(B31:K31) - SUM(B63:I63)</f>
        <v>19127</v>
      </c>
      <c r="S37" s="1043">
        <f>SUM(B32:K32) + SUM(B64:I64)+R37</f>
        <v>807320.33393210557</v>
      </c>
    </row>
    <row r="38" spans="1:19" ht="13.35" customHeight="1">
      <c r="A38" s="21" t="s">
        <v>752</v>
      </c>
      <c r="B38" s="265">
        <f t="shared" ref="B38:K38" si="15">IF(OR(B21="Choose mgt fee",B21="Choose One!"),"",(B14+B15+B16+B17+B18) / -(B20+B21+B22))</f>
        <v>1.263044875534536</v>
      </c>
      <c r="C38" s="265">
        <f t="shared" si="15"/>
        <v>1.2507832865048332</v>
      </c>
      <c r="D38" s="265">
        <f t="shared" si="15"/>
        <v>1.2386394288072899</v>
      </c>
      <c r="E38" s="265">
        <f t="shared" si="15"/>
        <v>1.2266151202880156</v>
      </c>
      <c r="F38" s="265">
        <f t="shared" si="15"/>
        <v>1.2147030918868476</v>
      </c>
      <c r="G38" s="265">
        <f t="shared" si="15"/>
        <v>1.2029096900665894</v>
      </c>
      <c r="H38" s="265">
        <f t="shared" si="15"/>
        <v>1.191232166048811</v>
      </c>
      <c r="I38" s="265">
        <f t="shared" si="15"/>
        <v>1.1796680857885911</v>
      </c>
      <c r="J38" s="265">
        <f t="shared" si="15"/>
        <v>1.1682152960516941</v>
      </c>
      <c r="K38" s="266">
        <f t="shared" si="15"/>
        <v>1.1568718933941675</v>
      </c>
      <c r="N38" s="3993"/>
      <c r="O38" s="3995"/>
      <c r="Q38" s="929">
        <v>19</v>
      </c>
      <c r="R38" s="1043">
        <f>-SUM(B31:K31) - SUM(B63:J63)</f>
        <v>19127</v>
      </c>
      <c r="S38" s="1043">
        <f>SUM(B32:K32) + SUM(B64:J64)+R38</f>
        <v>827410.35079503828</v>
      </c>
    </row>
    <row r="39" spans="1:19" ht="13.35" customHeight="1">
      <c r="A39" s="417" t="s">
        <v>2549</v>
      </c>
      <c r="B39" s="4111" t="str">
        <f>IF('Part III-Sources of Funds'!$I$38="","",-FV('Part III-Sources of Funds'!$K$38/12,12,B25/12,'Part III-Sources of Funds'!$I$38))</f>
        <v/>
      </c>
      <c r="C39" s="4111" t="str">
        <f>IF('Part III-Sources of Funds'!$I$38="","",-FV('Part III-Sources of Funds'!$K$38/12,12,C25/12,B39))</f>
        <v/>
      </c>
      <c r="D39" s="4111" t="str">
        <f>IF('Part III-Sources of Funds'!$I$38="","",-FV('Part III-Sources of Funds'!$K$38/12,12,D25/12,C39))</f>
        <v/>
      </c>
      <c r="E39" s="4111" t="str">
        <f>IF('Part III-Sources of Funds'!$I$38="","",-FV('Part III-Sources of Funds'!$K$38/12,12,E25/12,D39))</f>
        <v/>
      </c>
      <c r="F39" s="4111" t="str">
        <f>IF('Part III-Sources of Funds'!$I$38="","",-FV('Part III-Sources of Funds'!$K$38/12,12,F25/12,E39))</f>
        <v/>
      </c>
      <c r="G39" s="4111" t="str">
        <f>IF('Part III-Sources of Funds'!$I$38="","",-FV('Part III-Sources of Funds'!$K$38/12,12,G25/12,F39))</f>
        <v/>
      </c>
      <c r="H39" s="4111" t="str">
        <f>IF('Part III-Sources of Funds'!$I$38="","",-FV('Part III-Sources of Funds'!$K$38/12,12,H25/12,G39))</f>
        <v/>
      </c>
      <c r="I39" s="4111" t="str">
        <f>IF('Part III-Sources of Funds'!$I$38="","",-FV('Part III-Sources of Funds'!$K$38/12,12,I25/12,H39))</f>
        <v/>
      </c>
      <c r="J39" s="4111" t="str">
        <f>IF('Part III-Sources of Funds'!$I$38="","",-FV('Part III-Sources of Funds'!$K$38/12,12,J25/12,I39))</f>
        <v/>
      </c>
      <c r="K39" s="4111" t="str">
        <f>IF('Part III-Sources of Funds'!$I$38="","",-FV('Part III-Sources of Funds'!$K$38/12,12,K25/12,J39))</f>
        <v/>
      </c>
      <c r="N39" s="3993"/>
      <c r="O39" s="3995"/>
      <c r="Q39" s="929">
        <v>20</v>
      </c>
      <c r="R39" s="1043">
        <f>-SUM(B31:K31) - SUM(B63:K63)</f>
        <v>19127</v>
      </c>
      <c r="S39" s="1043">
        <f>SUM(B32:K32) + SUM(B64:K64)+R39</f>
        <v>843793.86560475838</v>
      </c>
    </row>
    <row r="40" spans="1:19" ht="13.35" customHeight="1">
      <c r="A40" s="417" t="s">
        <v>2550</v>
      </c>
      <c r="B40" s="4107" t="str">
        <f>IF('Part III-Sources of Funds'!$I$39="","",-FV('Part III-Sources of Funds'!$K$39/12,12,B26/12,'Part III-Sources of Funds'!$I$39))</f>
        <v/>
      </c>
      <c r="C40" s="4107" t="str">
        <f>IF('Part III-Sources of Funds'!$I$39="","",-FV('Part III-Sources of Funds'!$K$39/12,12,C26/12,B40))</f>
        <v/>
      </c>
      <c r="D40" s="4107" t="str">
        <f>IF('Part III-Sources of Funds'!$I$39="","",-FV('Part III-Sources of Funds'!$K$39/12,12,D26/12,C40))</f>
        <v/>
      </c>
      <c r="E40" s="4107" t="str">
        <f>IF('Part III-Sources of Funds'!$I$39="","",-FV('Part III-Sources of Funds'!$K$39/12,12,E26/12,D40))</f>
        <v/>
      </c>
      <c r="F40" s="4107" t="str">
        <f>IF('Part III-Sources of Funds'!$I$39="","",-FV('Part III-Sources of Funds'!$K$39/12,12,F26/12,E40))</f>
        <v/>
      </c>
      <c r="G40" s="4107" t="str">
        <f>IF('Part III-Sources of Funds'!$I$39="","",-FV('Part III-Sources of Funds'!$K$39/12,12,G26/12,F40))</f>
        <v/>
      </c>
      <c r="H40" s="4107" t="str">
        <f>IF('Part III-Sources of Funds'!$I$39="","",-FV('Part III-Sources of Funds'!$K$39/12,12,H26/12,G40))</f>
        <v/>
      </c>
      <c r="I40" s="4107" t="str">
        <f>IF('Part III-Sources of Funds'!$I$39="","",-FV('Part III-Sources of Funds'!$K$39/12,12,I26/12,H40))</f>
        <v/>
      </c>
      <c r="J40" s="4107" t="str">
        <f>IF('Part III-Sources of Funds'!$I$39="","",-FV('Part III-Sources of Funds'!$K$39/12,12,J26/12,I40))</f>
        <v/>
      </c>
      <c r="K40" s="4107" t="str">
        <f>IF('Part III-Sources of Funds'!$I$39="","",-FV('Part III-Sources of Funds'!$K$39/12,12,K26/12,J40))</f>
        <v/>
      </c>
      <c r="N40" s="3993"/>
      <c r="O40" s="3995"/>
    </row>
    <row r="41" spans="1:19" ht="13.35" customHeight="1">
      <c r="A41" s="417" t="s">
        <v>2551</v>
      </c>
      <c r="B41" s="4107" t="str">
        <f>IF('Part III-Sources of Funds'!$I$40="","",-FV('Part III-Sources of Funds'!$K$40/12,12,B27/12,'Part III-Sources of Funds'!$I$40))</f>
        <v/>
      </c>
      <c r="C41" s="4107" t="str">
        <f>IF('Part III-Sources of Funds'!$I$40="","",-FV('Part III-Sources of Funds'!$K$40/12,12,C27/12,B41))</f>
        <v/>
      </c>
      <c r="D41" s="4107" t="str">
        <f>IF('Part III-Sources of Funds'!$I$40="","",-FV('Part III-Sources of Funds'!$K$40/12,12,D27/12,C41))</f>
        <v/>
      </c>
      <c r="E41" s="4107" t="str">
        <f>IF('Part III-Sources of Funds'!$I$40="","",-FV('Part III-Sources of Funds'!$K$40/12,12,E27/12,D41))</f>
        <v/>
      </c>
      <c r="F41" s="4107" t="str">
        <f>IF('Part III-Sources of Funds'!$I$40="","",-FV('Part III-Sources of Funds'!$K$40/12,12,F27/12,E41))</f>
        <v/>
      </c>
      <c r="G41" s="4107" t="str">
        <f>IF('Part III-Sources of Funds'!$I$40="","",-FV('Part III-Sources of Funds'!$K$40/12,12,G27/12,F41))</f>
        <v/>
      </c>
      <c r="H41" s="4107" t="str">
        <f>IF('Part III-Sources of Funds'!$I$40="","",-FV('Part III-Sources of Funds'!$K$40/12,12,H27/12,G41))</f>
        <v/>
      </c>
      <c r="I41" s="4107" t="str">
        <f>IF('Part III-Sources of Funds'!$I$40="","",-FV('Part III-Sources of Funds'!$K$40/12,12,I27/12,H41))</f>
        <v/>
      </c>
      <c r="J41" s="4107" t="str">
        <f>IF('Part III-Sources of Funds'!$I$40="","",-FV('Part III-Sources of Funds'!$K$40/12,12,J27/12,I41))</f>
        <v/>
      </c>
      <c r="K41" s="4107" t="str">
        <f>IF('Part III-Sources of Funds'!$I$40="","",-FV('Part III-Sources of Funds'!$K$40/12,12,K27/12,J41))</f>
        <v/>
      </c>
      <c r="N41" s="3993"/>
      <c r="O41" s="3995"/>
    </row>
    <row r="42" spans="1:19" ht="13.35" customHeight="1">
      <c r="A42" s="21" t="s">
        <v>764</v>
      </c>
      <c r="B42" s="4107" t="str">
        <f>IF('Part III-Sources of Funds'!$I$41="","",-FV('Part III-Sources of Funds'!$K$41/12,12,B28/12,'Part III-Sources of Funds'!$I$41))</f>
        <v/>
      </c>
      <c r="C42" s="4107" t="str">
        <f>IF('Part III-Sources of Funds'!$I$41="","",-FV('Part III-Sources of Funds'!$K$41/12,12,C28/12,B42))</f>
        <v/>
      </c>
      <c r="D42" s="4107" t="str">
        <f>IF('Part III-Sources of Funds'!$I$41="","",-FV('Part III-Sources of Funds'!$K$41/12,12,D28/12,C42))</f>
        <v/>
      </c>
      <c r="E42" s="4107" t="str">
        <f>IF('Part III-Sources of Funds'!$I$41="","",-FV('Part III-Sources of Funds'!$K$41/12,12,E28/12,D42))</f>
        <v/>
      </c>
      <c r="F42" s="4107" t="str">
        <f>IF('Part III-Sources of Funds'!$I$41="","",-FV('Part III-Sources of Funds'!$K$41/12,12,F28/12,E42))</f>
        <v/>
      </c>
      <c r="G42" s="4107" t="str">
        <f>IF('Part III-Sources of Funds'!$I$41="","",-FV('Part III-Sources of Funds'!$K$41/12,12,G28/12,F42))</f>
        <v/>
      </c>
      <c r="H42" s="4107" t="str">
        <f>IF('Part III-Sources of Funds'!$I$41="","",-FV('Part III-Sources of Funds'!$K$41/12,12,H28/12,G42))</f>
        <v/>
      </c>
      <c r="I42" s="4107" t="str">
        <f>IF('Part III-Sources of Funds'!$I$41="","",-FV('Part III-Sources of Funds'!$K$41/12,12,I28/12,H42))</f>
        <v/>
      </c>
      <c r="J42" s="4107" t="str">
        <f>IF('Part III-Sources of Funds'!$I$41="","",-FV('Part III-Sources of Funds'!$K$41/12,12,J28/12,I42))</f>
        <v/>
      </c>
      <c r="K42" s="4107" t="str">
        <f>IF('Part III-Sources of Funds'!$I$41="","",-FV('Part III-Sources of Funds'!$K$41/12,12,K28/12,J42))</f>
        <v/>
      </c>
      <c r="N42" s="3993"/>
      <c r="O42" s="3995"/>
    </row>
    <row r="43" spans="1:19" ht="13.35" customHeight="1">
      <c r="A43" s="417" t="s">
        <v>3769</v>
      </c>
      <c r="B43" s="4110">
        <f>IF('Part III-Sources of Funds'!$I$43="","",-FV('Part III-Sources of Funds'!$K$43/12,12,B31/12,'Part III-Sources of Funds'!$I$43))</f>
        <v>0</v>
      </c>
      <c r="C43" s="4110">
        <f>IF('Part III-Sources of Funds'!$I$43="","",IF(-FV('Part III-Sources of Funds'!$K$43/12,12,C31/12,B43)&gt;0,-FV('Part III-Sources of Funds'!$K$43/12,12,C31/12,B43),0))</f>
        <v>0</v>
      </c>
      <c r="D43" s="4110">
        <f>IF('Part III-Sources of Funds'!$I$43="","",IF(-FV('Part III-Sources of Funds'!$K$43/12,12,D31/12,C43)&gt;0,-FV('Part III-Sources of Funds'!$K$43/12,12,D31/12,C43),0))</f>
        <v>0</v>
      </c>
      <c r="E43" s="4110">
        <f>IF('Part III-Sources of Funds'!$I$43="","",IF(-FV('Part III-Sources of Funds'!$K$43/12,12,E31/12,D43)&gt;0,-FV('Part III-Sources of Funds'!$K$43/12,12,E31/12,D43),0))</f>
        <v>0</v>
      </c>
      <c r="F43" s="4110">
        <f>IF('Part III-Sources of Funds'!$I$43="","",IF(-FV('Part III-Sources of Funds'!$K$43/12,12,F31/12,E43)&gt;0,-FV('Part III-Sources of Funds'!$K$43/12,12,F31/12,E43),0))</f>
        <v>0</v>
      </c>
      <c r="G43" s="4110">
        <f>IF('Part III-Sources of Funds'!$I$43="","",IF(-FV('Part III-Sources of Funds'!$K$43/12,12,G31/12,F43)&gt;0,-FV('Part III-Sources of Funds'!$K$43/12,12,G31/12,F43),0))</f>
        <v>0</v>
      </c>
      <c r="H43" s="4110">
        <f>IF('Part III-Sources of Funds'!$I$43="","",IF(-FV('Part III-Sources of Funds'!$K$43/12,12,H31/12,G43)&gt;0,-FV('Part III-Sources of Funds'!$K$43/12,12,H31/12,G43),0))</f>
        <v>0</v>
      </c>
      <c r="I43" s="4110">
        <f>IF('Part III-Sources of Funds'!$I$43="","",IF(-FV('Part III-Sources of Funds'!$K$43/12,12,I31/12,H43)&gt;0,-FV('Part III-Sources of Funds'!$K$43/12,12,I31/12,H43),0))</f>
        <v>0</v>
      </c>
      <c r="J43" s="4110">
        <f>IF('Part III-Sources of Funds'!$I$43="","",IF(-FV('Part III-Sources of Funds'!$K$43/12,12,J31/12,I43)&gt;0,-FV('Part III-Sources of Funds'!$K$43/12,12,J31/12,I43),0))</f>
        <v>0</v>
      </c>
      <c r="K43" s="4110">
        <f>IF('Part III-Sources of Funds'!$I$43="","",IF(-FV('Part III-Sources of Funds'!$K$43/12,12,K31/12,J43)&gt;0,-FV('Part III-Sources of Funds'!$K$43/12,12,K31/12,J43),0))</f>
        <v>0</v>
      </c>
      <c r="N43" s="4024"/>
      <c r="O43" s="4026"/>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4" t="s">
        <v>2553</v>
      </c>
      <c r="O45" s="2484"/>
    </row>
    <row r="46" spans="1:19" ht="13.35" customHeight="1">
      <c r="A46" s="18" t="s">
        <v>2341</v>
      </c>
      <c r="B46" s="19">
        <f t="shared" ref="B46:K46" si="17">$B$14*(1+$B$5)^(B45-1)</f>
        <v>401185.69155331451</v>
      </c>
      <c r="C46" s="19">
        <f t="shared" si="17"/>
        <v>409209.40538438072</v>
      </c>
      <c r="D46" s="19">
        <f t="shared" si="17"/>
        <v>417393.59349206841</v>
      </c>
      <c r="E46" s="19">
        <f t="shared" si="17"/>
        <v>425741.46536190977</v>
      </c>
      <c r="F46" s="19">
        <f t="shared" si="17"/>
        <v>434256.29466914799</v>
      </c>
      <c r="G46" s="19">
        <f t="shared" si="17"/>
        <v>442941.42056253081</v>
      </c>
      <c r="H46" s="19">
        <f t="shared" si="17"/>
        <v>451800.24897378153</v>
      </c>
      <c r="I46" s="19">
        <f t="shared" si="17"/>
        <v>460836.25395325717</v>
      </c>
      <c r="J46" s="19">
        <f t="shared" si="17"/>
        <v>470052.97903232224</v>
      </c>
      <c r="K46" s="20">
        <f t="shared" si="17"/>
        <v>479454.0386129687</v>
      </c>
      <c r="N46" s="4031"/>
      <c r="O46" s="4033"/>
    </row>
    <row r="47" spans="1:19" ht="13.35" customHeight="1">
      <c r="A47" s="21" t="s">
        <v>994</v>
      </c>
      <c r="B47" s="22">
        <f t="shared" ref="B47:K47" si="18">$B$15*(1+$B$5)^(B45-1)</f>
        <v>8023.7138310662895</v>
      </c>
      <c r="C47" s="22">
        <f t="shared" si="18"/>
        <v>8184.1881076876143</v>
      </c>
      <c r="D47" s="22">
        <f t="shared" si="18"/>
        <v>8347.8718698413668</v>
      </c>
      <c r="E47" s="22">
        <f t="shared" si="18"/>
        <v>8514.8293072381948</v>
      </c>
      <c r="F47" s="22">
        <f t="shared" si="18"/>
        <v>8685.1258933829595</v>
      </c>
      <c r="G47" s="22">
        <f t="shared" si="18"/>
        <v>8858.8284112506153</v>
      </c>
      <c r="H47" s="22">
        <f t="shared" si="18"/>
        <v>9036.0049794756305</v>
      </c>
      <c r="I47" s="22">
        <f t="shared" si="18"/>
        <v>9216.7250790651433</v>
      </c>
      <c r="J47" s="22">
        <f t="shared" si="18"/>
        <v>9401.0595806464444</v>
      </c>
      <c r="K47" s="23">
        <f t="shared" si="18"/>
        <v>9589.0807722593745</v>
      </c>
      <c r="N47" s="3993"/>
      <c r="O47" s="3995"/>
    </row>
    <row r="48" spans="1:19" ht="13.35" customHeight="1">
      <c r="A48" s="21" t="s">
        <v>2342</v>
      </c>
      <c r="B48" s="22">
        <f t="shared" ref="B48:K48" si="19">-(B46+B47)*$B$8</f>
        <v>-28644.658376906656</v>
      </c>
      <c r="C48" s="22">
        <f t="shared" si="19"/>
        <v>-29217.551544444788</v>
      </c>
      <c r="D48" s="22">
        <f t="shared" si="19"/>
        <v>-29801.902575333686</v>
      </c>
      <c r="E48" s="22">
        <f t="shared" si="19"/>
        <v>-30397.940626840362</v>
      </c>
      <c r="F48" s="22">
        <f t="shared" si="19"/>
        <v>-31005.899439377168</v>
      </c>
      <c r="G48" s="22">
        <f t="shared" si="19"/>
        <v>-31626.017428164701</v>
      </c>
      <c r="H48" s="22">
        <f t="shared" si="19"/>
        <v>-32258.537776728004</v>
      </c>
      <c r="I48" s="22">
        <f t="shared" si="19"/>
        <v>-32903.708532262564</v>
      </c>
      <c r="J48" s="22">
        <f t="shared" si="19"/>
        <v>-33561.782702907811</v>
      </c>
      <c r="K48" s="23">
        <f t="shared" si="19"/>
        <v>-34233.018356965971</v>
      </c>
      <c r="N48" s="3993"/>
      <c r="O48" s="399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3"/>
      <c r="O49" s="399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3"/>
      <c r="O50" s="3995"/>
    </row>
    <row r="51" spans="1:19" ht="13.35" customHeight="1">
      <c r="A51" s="417" t="s">
        <v>4376</v>
      </c>
      <c r="B51" s="22">
        <f t="shared" ref="B51:K51" si="20">SUM(B46:B50)</f>
        <v>380564.74700747413</v>
      </c>
      <c r="C51" s="22">
        <f t="shared" si="20"/>
        <v>388176.04194762354</v>
      </c>
      <c r="D51" s="22">
        <f t="shared" si="20"/>
        <v>395939.56278657611</v>
      </c>
      <c r="E51" s="22">
        <f t="shared" si="20"/>
        <v>403858.35404230765</v>
      </c>
      <c r="F51" s="22">
        <f t="shared" si="20"/>
        <v>411935.52112315374</v>
      </c>
      <c r="G51" s="22">
        <f t="shared" si="20"/>
        <v>420174.2315456167</v>
      </c>
      <c r="H51" s="22">
        <f t="shared" si="20"/>
        <v>428577.71617652918</v>
      </c>
      <c r="I51" s="22">
        <f t="shared" si="20"/>
        <v>437149.27050005971</v>
      </c>
      <c r="J51" s="22">
        <f t="shared" si="20"/>
        <v>445892.25591006089</v>
      </c>
      <c r="K51" s="23">
        <f t="shared" si="20"/>
        <v>454810.10102826211</v>
      </c>
      <c r="N51" s="3993"/>
      <c r="O51" s="3995"/>
    </row>
    <row r="52" spans="1:19" ht="13.35" customHeight="1">
      <c r="A52" s="21" t="s">
        <v>597</v>
      </c>
      <c r="B52" s="22">
        <f t="shared" ref="B52:K52" si="21">$B$20*(1+$B$6)^(B45-1)</f>
        <v>-285094.38896492397</v>
      </c>
      <c r="C52" s="22">
        <f t="shared" si="21"/>
        <v>-293647.22063387168</v>
      </c>
      <c r="D52" s="22">
        <f t="shared" si="21"/>
        <v>-302456.63725288777</v>
      </c>
      <c r="E52" s="22">
        <f t="shared" si="21"/>
        <v>-311530.33637047443</v>
      </c>
      <c r="F52" s="22">
        <f t="shared" si="21"/>
        <v>-320876.24646158866</v>
      </c>
      <c r="G52" s="22">
        <f t="shared" si="21"/>
        <v>-330502.53385543637</v>
      </c>
      <c r="H52" s="22">
        <f t="shared" si="21"/>
        <v>-340417.60987109941</v>
      </c>
      <c r="I52" s="22">
        <f t="shared" si="21"/>
        <v>-350630.13816723239</v>
      </c>
      <c r="J52" s="22">
        <f t="shared" si="21"/>
        <v>-361149.04231224937</v>
      </c>
      <c r="K52" s="23">
        <f t="shared" si="21"/>
        <v>-371983.5135816168</v>
      </c>
      <c r="N52" s="3993"/>
      <c r="O52" s="399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-30964</v>
      </c>
      <c r="C53" s="22">
        <f>IF(AND('Part VII-Pro Forma'!$G$8="Yes",'Part VII-Pro Forma'!$G$9="Yes"),"Choose One!",IF('Part VII-Pro Forma'!$G$8="Yes",ROUND((-$K$8*(1+'Part VII-Pro Forma'!$B$6)^('Part VII-Pro Forma'!C45-1)),),IF('Part VII-Pro Forma'!$G$9="Yes",ROUND((-(SUM(C46:C49)*'Part VII-Pro Forma'!$K$9)),),"Choose mgt fee")))</f>
        <v>-31893</v>
      </c>
      <c r="D53" s="22">
        <f>IF(AND('Part VII-Pro Forma'!$G$8="Yes",'Part VII-Pro Forma'!$G$9="Yes"),"Choose One!",IF('Part VII-Pro Forma'!$G$8="Yes",ROUND((-$K$8*(1+'Part VII-Pro Forma'!$B$6)^('Part VII-Pro Forma'!D45-1)),),IF('Part VII-Pro Forma'!$G$9="Yes",ROUND((-(SUM(D46:D49)*'Part VII-Pro Forma'!$K$9)),),"Choose mgt fee")))</f>
        <v>-32850</v>
      </c>
      <c r="E53" s="22">
        <f>IF(AND('Part VII-Pro Forma'!$G$8="Yes",'Part VII-Pro Forma'!$G$9="Yes"),"Choose One!",IF('Part VII-Pro Forma'!$G$8="Yes",ROUND((-$K$8*(1+'Part VII-Pro Forma'!$B$6)^('Part VII-Pro Forma'!E45-1)),),IF('Part VII-Pro Forma'!$G$9="Yes",ROUND((-(SUM(E46:E49)*'Part VII-Pro Forma'!$K$9)),),"Choose mgt fee")))</f>
        <v>-33835</v>
      </c>
      <c r="F53" s="22">
        <f>IF(AND('Part VII-Pro Forma'!$G$8="Yes",'Part VII-Pro Forma'!$G$9="Yes"),"Choose One!",IF('Part VII-Pro Forma'!$G$8="Yes",ROUND((-$K$8*(1+'Part VII-Pro Forma'!$B$6)^('Part VII-Pro Forma'!F45-1)),),IF('Part VII-Pro Forma'!$G$9="Yes",ROUND((-(SUM(F46:F49)*'Part VII-Pro Forma'!$K$9)),),"Choose mgt fee")))</f>
        <v>-34850</v>
      </c>
      <c r="G53" s="22">
        <f>IF(AND('Part VII-Pro Forma'!$G$8="Yes",'Part VII-Pro Forma'!$G$9="Yes"),"Choose One!",IF('Part VII-Pro Forma'!$G$8="Yes",ROUND((-$K$8*(1+'Part VII-Pro Forma'!$B$6)^('Part VII-Pro Forma'!G45-1)),),IF('Part VII-Pro Forma'!$G$9="Yes",ROUND((-(SUM(G46:G49)*'Part VII-Pro Forma'!$K$9)),),"Choose mgt fee")))</f>
        <v>-35896</v>
      </c>
      <c r="H53" s="22">
        <f>IF(AND('Part VII-Pro Forma'!$G$8="Yes",'Part VII-Pro Forma'!$G$9="Yes"),"Choose One!",IF('Part VII-Pro Forma'!$G$8="Yes",ROUND((-$K$8*(1+'Part VII-Pro Forma'!$B$6)^('Part VII-Pro Forma'!H45-1)),),IF('Part VII-Pro Forma'!$G$9="Yes",ROUND((-(SUM(H46:H49)*'Part VII-Pro Forma'!$K$9)),),"Choose mgt fee")))</f>
        <v>-36972</v>
      </c>
      <c r="I53" s="22">
        <f>IF(AND('Part VII-Pro Forma'!$G$8="Yes",'Part VII-Pro Forma'!$G$9="Yes"),"Choose One!",IF('Part VII-Pro Forma'!$G$8="Yes",ROUND((-$K$8*(1+'Part VII-Pro Forma'!$B$6)^('Part VII-Pro Forma'!I45-1)),),IF('Part VII-Pro Forma'!$G$9="Yes",ROUND((-(SUM(I46:I49)*'Part VII-Pro Forma'!$K$9)),),"Choose mgt fee")))</f>
        <v>-38082</v>
      </c>
      <c r="J53" s="22">
        <f>IF(AND('Part VII-Pro Forma'!$G$8="Yes",'Part VII-Pro Forma'!$G$9="Yes"),"Choose One!",IF('Part VII-Pro Forma'!$G$8="Yes",ROUND((-$K$8*(1+'Part VII-Pro Forma'!$B$6)^('Part VII-Pro Forma'!J45-1)),),IF('Part VII-Pro Forma'!$G$9="Yes",ROUND((-(SUM(J46:J49)*'Part VII-Pro Forma'!$K$9)),),"Choose mgt fee")))</f>
        <v>-39224</v>
      </c>
      <c r="K53" s="23">
        <f>IF(AND('Part VII-Pro Forma'!$G$8="Yes",'Part VII-Pro Forma'!$G$9="Yes"),"Choose One!",IF('Part VII-Pro Forma'!$G$8="Yes",ROUND((-$K$8*(1+'Part VII-Pro Forma'!$B$6)^('Part VII-Pro Forma'!K45-1)),),IF('Part VII-Pro Forma'!$G$9="Yes",ROUND((-(SUM(K46:K49)*'Part VII-Pro Forma'!$K$9)),),"Choose mgt fee")))</f>
        <v>-40401</v>
      </c>
      <c r="N53" s="3993"/>
      <c r="O53" s="3995"/>
    </row>
    <row r="54" spans="1:19" ht="13.35" customHeight="1">
      <c r="A54" s="21" t="s">
        <v>1176</v>
      </c>
      <c r="B54" s="22">
        <f t="shared" ref="B54:K54" si="22">$B$22*(1+$B$7)^(B45-1)</f>
        <v>-16126.996552129462</v>
      </c>
      <c r="C54" s="22">
        <f t="shared" si="22"/>
        <v>-16610.806448693347</v>
      </c>
      <c r="D54" s="22">
        <f t="shared" si="22"/>
        <v>-17109.130642154145</v>
      </c>
      <c r="E54" s="22">
        <f t="shared" si="22"/>
        <v>-17622.404561418767</v>
      </c>
      <c r="F54" s="22">
        <f t="shared" si="22"/>
        <v>-18151.076698261331</v>
      </c>
      <c r="G54" s="22">
        <f t="shared" si="22"/>
        <v>-18695.608999209173</v>
      </c>
      <c r="H54" s="22">
        <f t="shared" si="22"/>
        <v>-19256.477269185445</v>
      </c>
      <c r="I54" s="22">
        <f t="shared" si="22"/>
        <v>-19834.171587261008</v>
      </c>
      <c r="J54" s="22">
        <f t="shared" si="22"/>
        <v>-20429.196734878838</v>
      </c>
      <c r="K54" s="23">
        <f t="shared" si="22"/>
        <v>-21042.072636925204</v>
      </c>
      <c r="N54" s="3993"/>
      <c r="O54" s="3995"/>
      <c r="Q54" s="929">
        <v>10</v>
      </c>
      <c r="R54" s="1043">
        <f>-SUM(B60:K60)</f>
        <v>0</v>
      </c>
      <c r="S54" s="1043">
        <f>SUM(B61:K61)+R54</f>
        <v>0</v>
      </c>
    </row>
    <row r="55" spans="1:19" ht="13.35" customHeight="1">
      <c r="A55" s="417" t="s">
        <v>4375</v>
      </c>
      <c r="B55" s="4105">
        <f>IF(B45&lt;=+'Part VI-Revenues &amp; Expenses'!$N$250,-'Part VI-Revenues &amp; Expenses'!$K$250,0)</f>
        <v>0</v>
      </c>
      <c r="C55" s="4105">
        <f>IF(C45&lt;=+'Part VI-Revenues &amp; Expenses'!$N$250,-'Part VI-Revenues &amp; Expenses'!$K$250,0)</f>
        <v>0</v>
      </c>
      <c r="D55" s="4105">
        <f>IF(D45&lt;=+'Part VI-Revenues &amp; Expenses'!$N$250,-'Part VI-Revenues &amp; Expenses'!$K$250,0)</f>
        <v>0</v>
      </c>
      <c r="E55" s="4105">
        <f>IF(E45&lt;=+'Part VI-Revenues &amp; Expenses'!$N$250,-'Part VI-Revenues &amp; Expenses'!$K$250,0)</f>
        <v>0</v>
      </c>
      <c r="F55" s="4105">
        <f>IF(F45&lt;=+'Part VI-Revenues &amp; Expenses'!$N$250,-'Part VI-Revenues &amp; Expenses'!$K$250,0)</f>
        <v>0</v>
      </c>
      <c r="G55" s="4105">
        <f>IF(G45&lt;=+'Part VI-Revenues &amp; Expenses'!$N$250,-'Part VI-Revenues &amp; Expenses'!$K$250,0)</f>
        <v>0</v>
      </c>
      <c r="H55" s="4105">
        <f>IF(H45&lt;=+'Part VI-Revenues &amp; Expenses'!$N$250,-'Part VI-Revenues &amp; Expenses'!$K$250,0)</f>
        <v>0</v>
      </c>
      <c r="I55" s="4105">
        <f>IF(I45&lt;=+'Part VI-Revenues &amp; Expenses'!$N$250,-'Part VI-Revenues &amp; Expenses'!$K$250,0)</f>
        <v>0</v>
      </c>
      <c r="J55" s="4105">
        <f>IF(J45&lt;=+'Part VI-Revenues &amp; Expenses'!$N$250,-'Part VI-Revenues &amp; Expenses'!$K$250,0)</f>
        <v>0</v>
      </c>
      <c r="K55" s="4105">
        <f>IF(K45&lt;=+'Part VI-Revenues &amp; Expenses'!$N$250,-'Part VI-Revenues &amp; Expenses'!$K$250,0)</f>
        <v>0</v>
      </c>
      <c r="N55" s="3993"/>
      <c r="O55" s="3995"/>
    </row>
    <row r="56" spans="1:19" ht="13.35" customHeight="1">
      <c r="A56" s="21" t="s">
        <v>1177</v>
      </c>
      <c r="B56" s="22">
        <f t="shared" ref="B56:K56" si="23">SUM(B51:B55)</f>
        <v>48379.361490420692</v>
      </c>
      <c r="C56" s="22">
        <f t="shared" si="23"/>
        <v>46025.014865058518</v>
      </c>
      <c r="D56" s="22">
        <f t="shared" si="23"/>
        <v>43523.794891534191</v>
      </c>
      <c r="E56" s="22">
        <f t="shared" si="23"/>
        <v>40870.613110414459</v>
      </c>
      <c r="F56" s="22">
        <f t="shared" si="23"/>
        <v>38058.197963303755</v>
      </c>
      <c r="G56" s="22">
        <f t="shared" si="23"/>
        <v>35080.088690971155</v>
      </c>
      <c r="H56" s="22">
        <f t="shared" si="23"/>
        <v>31931.629036244325</v>
      </c>
      <c r="I56" s="22">
        <f t="shared" si="23"/>
        <v>28602.960745566306</v>
      </c>
      <c r="J56" s="22">
        <f t="shared" si="23"/>
        <v>25090.016862932687</v>
      </c>
      <c r="K56" s="1482">
        <f t="shared" si="23"/>
        <v>21383.514809720105</v>
      </c>
      <c r="N56" s="3993"/>
      <c r="O56" s="3995"/>
    </row>
    <row r="57" spans="1:19" ht="13.35" customHeight="1">
      <c r="A57" s="21" t="str">
        <f>$A25</f>
        <v>Mortgage A</v>
      </c>
      <c r="B57" s="4106">
        <f>IF('Part III-Sources of Funds'!$P$38="", 0,-'Part III-Sources of Funds'!$P$38)</f>
        <v>0</v>
      </c>
      <c r="C57" s="4106">
        <f>IF('Part III-Sources of Funds'!$P$38="", 0,-'Part III-Sources of Funds'!$P$38)</f>
        <v>0</v>
      </c>
      <c r="D57" s="4106">
        <f>IF('Part III-Sources of Funds'!$P$38="", 0,-'Part III-Sources of Funds'!$P$38)</f>
        <v>0</v>
      </c>
      <c r="E57" s="4106">
        <f>IF('Part III-Sources of Funds'!$P$38="", 0,-'Part III-Sources of Funds'!$P$38)</f>
        <v>0</v>
      </c>
      <c r="F57" s="4106">
        <f>IF('Part III-Sources of Funds'!$P$38="", 0,-'Part III-Sources of Funds'!$P$38)</f>
        <v>0</v>
      </c>
      <c r="G57" s="4106">
        <f>IF('Part III-Sources of Funds'!$P$38="", 0,-'Part III-Sources of Funds'!$P$38)</f>
        <v>0</v>
      </c>
      <c r="H57" s="4106">
        <f>IF('Part III-Sources of Funds'!$P$38="", 0,-'Part III-Sources of Funds'!$P$38)</f>
        <v>0</v>
      </c>
      <c r="I57" s="4106">
        <f>IF('Part III-Sources of Funds'!$P$38="", 0,-'Part III-Sources of Funds'!$P$38)</f>
        <v>0</v>
      </c>
      <c r="J57" s="4106">
        <f>IF('Part III-Sources of Funds'!$P$38="", 0,-'Part III-Sources of Funds'!$P$38)</f>
        <v>0</v>
      </c>
      <c r="K57" s="4106">
        <f>IF('Part III-Sources of Funds'!$P$38="", 0,-'Part III-Sources of Funds'!$P$38)</f>
        <v>0</v>
      </c>
      <c r="N57" s="3993"/>
      <c r="O57" s="3995"/>
    </row>
    <row r="58" spans="1:19" ht="13.35" customHeight="1">
      <c r="A58" s="21" t="str">
        <f>$A26</f>
        <v>Mortgage B</v>
      </c>
      <c r="B58" s="4107">
        <f>IF('Part III-Sources of Funds'!$P$39="", 0,-'Part III-Sources of Funds'!$P$39)</f>
        <v>0</v>
      </c>
      <c r="C58" s="4107">
        <f>IF('Part III-Sources of Funds'!$P$39="", 0,-'Part III-Sources of Funds'!$P$39)</f>
        <v>0</v>
      </c>
      <c r="D58" s="4107">
        <f>IF('Part III-Sources of Funds'!$P$39="", 0,-'Part III-Sources of Funds'!$P$39)</f>
        <v>0</v>
      </c>
      <c r="E58" s="4107">
        <f>IF('Part III-Sources of Funds'!$P$39="", 0,-'Part III-Sources of Funds'!$P$39)</f>
        <v>0</v>
      </c>
      <c r="F58" s="4107">
        <f>IF('Part III-Sources of Funds'!$P$39="", 0,-'Part III-Sources of Funds'!$P$39)</f>
        <v>0</v>
      </c>
      <c r="G58" s="4107">
        <f>IF('Part III-Sources of Funds'!$P$39="", 0,-'Part III-Sources of Funds'!$P$39)</f>
        <v>0</v>
      </c>
      <c r="H58" s="4107">
        <f>IF('Part III-Sources of Funds'!$P$39="", 0,-'Part III-Sources of Funds'!$P$39)</f>
        <v>0</v>
      </c>
      <c r="I58" s="4107">
        <f>IF('Part III-Sources of Funds'!$P$39="", 0,-'Part III-Sources of Funds'!$P$39)</f>
        <v>0</v>
      </c>
      <c r="J58" s="4107">
        <f>IF('Part III-Sources of Funds'!$P$39="", 0,-'Part III-Sources of Funds'!$P$39)</f>
        <v>0</v>
      </c>
      <c r="K58" s="4107">
        <f>IF('Part III-Sources of Funds'!$P$39="", 0,-'Part III-Sources of Funds'!$P$39)</f>
        <v>0</v>
      </c>
      <c r="N58" s="3993"/>
      <c r="O58" s="3995"/>
    </row>
    <row r="59" spans="1:19" ht="13.35" customHeight="1">
      <c r="A59" s="21" t="str">
        <f>$A27</f>
        <v>Mortgage C</v>
      </c>
      <c r="B59" s="4107">
        <f>IF('Part III-Sources of Funds'!$P$40="", 0,-'Part III-Sources of Funds'!$P$40)</f>
        <v>0</v>
      </c>
      <c r="C59" s="4107">
        <f>IF('Part III-Sources of Funds'!$P$40="", 0,-'Part III-Sources of Funds'!$P$40)</f>
        <v>0</v>
      </c>
      <c r="D59" s="4107">
        <f>IF('Part III-Sources of Funds'!$P$40="", 0,-'Part III-Sources of Funds'!$P$40)</f>
        <v>0</v>
      </c>
      <c r="E59" s="4107">
        <f>IF('Part III-Sources of Funds'!$P$40="", 0,-'Part III-Sources of Funds'!$P$40)</f>
        <v>0</v>
      </c>
      <c r="F59" s="4107">
        <f>IF('Part III-Sources of Funds'!$P$40="", 0,-'Part III-Sources of Funds'!$P$40)</f>
        <v>0</v>
      </c>
      <c r="G59" s="4107">
        <f>IF('Part III-Sources of Funds'!$P$40="", 0,-'Part III-Sources of Funds'!$P$40)</f>
        <v>0</v>
      </c>
      <c r="H59" s="4107">
        <f>IF('Part III-Sources of Funds'!$P$40="", 0,-'Part III-Sources of Funds'!$P$40)</f>
        <v>0</v>
      </c>
      <c r="I59" s="4107">
        <f>IF('Part III-Sources of Funds'!$P$40="", 0,-'Part III-Sources of Funds'!$P$40)</f>
        <v>0</v>
      </c>
      <c r="J59" s="4107">
        <f>IF('Part III-Sources of Funds'!$P$40="", 0,-'Part III-Sources of Funds'!$P$40)</f>
        <v>0</v>
      </c>
      <c r="K59" s="4107">
        <f>IF('Part III-Sources of Funds'!$P$40="", 0,-'Part III-Sources of Funds'!$P$40)</f>
        <v>0</v>
      </c>
      <c r="N59" s="3993"/>
      <c r="O59" s="3995"/>
    </row>
    <row r="60" spans="1:19" ht="13.35" customHeight="1">
      <c r="A60" s="21" t="str">
        <f>$A28</f>
        <v>D/S Other Source,not DDF</v>
      </c>
      <c r="B60" s="4107">
        <f>IF('Part III-Sources of Funds'!$P$41="", 0,-'Part III-Sources of Funds'!$P$41)</f>
        <v>0</v>
      </c>
      <c r="C60" s="4107">
        <f>IF('Part III-Sources of Funds'!$P$41="", 0,-'Part III-Sources of Funds'!$P$41)</f>
        <v>0</v>
      </c>
      <c r="D60" s="4107">
        <f>IF('Part III-Sources of Funds'!$P$41="", 0,-'Part III-Sources of Funds'!$P$41)</f>
        <v>0</v>
      </c>
      <c r="E60" s="4107">
        <f>IF('Part III-Sources of Funds'!$P$41="", 0,-'Part III-Sources of Funds'!$P$41)</f>
        <v>0</v>
      </c>
      <c r="F60" s="4107">
        <f>IF('Part III-Sources of Funds'!$P$41="", 0,-'Part III-Sources of Funds'!$P$41)</f>
        <v>0</v>
      </c>
      <c r="G60" s="4107">
        <f>IF('Part III-Sources of Funds'!$P$41="", 0,-'Part III-Sources of Funds'!$P$41)</f>
        <v>0</v>
      </c>
      <c r="H60" s="4107">
        <f>IF('Part III-Sources of Funds'!$P$41="", 0,-'Part III-Sources of Funds'!$P$41)</f>
        <v>0</v>
      </c>
      <c r="I60" s="4107">
        <f>IF('Part III-Sources of Funds'!$P$41="", 0,-'Part III-Sources of Funds'!$P$41)</f>
        <v>0</v>
      </c>
      <c r="J60" s="4107">
        <f>IF('Part III-Sources of Funds'!$P$41="", 0,-'Part III-Sources of Funds'!$P$41)</f>
        <v>0</v>
      </c>
      <c r="K60" s="4107">
        <f>IF('Part III-Sources of Funds'!$P$41="", 0,-'Part III-Sources of Funds'!$P$41)</f>
        <v>0</v>
      </c>
      <c r="N60" s="3993"/>
      <c r="O60" s="3995"/>
    </row>
    <row r="61" spans="1:19" ht="13.35" customHeight="1">
      <c r="A61" s="21" t="s">
        <v>745</v>
      </c>
      <c r="B61" s="4108"/>
      <c r="C61" s="4108"/>
      <c r="D61" s="4108"/>
      <c r="E61" s="4108"/>
      <c r="F61" s="4108"/>
      <c r="G61" s="4108"/>
      <c r="H61" s="4108"/>
      <c r="I61" s="4108"/>
      <c r="J61" s="4108"/>
      <c r="K61" s="4108"/>
      <c r="N61" s="3993"/>
      <c r="O61" s="3995"/>
      <c r="Q61" s="929"/>
      <c r="R61" s="1043"/>
    </row>
    <row r="62" spans="1:19" ht="13.35" customHeight="1">
      <c r="A62" s="417" t="s">
        <v>1141</v>
      </c>
      <c r="B62" s="4107">
        <f>+K30</f>
        <v>-5000</v>
      </c>
      <c r="C62" s="4107">
        <f t="shared" ref="C62:K62" si="24">+B62</f>
        <v>-5000</v>
      </c>
      <c r="D62" s="4107">
        <f t="shared" si="24"/>
        <v>-5000</v>
      </c>
      <c r="E62" s="4107">
        <f t="shared" si="24"/>
        <v>-5000</v>
      </c>
      <c r="F62" s="4107">
        <f t="shared" si="24"/>
        <v>-5000</v>
      </c>
      <c r="G62" s="4107">
        <f t="shared" si="24"/>
        <v>-5000</v>
      </c>
      <c r="H62" s="4107">
        <f t="shared" si="24"/>
        <v>-5000</v>
      </c>
      <c r="I62" s="4107">
        <f t="shared" si="24"/>
        <v>-5000</v>
      </c>
      <c r="J62" s="4107">
        <f t="shared" si="24"/>
        <v>-5000</v>
      </c>
      <c r="K62" s="4107">
        <f t="shared" si="24"/>
        <v>-5000</v>
      </c>
      <c r="N62" s="3993"/>
      <c r="O62" s="3995"/>
    </row>
    <row r="63" spans="1:19" ht="13.35" customHeight="1">
      <c r="A63" s="417" t="s">
        <v>3768</v>
      </c>
      <c r="B63" s="4110">
        <f>IF('Part III-Sources of Funds'!$P$43="", 0,-'Part III-Sources of Funds'!$P$43)</f>
        <v>0</v>
      </c>
      <c r="C63" s="4110">
        <f>IF('Part III-Sources of Funds'!$P$43="", 0,-'Part III-Sources of Funds'!$P$43)</f>
        <v>0</v>
      </c>
      <c r="D63" s="4110">
        <f>IF('Part III-Sources of Funds'!$P$43="", 0,-'Part III-Sources of Funds'!$P$43)</f>
        <v>0</v>
      </c>
      <c r="E63" s="4110">
        <f>IF('Part III-Sources of Funds'!$P$43="", 0,-'Part III-Sources of Funds'!$P$43)</f>
        <v>0</v>
      </c>
      <c r="F63" s="4110">
        <f>IF('Part III-Sources of Funds'!$P$43="", 0,-'Part III-Sources of Funds'!$P$43)</f>
        <v>0</v>
      </c>
      <c r="G63" s="4110"/>
      <c r="H63" s="4110"/>
      <c r="I63" s="4110"/>
      <c r="J63" s="4110"/>
      <c r="K63" s="4110"/>
      <c r="N63" s="3993"/>
      <c r="O63" s="3995"/>
    </row>
    <row r="64" spans="1:19" ht="13.35" customHeight="1">
      <c r="A64" s="21" t="s">
        <v>1142</v>
      </c>
      <c r="B64" s="22">
        <f t="shared" ref="B64:K64" si="25">SUM(B56:B63)</f>
        <v>43379.361490420692</v>
      </c>
      <c r="C64" s="22">
        <f t="shared" si="25"/>
        <v>41025.014865058518</v>
      </c>
      <c r="D64" s="22">
        <f t="shared" si="25"/>
        <v>38523.794891534191</v>
      </c>
      <c r="E64" s="22">
        <f t="shared" si="25"/>
        <v>35870.613110414459</v>
      </c>
      <c r="F64" s="22">
        <f t="shared" si="25"/>
        <v>33058.197963303755</v>
      </c>
      <c r="G64" s="22">
        <f t="shared" si="25"/>
        <v>30080.088690971155</v>
      </c>
      <c r="H64" s="22">
        <f t="shared" si="25"/>
        <v>26931.629036244325</v>
      </c>
      <c r="I64" s="22">
        <f t="shared" si="25"/>
        <v>23602.960745566306</v>
      </c>
      <c r="J64" s="22">
        <f t="shared" si="25"/>
        <v>20090.016862932687</v>
      </c>
      <c r="K64" s="596">
        <f t="shared" si="25"/>
        <v>16383.514809720105</v>
      </c>
      <c r="N64" s="3993"/>
      <c r="O64" s="3995"/>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993"/>
      <c r="O65" s="399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3"/>
      <c r="O66" s="399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3"/>
      <c r="O67" s="399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3"/>
      <c r="O68" s="3995"/>
    </row>
    <row r="69" spans="1:15" ht="13.35" customHeight="1">
      <c r="A69" s="417" t="s">
        <v>3532</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993"/>
      <c r="O69" s="3995"/>
    </row>
    <row r="70" spans="1:15" ht="13.35" customHeight="1">
      <c r="A70" s="21" t="s">
        <v>752</v>
      </c>
      <c r="B70" s="265">
        <f t="shared" ref="B70:K70" si="31">IF(OR(B53="Choose mgt fee",B53="Choose One!"),"",(B46+B47+B48+B49+B50) / -(B52+B53+B54))</f>
        <v>1.1456396446072341</v>
      </c>
      <c r="C70" s="265">
        <f t="shared" si="31"/>
        <v>1.1345166643441118</v>
      </c>
      <c r="D70" s="265">
        <f t="shared" si="31"/>
        <v>1.1235012699672866</v>
      </c>
      <c r="E70" s="265">
        <f t="shared" si="31"/>
        <v>1.1125950231968935</v>
      </c>
      <c r="F70" s="265">
        <f t="shared" si="31"/>
        <v>1.1017932771146757</v>
      </c>
      <c r="G70" s="265">
        <f t="shared" si="31"/>
        <v>1.0910948383450543</v>
      </c>
      <c r="H70" s="265">
        <f t="shared" si="31"/>
        <v>1.0805040817784517</v>
      </c>
      <c r="I70" s="265">
        <f t="shared" si="31"/>
        <v>1.0700115508637309</v>
      </c>
      <c r="J70" s="265">
        <f t="shared" si="31"/>
        <v>1.0596242475319213</v>
      </c>
      <c r="K70" s="266">
        <f t="shared" si="31"/>
        <v>1.0493359555911923</v>
      </c>
      <c r="N70" s="3993"/>
      <c r="O70" s="3995"/>
    </row>
    <row r="71" spans="1:15" ht="13.35" customHeight="1">
      <c r="A71" s="417" t="s">
        <v>2549</v>
      </c>
      <c r="B71" s="4111" t="str">
        <f>IF('Part III-Sources of Funds'!$I$38="","",-FV('Part III-Sources of Funds'!$K$38/12,12,B57/12,K39))</f>
        <v/>
      </c>
      <c r="C71" s="4111" t="str">
        <f>IF('Part III-Sources of Funds'!$I$38="","",-FV('Part III-Sources of Funds'!$K$38/12,12,C57/12,B71))</f>
        <v/>
      </c>
      <c r="D71" s="4111" t="str">
        <f>IF('Part III-Sources of Funds'!$I$38="","",-FV('Part III-Sources of Funds'!$K$38/12,12,D57/12,C71))</f>
        <v/>
      </c>
      <c r="E71" s="4111" t="str">
        <f>IF('Part III-Sources of Funds'!$I$38="","",-FV('Part III-Sources of Funds'!$K$38/12,12,E57/12,D71))</f>
        <v/>
      </c>
      <c r="F71" s="4111" t="str">
        <f>IF('Part III-Sources of Funds'!$I$38="","",-FV('Part III-Sources of Funds'!$K$38/12,12,F57/12,E71))</f>
        <v/>
      </c>
      <c r="G71" s="4111" t="str">
        <f>IF('Part III-Sources of Funds'!$I$38="","",-FV('Part III-Sources of Funds'!$K$38/12,12,G57/12,F71))</f>
        <v/>
      </c>
      <c r="H71" s="4111" t="str">
        <f>IF('Part III-Sources of Funds'!$I$38="","",-FV('Part III-Sources of Funds'!$K$38/12,12,H57/12,G71))</f>
        <v/>
      </c>
      <c r="I71" s="4111" t="str">
        <f>IF('Part III-Sources of Funds'!$I$38="","",-FV('Part III-Sources of Funds'!$K$38/12,12,I57/12,H71))</f>
        <v/>
      </c>
      <c r="J71" s="4111" t="str">
        <f>IF('Part III-Sources of Funds'!$I$38="","",-FV('Part III-Sources of Funds'!$K$38/12,12,J57/12,I71))</f>
        <v/>
      </c>
      <c r="K71" s="4111" t="str">
        <f>IF('Part III-Sources of Funds'!$I$38="","",-FV('Part III-Sources of Funds'!$K$38/12,12,K57/12,J71))</f>
        <v/>
      </c>
      <c r="N71" s="3993"/>
      <c r="O71" s="3995"/>
    </row>
    <row r="72" spans="1:15" ht="13.35" customHeight="1">
      <c r="A72" s="417" t="s">
        <v>2550</v>
      </c>
      <c r="B72" s="4107" t="str">
        <f>IF('Part III-Sources of Funds'!$I$39="","",-FV('Part III-Sources of Funds'!$K$39/12,12,B58/12,K40))</f>
        <v/>
      </c>
      <c r="C72" s="4107" t="str">
        <f>IF('Part III-Sources of Funds'!$I$39="","",-FV('Part III-Sources of Funds'!$K$39/12,12,C58/12,B72))</f>
        <v/>
      </c>
      <c r="D72" s="4107" t="str">
        <f>IF('Part III-Sources of Funds'!$I$39="","",-FV('Part III-Sources of Funds'!$K$39/12,12,D58/12,C72))</f>
        <v/>
      </c>
      <c r="E72" s="4107" t="str">
        <f>IF('Part III-Sources of Funds'!$I$39="","",-FV('Part III-Sources of Funds'!$K$39/12,12,E58/12,D72))</f>
        <v/>
      </c>
      <c r="F72" s="4107" t="str">
        <f>IF('Part III-Sources of Funds'!$I$39="","",-FV('Part III-Sources of Funds'!$K$39/12,12,F58/12,E72))</f>
        <v/>
      </c>
      <c r="G72" s="4107" t="str">
        <f>IF('Part III-Sources of Funds'!$I$39="","",-FV('Part III-Sources of Funds'!$K$39/12,12,G58/12,F72))</f>
        <v/>
      </c>
      <c r="H72" s="4107" t="str">
        <f>IF('Part III-Sources of Funds'!$I$39="","",-FV('Part III-Sources of Funds'!$K$39/12,12,H58/12,G72))</f>
        <v/>
      </c>
      <c r="I72" s="4107" t="str">
        <f>IF('Part III-Sources of Funds'!$I$39="","",-FV('Part III-Sources of Funds'!$K$39/12,12,I58/12,H72))</f>
        <v/>
      </c>
      <c r="J72" s="4107" t="str">
        <f>IF('Part III-Sources of Funds'!$I$39="","",-FV('Part III-Sources of Funds'!$K$39/12,12,J58/12,I72))</f>
        <v/>
      </c>
      <c r="K72" s="4107" t="str">
        <f>IF('Part III-Sources of Funds'!$I$39="","",-FV('Part III-Sources of Funds'!$K$39/12,12,K58/12,J72))</f>
        <v/>
      </c>
      <c r="N72" s="3993"/>
      <c r="O72" s="3995"/>
    </row>
    <row r="73" spans="1:15" ht="13.35" customHeight="1">
      <c r="A73" s="417" t="s">
        <v>2551</v>
      </c>
      <c r="B73" s="4107" t="str">
        <f>IF('Part III-Sources of Funds'!$I$40="","",-FV('Part III-Sources of Funds'!$K$40/12,12,B59/12,K41))</f>
        <v/>
      </c>
      <c r="C73" s="4107" t="str">
        <f>IF('Part III-Sources of Funds'!$I$40="","",-FV('Part III-Sources of Funds'!$K$40/12,12,C59/12,B73))</f>
        <v/>
      </c>
      <c r="D73" s="4107" t="str">
        <f>IF('Part III-Sources of Funds'!$I$40="","",-FV('Part III-Sources of Funds'!$K$40/12,12,D59/12,C73))</f>
        <v/>
      </c>
      <c r="E73" s="4107" t="str">
        <f>IF('Part III-Sources of Funds'!$I$40="","",-FV('Part III-Sources of Funds'!$K$40/12,12,E59/12,D73))</f>
        <v/>
      </c>
      <c r="F73" s="4107" t="str">
        <f>IF('Part III-Sources of Funds'!$I$40="","",-FV('Part III-Sources of Funds'!$K$40/12,12,F59/12,E73))</f>
        <v/>
      </c>
      <c r="G73" s="4107" t="str">
        <f>IF('Part III-Sources of Funds'!$I$40="","",-FV('Part III-Sources of Funds'!$K$40/12,12,G59/12,F73))</f>
        <v/>
      </c>
      <c r="H73" s="4107" t="str">
        <f>IF('Part III-Sources of Funds'!$I$40="","",-FV('Part III-Sources of Funds'!$K$40/12,12,H59/12,G73))</f>
        <v/>
      </c>
      <c r="I73" s="4107" t="str">
        <f>IF('Part III-Sources of Funds'!$I$40="","",-FV('Part III-Sources of Funds'!$K$40/12,12,I59/12,H73))</f>
        <v/>
      </c>
      <c r="J73" s="4107" t="str">
        <f>IF('Part III-Sources of Funds'!$I$40="","",-FV('Part III-Sources of Funds'!$K$40/12,12,J59/12,I73))</f>
        <v/>
      </c>
      <c r="K73" s="4107" t="str">
        <f>IF('Part III-Sources of Funds'!$I$40="","",-FV('Part III-Sources of Funds'!$K$40/12,12,K59/12,J73))</f>
        <v/>
      </c>
      <c r="N73" s="3993"/>
      <c r="O73" s="3995"/>
    </row>
    <row r="74" spans="1:15" ht="13.35" customHeight="1">
      <c r="A74" s="21" t="s">
        <v>764</v>
      </c>
      <c r="B74" s="4107" t="str">
        <f>IF('Part III-Sources of Funds'!$I$41="","",-FV('Part III-Sources of Funds'!$K$41/12,12,B60/12,K42))</f>
        <v/>
      </c>
      <c r="C74" s="4107" t="str">
        <f>IF('Part III-Sources of Funds'!$I$41="","",-FV('Part III-Sources of Funds'!$K$41/12,12,C60/12,B74))</f>
        <v/>
      </c>
      <c r="D74" s="4107" t="str">
        <f>IF('Part III-Sources of Funds'!$I$41="","",-FV('Part III-Sources of Funds'!$K$41/12,12,D60/12,C74))</f>
        <v/>
      </c>
      <c r="E74" s="4107" t="str">
        <f>IF('Part III-Sources of Funds'!$I$41="","",-FV('Part III-Sources of Funds'!$K$41/12,12,E60/12,D74))</f>
        <v/>
      </c>
      <c r="F74" s="4107" t="str">
        <f>IF('Part III-Sources of Funds'!$I$41="","",-FV('Part III-Sources of Funds'!$K$41/12,12,F60/12,E74))</f>
        <v/>
      </c>
      <c r="G74" s="4107" t="str">
        <f>IF('Part III-Sources of Funds'!$I$41="","",-FV('Part III-Sources of Funds'!$K$41/12,12,G60/12,F74))</f>
        <v/>
      </c>
      <c r="H74" s="4107" t="str">
        <f>IF('Part III-Sources of Funds'!$I$41="","",-FV('Part III-Sources of Funds'!$K$41/12,12,H60/12,G74))</f>
        <v/>
      </c>
      <c r="I74" s="4107" t="str">
        <f>IF('Part III-Sources of Funds'!$I$41="","",-FV('Part III-Sources of Funds'!$K$41/12,12,I60/12,H74))</f>
        <v/>
      </c>
      <c r="J74" s="4107" t="str">
        <f>IF('Part III-Sources of Funds'!$I$41="","",-FV('Part III-Sources of Funds'!$K$41/12,12,J60/12,I74))</f>
        <v/>
      </c>
      <c r="K74" s="4107" t="str">
        <f>IF('Part III-Sources of Funds'!$I$41="","",-FV('Part III-Sources of Funds'!$K$41/12,12,K60/12,J74))</f>
        <v/>
      </c>
      <c r="N74" s="3993"/>
      <c r="O74" s="3995"/>
    </row>
    <row r="75" spans="1:15" ht="13.35" customHeight="1">
      <c r="A75" s="417" t="s">
        <v>3769</v>
      </c>
      <c r="B75" s="4110">
        <f>IF('Part III-Sources of Funds'!$I$43="","",IF(-FV('Part III-Sources of Funds'!$K$43/12,12,B63/12,K43)&gt;0,-FV('Part III-Sources of Funds'!$K$43/12,12,B63/12,K43),0))</f>
        <v>0</v>
      </c>
      <c r="C75" s="4110">
        <f>IF('Part III-Sources of Funds'!$I$43="","",IF(-FV('Part III-Sources of Funds'!$K$43/12,12,C63/12,B75)&gt;0,-FV('Part III-Sources of Funds'!$K$43/12,12,C63/12,B75),0))</f>
        <v>0</v>
      </c>
      <c r="D75" s="4110">
        <f>IF('Part III-Sources of Funds'!$I$43="","",IF(-FV('Part III-Sources of Funds'!$K$43/12,12,D63/12,C75)&gt;0,-FV('Part III-Sources of Funds'!$K$43/12,12,D63/12,C75),0))</f>
        <v>0</v>
      </c>
      <c r="E75" s="4110">
        <f>IF('Part III-Sources of Funds'!$I$43="","",IF(-FV('Part III-Sources of Funds'!$K$43/12,12,E63/12,D75)&gt;0,-FV('Part III-Sources of Funds'!$K$43/12,12,E63/12,D75),0))</f>
        <v>0</v>
      </c>
      <c r="F75" s="4110">
        <f>IF('Part III-Sources of Funds'!$I$43="","",IF(-FV('Part III-Sources of Funds'!$K$43/12,12,F63/12,E75)&gt;0,-FV('Part III-Sources of Funds'!$K$43/12,12,F63/12,E75),0))</f>
        <v>0</v>
      </c>
      <c r="G75" s="4110">
        <f>IF('Part III-Sources of Funds'!$I$43="","",IF(-FV('Part III-Sources of Funds'!$K$43/12,12,G63/12,F75)&gt;0,-FV('Part III-Sources of Funds'!$K$43/12,12,G63/12,F75),0))</f>
        <v>0</v>
      </c>
      <c r="H75" s="4110" t="str">
        <f>IF('Part III-Sources of Funds'!$I$41="","",-FV('Part III-Sources of Funds'!$K$41/12,12,H61/12,G75))</f>
        <v/>
      </c>
      <c r="I75" s="4110" t="str">
        <f>IF('Part III-Sources of Funds'!$I$41="","",-FV('Part III-Sources of Funds'!$K$41/12,12,I61/12,H75))</f>
        <v/>
      </c>
      <c r="J75" s="4110" t="str">
        <f>IF('Part III-Sources of Funds'!$I$41="","",-FV('Part III-Sources of Funds'!$K$41/12,12,J61/12,I75))</f>
        <v/>
      </c>
      <c r="K75" s="4110" t="str">
        <f>IF('Part III-Sources of Funds'!$I$41="","",-FV('Part III-Sources of Funds'!$K$41/12,12,K61/12,J75))</f>
        <v/>
      </c>
      <c r="N75" s="4024"/>
      <c r="O75" s="4026"/>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4" t="s">
        <v>2554</v>
      </c>
      <c r="O77" s="2484"/>
    </row>
    <row r="78" spans="1:15" ht="13.35" customHeight="1">
      <c r="A78" s="18" t="s">
        <v>2341</v>
      </c>
      <c r="B78" s="19">
        <f t="shared" ref="B78:K78" si="33">$B$14*(1+$B$5)^(B77-1)</f>
        <v>489043.11938522814</v>
      </c>
      <c r="C78" s="19">
        <f t="shared" si="33"/>
        <v>498823.98177293263</v>
      </c>
      <c r="D78" s="19">
        <f t="shared" si="33"/>
        <v>508800.4614083913</v>
      </c>
      <c r="E78" s="19">
        <f t="shared" si="33"/>
        <v>518976.47063655907</v>
      </c>
      <c r="F78" s="19">
        <f t="shared" si="33"/>
        <v>529356.00004929025</v>
      </c>
      <c r="G78" s="19">
        <f t="shared" si="33"/>
        <v>539943.12005027605</v>
      </c>
      <c r="H78" s="19">
        <f t="shared" si="33"/>
        <v>550741.98245128163</v>
      </c>
      <c r="I78" s="19">
        <f t="shared" si="33"/>
        <v>561756.82210030721</v>
      </c>
      <c r="J78" s="19">
        <f t="shared" si="33"/>
        <v>572991.95854231343</v>
      </c>
      <c r="K78" s="20">
        <f t="shared" si="33"/>
        <v>584451.79771315958</v>
      </c>
      <c r="N78" s="4031"/>
      <c r="O78" s="4033"/>
    </row>
    <row r="79" spans="1:15" ht="13.35" customHeight="1">
      <c r="A79" s="21" t="s">
        <v>994</v>
      </c>
      <c r="B79" s="22">
        <f t="shared" ref="B79:K79" si="34">$B$15*(1+$B$5)^(B77-1)</f>
        <v>9780.8623877045629</v>
      </c>
      <c r="C79" s="22">
        <f t="shared" si="34"/>
        <v>9976.4796354586524</v>
      </c>
      <c r="D79" s="22">
        <f t="shared" si="34"/>
        <v>10176.009228167826</v>
      </c>
      <c r="E79" s="22">
        <f t="shared" si="34"/>
        <v>10379.529412731181</v>
      </c>
      <c r="F79" s="22">
        <f t="shared" si="34"/>
        <v>10587.120000985806</v>
      </c>
      <c r="G79" s="22">
        <f t="shared" si="34"/>
        <v>10798.862401005521</v>
      </c>
      <c r="H79" s="22">
        <f t="shared" si="34"/>
        <v>11014.839649025633</v>
      </c>
      <c r="I79" s="22">
        <f t="shared" si="34"/>
        <v>11235.136442006144</v>
      </c>
      <c r="J79" s="22">
        <f t="shared" si="34"/>
        <v>11459.839170846268</v>
      </c>
      <c r="K79" s="23">
        <f t="shared" si="34"/>
        <v>11689.035954263192</v>
      </c>
      <c r="N79" s="3993"/>
      <c r="O79" s="3995"/>
    </row>
    <row r="80" spans="1:15" ht="13.35" customHeight="1">
      <c r="A80" s="21" t="s">
        <v>2342</v>
      </c>
      <c r="B80" s="22">
        <f t="shared" ref="B80:K80" si="35">-(B78+B79)*$B$8</f>
        <v>-34917.678724105288</v>
      </c>
      <c r="C80" s="22">
        <f t="shared" si="35"/>
        <v>-35616.032298587394</v>
      </c>
      <c r="D80" s="22">
        <f t="shared" si="35"/>
        <v>-36328.352944559141</v>
      </c>
      <c r="E80" s="22">
        <f t="shared" si="35"/>
        <v>-37054.920003450323</v>
      </c>
      <c r="F80" s="22">
        <f t="shared" si="35"/>
        <v>-37796.018403519323</v>
      </c>
      <c r="G80" s="22">
        <f t="shared" si="35"/>
        <v>-38551.93877158971</v>
      </c>
      <c r="H80" s="22">
        <f t="shared" si="35"/>
        <v>-39322.97754702151</v>
      </c>
      <c r="I80" s="22">
        <f t="shared" si="35"/>
        <v>-40109.437097961934</v>
      </c>
      <c r="J80" s="22">
        <f t="shared" si="35"/>
        <v>-40911.62583992118</v>
      </c>
      <c r="K80" s="23">
        <f t="shared" si="35"/>
        <v>-41729.858356719596</v>
      </c>
      <c r="N80" s="3993"/>
      <c r="O80" s="399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3"/>
      <c r="O81" s="399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3"/>
      <c r="O82" s="3995"/>
    </row>
    <row r="83" spans="1:19" ht="13.35" customHeight="1">
      <c r="A83" s="417" t="s">
        <v>4376</v>
      </c>
      <c r="B83" s="22">
        <f t="shared" ref="B83:K83" si="36">SUM(B78:B82)</f>
        <v>463906.30304882739</v>
      </c>
      <c r="C83" s="22">
        <f t="shared" si="36"/>
        <v>473184.42910980392</v>
      </c>
      <c r="D83" s="22">
        <f t="shared" si="36"/>
        <v>482648.117692</v>
      </c>
      <c r="E83" s="22">
        <f t="shared" si="36"/>
        <v>492301.08004583995</v>
      </c>
      <c r="F83" s="22">
        <f t="shared" si="36"/>
        <v>502147.10164675675</v>
      </c>
      <c r="G83" s="22">
        <f t="shared" si="36"/>
        <v>512190.04367969179</v>
      </c>
      <c r="H83" s="22">
        <f t="shared" si="36"/>
        <v>522433.84455328569</v>
      </c>
      <c r="I83" s="22">
        <f t="shared" si="36"/>
        <v>532882.52144435141</v>
      </c>
      <c r="J83" s="22">
        <f t="shared" si="36"/>
        <v>543540.17187323852</v>
      </c>
      <c r="K83" s="23">
        <f t="shared" si="36"/>
        <v>554410.97531070316</v>
      </c>
      <c r="N83" s="3993"/>
      <c r="O83" s="3995"/>
    </row>
    <row r="84" spans="1:19" ht="13.35" customHeight="1">
      <c r="A84" s="21" t="s">
        <v>597</v>
      </c>
      <c r="B84" s="22">
        <f t="shared" ref="B84:K84" si="37">$B$20*(1+$B$6)^(B77-1)</f>
        <v>-383143.01898906531</v>
      </c>
      <c r="C84" s="22">
        <f t="shared" si="37"/>
        <v>-394637.30955873721</v>
      </c>
      <c r="D84" s="22">
        <f t="shared" si="37"/>
        <v>-406476.42884549941</v>
      </c>
      <c r="E84" s="22">
        <f t="shared" si="37"/>
        <v>-418670.7217108644</v>
      </c>
      <c r="F84" s="22">
        <f t="shared" si="37"/>
        <v>-431230.84336219024</v>
      </c>
      <c r="G84" s="22">
        <f t="shared" si="37"/>
        <v>-444167.76866305596</v>
      </c>
      <c r="H84" s="22">
        <f t="shared" si="37"/>
        <v>-457492.80172294768</v>
      </c>
      <c r="I84" s="22">
        <f t="shared" si="37"/>
        <v>-471217.58577463607</v>
      </c>
      <c r="J84" s="22">
        <f t="shared" si="37"/>
        <v>-485354.11334787519</v>
      </c>
      <c r="K84" s="23">
        <f t="shared" si="37"/>
        <v>-499914.73674831138</v>
      </c>
      <c r="N84" s="3993"/>
      <c r="O84" s="399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-41613</v>
      </c>
      <c r="C85" s="22">
        <f>IF(AND('Part VII-Pro Forma'!$G$8="Yes",'Part VII-Pro Forma'!$G$9="Yes"),"Choose One!",IF('Part VII-Pro Forma'!$G$8="Yes",ROUND((-$K$8*(1+'Part VII-Pro Forma'!$B$6)^('Part VII-Pro Forma'!C77-1)),),IF('Part VII-Pro Forma'!$G$9="Yes",ROUND((-(SUM(C78:C81)*'Part VII-Pro Forma'!$K$9)),),"Choose mgt fee")))</f>
        <v>-42861</v>
      </c>
      <c r="D85" s="22">
        <f>IF(AND('Part VII-Pro Forma'!$G$8="Yes",'Part VII-Pro Forma'!$G$9="Yes"),"Choose One!",IF('Part VII-Pro Forma'!$G$8="Yes",ROUND((-$K$8*(1+'Part VII-Pro Forma'!$B$6)^('Part VII-Pro Forma'!D77-1)),),IF('Part VII-Pro Forma'!$G$9="Yes",ROUND((-(SUM(D78:D81)*'Part VII-Pro Forma'!$K$9)),),"Choose mgt fee")))</f>
        <v>-44147</v>
      </c>
      <c r="E85" s="22">
        <f>IF(AND('Part VII-Pro Forma'!$G$8="Yes",'Part VII-Pro Forma'!$G$9="Yes"),"Choose One!",IF('Part VII-Pro Forma'!$G$8="Yes",ROUND((-$K$8*(1+'Part VII-Pro Forma'!$B$6)^('Part VII-Pro Forma'!E77-1)),),IF('Part VII-Pro Forma'!$G$9="Yes",ROUND((-(SUM(E78:E81)*'Part VII-Pro Forma'!$K$9)),),"Choose mgt fee")))</f>
        <v>-45471</v>
      </c>
      <c r="F85" s="22">
        <f>IF(AND('Part VII-Pro Forma'!$G$8="Yes",'Part VII-Pro Forma'!$G$9="Yes"),"Choose One!",IF('Part VII-Pro Forma'!$G$8="Yes",ROUND((-$K$8*(1+'Part VII-Pro Forma'!$B$6)^('Part VII-Pro Forma'!F77-1)),),IF('Part VII-Pro Forma'!$G$9="Yes",ROUND((-(SUM(F78:F81)*'Part VII-Pro Forma'!$K$9)),),"Choose mgt fee")))</f>
        <v>-46836</v>
      </c>
      <c r="G85" s="22">
        <f>IF(AND('Part VII-Pro Forma'!$G$8="Yes",'Part VII-Pro Forma'!$G$9="Yes"),"Choose One!",IF('Part VII-Pro Forma'!$G$8="Yes",ROUND((-$K$8*(1+'Part VII-Pro Forma'!$B$6)^('Part VII-Pro Forma'!G77-1)),),IF('Part VII-Pro Forma'!$G$9="Yes",ROUND((-(SUM(G78:G81)*'Part VII-Pro Forma'!$K$9)),),"Choose mgt fee")))</f>
        <v>-48241</v>
      </c>
      <c r="H85" s="22">
        <f>IF(AND('Part VII-Pro Forma'!$G$8="Yes",'Part VII-Pro Forma'!$G$9="Yes"),"Choose One!",IF('Part VII-Pro Forma'!$G$8="Yes",ROUND((-$K$8*(1+'Part VII-Pro Forma'!$B$6)^('Part VII-Pro Forma'!H77-1)),),IF('Part VII-Pro Forma'!$G$9="Yes",ROUND((-(SUM(H78:H81)*'Part VII-Pro Forma'!$K$9)),),"Choose mgt fee")))</f>
        <v>-49688</v>
      </c>
      <c r="I85" s="22">
        <f>IF(AND('Part VII-Pro Forma'!$G$8="Yes",'Part VII-Pro Forma'!$G$9="Yes"),"Choose One!",IF('Part VII-Pro Forma'!$G$8="Yes",ROUND((-$K$8*(1+'Part VII-Pro Forma'!$B$6)^('Part VII-Pro Forma'!I77-1)),),IF('Part VII-Pro Forma'!$G$9="Yes",ROUND((-(SUM(I78:I81)*'Part VII-Pro Forma'!$K$9)),),"Choose mgt fee")))</f>
        <v>-51178</v>
      </c>
      <c r="J85" s="22">
        <f>IF(AND('Part VII-Pro Forma'!$G$8="Yes",'Part VII-Pro Forma'!$G$9="Yes"),"Choose One!",IF('Part VII-Pro Forma'!$G$8="Yes",ROUND((-$K$8*(1+'Part VII-Pro Forma'!$B$6)^('Part VII-Pro Forma'!J77-1)),),IF('Part VII-Pro Forma'!$G$9="Yes",ROUND((-(SUM(J78:J81)*'Part VII-Pro Forma'!$K$9)),),"Choose mgt fee")))</f>
        <v>-52714</v>
      </c>
      <c r="K85" s="23">
        <f>IF(AND('Part VII-Pro Forma'!$G$8="Yes",'Part VII-Pro Forma'!$G$9="Yes"),"Choose One!",IF('Part VII-Pro Forma'!$G$8="Yes",ROUND((-$K$8*(1+'Part VII-Pro Forma'!$B$6)^('Part VII-Pro Forma'!K77-1)),),IF('Part VII-Pro Forma'!$G$9="Yes",ROUND((-(SUM(K78:K81)*'Part VII-Pro Forma'!$K$9)),),"Choose mgt fee")))</f>
        <v>-54295</v>
      </c>
      <c r="N85" s="3993"/>
      <c r="O85" s="3995"/>
    </row>
    <row r="86" spans="1:19" ht="13.35" customHeight="1">
      <c r="A86" s="21" t="s">
        <v>1176</v>
      </c>
      <c r="B86" s="22">
        <f t="shared" ref="B86:K86" si="38">$B$22*(1+$B$7)^(B77-1)</f>
        <v>-21673.334816032959</v>
      </c>
      <c r="C86" s="22">
        <f t="shared" si="38"/>
        <v>-22323.534860513944</v>
      </c>
      <c r="D86" s="22">
        <f t="shared" si="38"/>
        <v>-22993.240906329367</v>
      </c>
      <c r="E86" s="22">
        <f t="shared" si="38"/>
        <v>-23683.038133519247</v>
      </c>
      <c r="F86" s="22">
        <f t="shared" si="38"/>
        <v>-24393.529277524824</v>
      </c>
      <c r="G86" s="22">
        <f t="shared" si="38"/>
        <v>-25125.335155850567</v>
      </c>
      <c r="H86" s="22">
        <f t="shared" si="38"/>
        <v>-25879.095210526088</v>
      </c>
      <c r="I86" s="22">
        <f t="shared" si="38"/>
        <v>-26655.468066841866</v>
      </c>
      <c r="J86" s="22">
        <f t="shared" si="38"/>
        <v>-27455.132108847123</v>
      </c>
      <c r="K86" s="23">
        <f t="shared" si="38"/>
        <v>-28278.786072112533</v>
      </c>
      <c r="N86" s="3993"/>
      <c r="O86" s="3995"/>
      <c r="Q86" s="929">
        <v>10</v>
      </c>
      <c r="R86" s="1043">
        <f>-SUM(B92:K92)</f>
        <v>0</v>
      </c>
      <c r="S86" s="1043">
        <f>SUM(B93:K93)+R86</f>
        <v>0</v>
      </c>
    </row>
    <row r="87" spans="1:19" ht="13.35" customHeight="1">
      <c r="A87" s="417" t="s">
        <v>4375</v>
      </c>
      <c r="B87" s="4105">
        <f>IF(B77&lt;=+'Part VI-Revenues &amp; Expenses'!$N$250,-'Part VI-Revenues &amp; Expenses'!$K$250,0)</f>
        <v>0</v>
      </c>
      <c r="C87" s="4105">
        <f>IF(C77&lt;=+'Part VI-Revenues &amp; Expenses'!$N$250,-'Part VI-Revenues &amp; Expenses'!$K$250,0)</f>
        <v>0</v>
      </c>
      <c r="D87" s="4105">
        <f>IF(D77&lt;=+'Part VI-Revenues &amp; Expenses'!$N$250,-'Part VI-Revenues &amp; Expenses'!$K$250,0)</f>
        <v>0</v>
      </c>
      <c r="E87" s="4105">
        <f>IF(E77&lt;=+'Part VI-Revenues &amp; Expenses'!$N$250,-'Part VI-Revenues &amp; Expenses'!$K$250,0)</f>
        <v>0</v>
      </c>
      <c r="F87" s="4105">
        <f>IF(F77&lt;=+'Part VI-Revenues &amp; Expenses'!$N$250,-'Part VI-Revenues &amp; Expenses'!$K$250,0)</f>
        <v>0</v>
      </c>
      <c r="G87" s="4105">
        <f>IF(G77&lt;=+'Part VI-Revenues &amp; Expenses'!$N$250,-'Part VI-Revenues &amp; Expenses'!$K$250,0)</f>
        <v>0</v>
      </c>
      <c r="H87" s="4105">
        <f>IF(H77&lt;=+'Part VI-Revenues &amp; Expenses'!$N$250,-'Part VI-Revenues &amp; Expenses'!$K$250,0)</f>
        <v>0</v>
      </c>
      <c r="I87" s="4105">
        <f>IF(I77&lt;=+'Part VI-Revenues &amp; Expenses'!$N$250,-'Part VI-Revenues &amp; Expenses'!$K$250,0)</f>
        <v>0</v>
      </c>
      <c r="J87" s="4105">
        <f>IF(J77&lt;=+'Part VI-Revenues &amp; Expenses'!$N$250,-'Part VI-Revenues &amp; Expenses'!$K$250,0)</f>
        <v>0</v>
      </c>
      <c r="K87" s="4105">
        <f>IF(K77&lt;=+'Part VI-Revenues &amp; Expenses'!$N$250,-'Part VI-Revenues &amp; Expenses'!$K$250,0)</f>
        <v>0</v>
      </c>
      <c r="N87" s="3993"/>
      <c r="O87" s="3995"/>
    </row>
    <row r="88" spans="1:19" ht="13.35" customHeight="1">
      <c r="A88" s="21" t="s">
        <v>1177</v>
      </c>
      <c r="B88" s="22">
        <f t="shared" ref="B88:K88" si="39">SUM(B83:B87)</f>
        <v>17476.949243729123</v>
      </c>
      <c r="C88" s="22">
        <f t="shared" si="39"/>
        <v>13362.584690552772</v>
      </c>
      <c r="D88" s="22">
        <f t="shared" si="39"/>
        <v>9031.4479401712233</v>
      </c>
      <c r="E88" s="22">
        <f t="shared" si="39"/>
        <v>4476.320201456303</v>
      </c>
      <c r="F88" s="22">
        <f t="shared" si="39"/>
        <v>-313.27099295830703</v>
      </c>
      <c r="G88" s="22">
        <f t="shared" si="39"/>
        <v>-5344.0601392147364</v>
      </c>
      <c r="H88" s="22">
        <f t="shared" si="39"/>
        <v>-10626.052380188084</v>
      </c>
      <c r="I88" s="22">
        <f t="shared" si="39"/>
        <v>-16168.532397126524</v>
      </c>
      <c r="J88" s="22">
        <f t="shared" si="39"/>
        <v>-21983.073583483791</v>
      </c>
      <c r="K88" s="1482">
        <f t="shared" si="39"/>
        <v>-28077.547509720753</v>
      </c>
      <c r="N88" s="3993"/>
      <c r="O88" s="3995"/>
    </row>
    <row r="89" spans="1:19" ht="13.35" customHeight="1">
      <c r="A89" s="21" t="str">
        <f>$A57</f>
        <v>Mortgage A</v>
      </c>
      <c r="B89" s="4106">
        <f>IF('Part III-Sources of Funds'!$P$38="", 0,-'Part III-Sources of Funds'!$P$38)</f>
        <v>0</v>
      </c>
      <c r="C89" s="4106">
        <f>IF('Part III-Sources of Funds'!$P$38="", 0,-'Part III-Sources of Funds'!$P$38)</f>
        <v>0</v>
      </c>
      <c r="D89" s="4106">
        <f>IF('Part III-Sources of Funds'!$P$38="", 0,-'Part III-Sources of Funds'!$P$38)</f>
        <v>0</v>
      </c>
      <c r="E89" s="4106">
        <f>IF('Part III-Sources of Funds'!$P$38="", 0,-'Part III-Sources of Funds'!$P$38)</f>
        <v>0</v>
      </c>
      <c r="F89" s="4106">
        <f>IF('Part III-Sources of Funds'!$P$38="", 0,-'Part III-Sources of Funds'!$P$38)</f>
        <v>0</v>
      </c>
      <c r="G89" s="4106">
        <f>IF('Part III-Sources of Funds'!$P$38="", 0,-'Part III-Sources of Funds'!$P$38)</f>
        <v>0</v>
      </c>
      <c r="H89" s="4106">
        <f>IF('Part III-Sources of Funds'!$P$38="", 0,-'Part III-Sources of Funds'!$P$38)</f>
        <v>0</v>
      </c>
      <c r="I89" s="4106">
        <f>IF('Part III-Sources of Funds'!$P$38="", 0,-'Part III-Sources of Funds'!$P$38)</f>
        <v>0</v>
      </c>
      <c r="J89" s="4106">
        <f>IF('Part III-Sources of Funds'!$P$38="", 0,-'Part III-Sources of Funds'!$P$38)</f>
        <v>0</v>
      </c>
      <c r="K89" s="4106">
        <f>IF('Part III-Sources of Funds'!$P$38="", 0,-'Part III-Sources of Funds'!$P$38)</f>
        <v>0</v>
      </c>
      <c r="N89" s="3993"/>
      <c r="O89" s="3995"/>
    </row>
    <row r="90" spans="1:19" ht="13.35" customHeight="1">
      <c r="A90" s="21" t="str">
        <f>$A58</f>
        <v>Mortgage B</v>
      </c>
      <c r="B90" s="4107">
        <f>IF('Part III-Sources of Funds'!$P$39="", 0,-'Part III-Sources of Funds'!$P$39)</f>
        <v>0</v>
      </c>
      <c r="C90" s="4107">
        <f>IF('Part III-Sources of Funds'!$P$39="", 0,-'Part III-Sources of Funds'!$P$39)</f>
        <v>0</v>
      </c>
      <c r="D90" s="4107">
        <f>IF('Part III-Sources of Funds'!$P$39="", 0,-'Part III-Sources of Funds'!$P$39)</f>
        <v>0</v>
      </c>
      <c r="E90" s="4107">
        <f>IF('Part III-Sources of Funds'!$P$39="", 0,-'Part III-Sources of Funds'!$P$39)</f>
        <v>0</v>
      </c>
      <c r="F90" s="4107">
        <f>IF('Part III-Sources of Funds'!$P$39="", 0,-'Part III-Sources of Funds'!$P$39)</f>
        <v>0</v>
      </c>
      <c r="G90" s="4107">
        <f>IF('Part III-Sources of Funds'!$P$39="", 0,-'Part III-Sources of Funds'!$P$39)</f>
        <v>0</v>
      </c>
      <c r="H90" s="4107">
        <f>IF('Part III-Sources of Funds'!$P$39="", 0,-'Part III-Sources of Funds'!$P$39)</f>
        <v>0</v>
      </c>
      <c r="I90" s="4107">
        <f>IF('Part III-Sources of Funds'!$P$39="", 0,-'Part III-Sources of Funds'!$P$39)</f>
        <v>0</v>
      </c>
      <c r="J90" s="4107">
        <f>IF('Part III-Sources of Funds'!$P$39="", 0,-'Part III-Sources of Funds'!$P$39)</f>
        <v>0</v>
      </c>
      <c r="K90" s="4107">
        <f>IF('Part III-Sources of Funds'!$P$39="", 0,-'Part III-Sources of Funds'!$P$39)</f>
        <v>0</v>
      </c>
      <c r="N90" s="3993"/>
      <c r="O90" s="3995"/>
    </row>
    <row r="91" spans="1:19" ht="13.35" customHeight="1">
      <c r="A91" s="21" t="str">
        <f>$A59</f>
        <v>Mortgage C</v>
      </c>
      <c r="B91" s="4107">
        <f>IF('Part III-Sources of Funds'!$P$40="", 0,-'Part III-Sources of Funds'!$P$40)</f>
        <v>0</v>
      </c>
      <c r="C91" s="4107">
        <f>IF('Part III-Sources of Funds'!$P$40="", 0,-'Part III-Sources of Funds'!$P$40)</f>
        <v>0</v>
      </c>
      <c r="D91" s="4107">
        <f>IF('Part III-Sources of Funds'!$P$40="", 0,-'Part III-Sources of Funds'!$P$40)</f>
        <v>0</v>
      </c>
      <c r="E91" s="4107">
        <f>IF('Part III-Sources of Funds'!$P$40="", 0,-'Part III-Sources of Funds'!$P$40)</f>
        <v>0</v>
      </c>
      <c r="F91" s="4107">
        <f>IF('Part III-Sources of Funds'!$P$40="", 0,-'Part III-Sources of Funds'!$P$40)</f>
        <v>0</v>
      </c>
      <c r="G91" s="4107">
        <f>IF('Part III-Sources of Funds'!$P$40="", 0,-'Part III-Sources of Funds'!$P$40)</f>
        <v>0</v>
      </c>
      <c r="H91" s="4107">
        <f>IF('Part III-Sources of Funds'!$P$40="", 0,-'Part III-Sources of Funds'!$P$40)</f>
        <v>0</v>
      </c>
      <c r="I91" s="4107">
        <f>IF('Part III-Sources of Funds'!$P$40="", 0,-'Part III-Sources of Funds'!$P$40)</f>
        <v>0</v>
      </c>
      <c r="J91" s="4107">
        <f>IF('Part III-Sources of Funds'!$P$40="", 0,-'Part III-Sources of Funds'!$P$40)</f>
        <v>0</v>
      </c>
      <c r="K91" s="4107">
        <f>IF('Part III-Sources of Funds'!$P$40="", 0,-'Part III-Sources of Funds'!$P$40)</f>
        <v>0</v>
      </c>
      <c r="N91" s="3993"/>
      <c r="O91" s="3995"/>
    </row>
    <row r="92" spans="1:19" ht="13.35" customHeight="1">
      <c r="A92" s="21" t="str">
        <f>$A60</f>
        <v>D/S Other Source,not DDF</v>
      </c>
      <c r="B92" s="4107">
        <f>IF('Part III-Sources of Funds'!$P$41="", 0,-'Part III-Sources of Funds'!$P$41)</f>
        <v>0</v>
      </c>
      <c r="C92" s="4107">
        <f>IF('Part III-Sources of Funds'!$P$41="", 0,-'Part III-Sources of Funds'!$P$41)</f>
        <v>0</v>
      </c>
      <c r="D92" s="4107">
        <f>IF('Part III-Sources of Funds'!$P$41="", 0,-'Part III-Sources of Funds'!$P$41)</f>
        <v>0</v>
      </c>
      <c r="E92" s="4107">
        <f>IF('Part III-Sources of Funds'!$P$41="", 0,-'Part III-Sources of Funds'!$P$41)</f>
        <v>0</v>
      </c>
      <c r="F92" s="4107">
        <f>IF('Part III-Sources of Funds'!$P$41="", 0,-'Part III-Sources of Funds'!$P$41)</f>
        <v>0</v>
      </c>
      <c r="G92" s="4107">
        <f>IF('Part III-Sources of Funds'!$P$41="", 0,-'Part III-Sources of Funds'!$P$41)</f>
        <v>0</v>
      </c>
      <c r="H92" s="4107">
        <f>IF('Part III-Sources of Funds'!$P$41="", 0,-'Part III-Sources of Funds'!$P$41)</f>
        <v>0</v>
      </c>
      <c r="I92" s="4107">
        <f>IF('Part III-Sources of Funds'!$P$41="", 0,-'Part III-Sources of Funds'!$P$41)</f>
        <v>0</v>
      </c>
      <c r="J92" s="4107">
        <f>IF('Part III-Sources of Funds'!$P$41="", 0,-'Part III-Sources of Funds'!$P$41)</f>
        <v>0</v>
      </c>
      <c r="K92" s="4107">
        <f>IF('Part III-Sources of Funds'!$P$41="", 0,-'Part III-Sources of Funds'!$P$41)</f>
        <v>0</v>
      </c>
      <c r="N92" s="3993"/>
      <c r="O92" s="3995"/>
    </row>
    <row r="93" spans="1:19" ht="13.35" customHeight="1">
      <c r="A93" s="21" t="s">
        <v>745</v>
      </c>
      <c r="B93" s="4108"/>
      <c r="C93" s="4108"/>
      <c r="D93" s="4108"/>
      <c r="E93" s="4108"/>
      <c r="F93" s="4108"/>
      <c r="G93" s="4108"/>
      <c r="H93" s="4108"/>
      <c r="I93" s="4108"/>
      <c r="J93" s="4108"/>
      <c r="K93" s="4108"/>
      <c r="N93" s="3993"/>
      <c r="O93" s="3995"/>
    </row>
    <row r="94" spans="1:19" ht="13.35" customHeight="1">
      <c r="A94" s="417" t="s">
        <v>1141</v>
      </c>
      <c r="B94" s="4110">
        <f>+K62</f>
        <v>-5000</v>
      </c>
      <c r="C94" s="4110">
        <f t="shared" ref="C94:K94" si="40">+B94</f>
        <v>-5000</v>
      </c>
      <c r="D94" s="4110">
        <f t="shared" si="40"/>
        <v>-5000</v>
      </c>
      <c r="E94" s="4110">
        <f t="shared" si="40"/>
        <v>-5000</v>
      </c>
      <c r="F94" s="4110">
        <f t="shared" si="40"/>
        <v>-5000</v>
      </c>
      <c r="G94" s="4110">
        <f t="shared" si="40"/>
        <v>-5000</v>
      </c>
      <c r="H94" s="4110">
        <f t="shared" si="40"/>
        <v>-5000</v>
      </c>
      <c r="I94" s="4110">
        <f t="shared" si="40"/>
        <v>-5000</v>
      </c>
      <c r="J94" s="4110">
        <f t="shared" si="40"/>
        <v>-5000</v>
      </c>
      <c r="K94" s="4110">
        <f t="shared" si="40"/>
        <v>-5000</v>
      </c>
      <c r="N94" s="3993"/>
      <c r="O94" s="3995"/>
    </row>
    <row r="95" spans="1:19" ht="13.35" customHeight="1">
      <c r="A95" s="21" t="s">
        <v>1142</v>
      </c>
      <c r="B95" s="22">
        <f t="shared" ref="B95:K95" si="41">SUM(B88:B94)</f>
        <v>12476.949243729123</v>
      </c>
      <c r="C95" s="22">
        <f t="shared" si="41"/>
        <v>8362.5846905527724</v>
      </c>
      <c r="D95" s="22">
        <f t="shared" si="41"/>
        <v>4031.4479401712233</v>
      </c>
      <c r="E95" s="22">
        <f t="shared" si="41"/>
        <v>-523.67979854369696</v>
      </c>
      <c r="F95" s="22">
        <f t="shared" si="41"/>
        <v>-5313.270992958307</v>
      </c>
      <c r="G95" s="22">
        <f t="shared" si="41"/>
        <v>-10344.060139214736</v>
      </c>
      <c r="H95" s="22">
        <f t="shared" si="41"/>
        <v>-15626.052380188084</v>
      </c>
      <c r="I95" s="22">
        <f t="shared" si="41"/>
        <v>-21168.532397126524</v>
      </c>
      <c r="J95" s="22">
        <f t="shared" si="41"/>
        <v>-26983.073583483791</v>
      </c>
      <c r="K95" s="23">
        <f t="shared" si="41"/>
        <v>-33077.547509720753</v>
      </c>
      <c r="N95" s="3993"/>
      <c r="O95" s="3995"/>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93"/>
      <c r="O96" s="399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3"/>
      <c r="O97" s="399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3"/>
      <c r="O98" s="399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3"/>
      <c r="O99" s="3995"/>
    </row>
    <row r="100" spans="1:15" ht="13.35" customHeight="1">
      <c r="A100" s="417" t="s">
        <v>3532</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93"/>
      <c r="O100" s="3995"/>
    </row>
    <row r="101" spans="1:15" ht="13.35" customHeight="1">
      <c r="A101" s="21" t="s">
        <v>752</v>
      </c>
      <c r="B101" s="265">
        <f>IF(OR(B85="Choose mgt fee",B85="Choose One!"),"",(B78+B79+B80+B81+B82) / -(B84+B85+B86))</f>
        <v>1.0391482976976447</v>
      </c>
      <c r="C101" s="265">
        <f t="shared" ref="C101:K101" si="47">IF(OR(C85="Choose mgt fee",C85="Choose One!"),"",(C78+C79+C80+C81+C82) / -(C84+C85+C86))</f>
        <v>1.0290603520748989</v>
      </c>
      <c r="D101" s="265">
        <f t="shared" si="47"/>
        <v>1.0190691090854205</v>
      </c>
      <c r="E101" s="265">
        <f t="shared" si="47"/>
        <v>1.0091760824171456</v>
      </c>
      <c r="F101" s="265">
        <f t="shared" si="47"/>
        <v>0.99937652597096849</v>
      </c>
      <c r="G101" s="265">
        <f t="shared" si="47"/>
        <v>0.98967399423577951</v>
      </c>
      <c r="H101" s="265">
        <f t="shared" si="47"/>
        <v>0.98006593172490297</v>
      </c>
      <c r="I101" s="265">
        <f t="shared" si="47"/>
        <v>0.9705518598243239</v>
      </c>
      <c r="J101" s="265">
        <f t="shared" si="47"/>
        <v>0.96112790453780539</v>
      </c>
      <c r="K101" s="266">
        <f t="shared" si="47"/>
        <v>0.95179725194623821</v>
      </c>
      <c r="N101" s="3993"/>
      <c r="O101" s="3995"/>
    </row>
    <row r="102" spans="1:15" ht="13.35" customHeight="1">
      <c r="A102" s="417" t="s">
        <v>2549</v>
      </c>
      <c r="B102" s="4111" t="str">
        <f>IF('Part III-Sources of Funds'!$I$38="","",-FV('Part III-Sources of Funds'!$K$38/12,12,B89/12,K71))</f>
        <v/>
      </c>
      <c r="C102" s="4111" t="str">
        <f>IF('Part III-Sources of Funds'!$I$38="","",-FV('Part III-Sources of Funds'!$K$38/12,12,C89/12,B102))</f>
        <v/>
      </c>
      <c r="D102" s="4111" t="str">
        <f>IF('Part III-Sources of Funds'!$I$38="","",-FV('Part III-Sources of Funds'!$K$38/12,12,D89/12,C102))</f>
        <v/>
      </c>
      <c r="E102" s="4111" t="str">
        <f>IF('Part III-Sources of Funds'!$I$38="","",-FV('Part III-Sources of Funds'!$K$38/12,12,E89/12,D102))</f>
        <v/>
      </c>
      <c r="F102" s="4111" t="str">
        <f>IF('Part III-Sources of Funds'!$I$38="","",-FV('Part III-Sources of Funds'!$K$38/12,12,F89/12,E102))</f>
        <v/>
      </c>
      <c r="G102" s="4111" t="str">
        <f>IF('Part III-Sources of Funds'!$I$38="","",-FV('Part III-Sources of Funds'!$K$38/12,12,G89/12,F102))</f>
        <v/>
      </c>
      <c r="H102" s="4111" t="str">
        <f>IF('Part III-Sources of Funds'!$I$38="","",-FV('Part III-Sources of Funds'!$K$38/12,12,H89/12,G102))</f>
        <v/>
      </c>
      <c r="I102" s="4111" t="str">
        <f>IF('Part III-Sources of Funds'!$I$38="","",-FV('Part III-Sources of Funds'!$K$38/12,12,I89/12,H102))</f>
        <v/>
      </c>
      <c r="J102" s="4111" t="str">
        <f>IF('Part III-Sources of Funds'!$I$38="","",-FV('Part III-Sources of Funds'!$K$38/12,12,J89/12,I102))</f>
        <v/>
      </c>
      <c r="K102" s="4111" t="str">
        <f>IF('Part III-Sources of Funds'!$I$38="","",-FV('Part III-Sources of Funds'!$K$38/12,12,K89/12,J102))</f>
        <v/>
      </c>
      <c r="N102" s="3993"/>
      <c r="O102" s="3995"/>
    </row>
    <row r="103" spans="1:15" ht="13.35" customHeight="1">
      <c r="A103" s="417" t="s">
        <v>2550</v>
      </c>
      <c r="B103" s="4107" t="str">
        <f>IF('Part III-Sources of Funds'!$I$39="","",-FV('Part III-Sources of Funds'!$K$39/12,12,B90/12,K72))</f>
        <v/>
      </c>
      <c r="C103" s="4107" t="str">
        <f>IF('Part III-Sources of Funds'!$I$39="","",-FV('Part III-Sources of Funds'!$K$39/12,12,C90/12,B103))</f>
        <v/>
      </c>
      <c r="D103" s="4107" t="str">
        <f>IF('Part III-Sources of Funds'!$I$39="","",-FV('Part III-Sources of Funds'!$K$39/12,12,D90/12,C103))</f>
        <v/>
      </c>
      <c r="E103" s="4107" t="str">
        <f>IF('Part III-Sources of Funds'!$I$39="","",-FV('Part III-Sources of Funds'!$K$39/12,12,E90/12,D103))</f>
        <v/>
      </c>
      <c r="F103" s="4107" t="str">
        <f>IF('Part III-Sources of Funds'!$I$39="","",-FV('Part III-Sources of Funds'!$K$39/12,12,F90/12,E103))</f>
        <v/>
      </c>
      <c r="G103" s="4107" t="str">
        <f>IF('Part III-Sources of Funds'!$I$39="","",-FV('Part III-Sources of Funds'!$K$39/12,12,G90/12,F103))</f>
        <v/>
      </c>
      <c r="H103" s="4107" t="str">
        <f>IF('Part III-Sources of Funds'!$I$39="","",-FV('Part III-Sources of Funds'!$K$39/12,12,H90/12,G103))</f>
        <v/>
      </c>
      <c r="I103" s="4107" t="str">
        <f>IF('Part III-Sources of Funds'!$I$39="","",-FV('Part III-Sources of Funds'!$K$39/12,12,I90/12,H103))</f>
        <v/>
      </c>
      <c r="J103" s="4107" t="str">
        <f>IF('Part III-Sources of Funds'!$I$39="","",-FV('Part III-Sources of Funds'!$K$39/12,12,J90/12,I103))</f>
        <v/>
      </c>
      <c r="K103" s="4107" t="str">
        <f>IF('Part III-Sources of Funds'!$I$39="","",-FV('Part III-Sources of Funds'!$K$39/12,12,K90/12,J103))</f>
        <v/>
      </c>
      <c r="N103" s="3993"/>
      <c r="O103" s="3995"/>
    </row>
    <row r="104" spans="1:15" ht="13.35" customHeight="1">
      <c r="A104" s="417" t="s">
        <v>2551</v>
      </c>
      <c r="B104" s="4107" t="str">
        <f>IF('Part III-Sources of Funds'!$I$40="","",-FV('Part III-Sources of Funds'!$K$40/12,12,B91/12,K73))</f>
        <v/>
      </c>
      <c r="C104" s="4107" t="str">
        <f>IF('Part III-Sources of Funds'!$I$40="","",-FV('Part III-Sources of Funds'!$K$40/12,12,C91/12,B104))</f>
        <v/>
      </c>
      <c r="D104" s="4107" t="str">
        <f>IF('Part III-Sources of Funds'!$I$40="","",-FV('Part III-Sources of Funds'!$K$40/12,12,D91/12,C104))</f>
        <v/>
      </c>
      <c r="E104" s="4107" t="str">
        <f>IF('Part III-Sources of Funds'!$I$40="","",-FV('Part III-Sources of Funds'!$K$40/12,12,E91/12,D104))</f>
        <v/>
      </c>
      <c r="F104" s="4107" t="str">
        <f>IF('Part III-Sources of Funds'!$I$40="","",-FV('Part III-Sources of Funds'!$K$40/12,12,F91/12,E104))</f>
        <v/>
      </c>
      <c r="G104" s="4107" t="str">
        <f>IF('Part III-Sources of Funds'!$I$40="","",-FV('Part III-Sources of Funds'!$K$40/12,12,G91/12,F104))</f>
        <v/>
      </c>
      <c r="H104" s="4107" t="str">
        <f>IF('Part III-Sources of Funds'!$I$40="","",-FV('Part III-Sources of Funds'!$K$40/12,12,H91/12,G104))</f>
        <v/>
      </c>
      <c r="I104" s="4107" t="str">
        <f>IF('Part III-Sources of Funds'!$I$40="","",-FV('Part III-Sources of Funds'!$K$40/12,12,I91/12,H104))</f>
        <v/>
      </c>
      <c r="J104" s="4107" t="str">
        <f>IF('Part III-Sources of Funds'!$I$40="","",-FV('Part III-Sources of Funds'!$K$40/12,12,J91/12,I104))</f>
        <v/>
      </c>
      <c r="K104" s="4107" t="str">
        <f>IF('Part III-Sources of Funds'!$I$40="","",-FV('Part III-Sources of Funds'!$K$40/12,12,K91/12,J104))</f>
        <v/>
      </c>
      <c r="N104" s="3993"/>
      <c r="O104" s="3995"/>
    </row>
    <row r="105" spans="1:15" ht="13.35" customHeight="1">
      <c r="A105" s="21" t="s">
        <v>764</v>
      </c>
      <c r="B105" s="4110" t="str">
        <f>IF('Part III-Sources of Funds'!$I$41="","",-FV('Part III-Sources of Funds'!$K$41/12,12,B92/12,K74))</f>
        <v/>
      </c>
      <c r="C105" s="4110" t="str">
        <f>IF('Part III-Sources of Funds'!$I$41="","",-FV('Part III-Sources of Funds'!$K$41/12,12,C92/12,B105))</f>
        <v/>
      </c>
      <c r="D105" s="4110" t="str">
        <f>IF('Part III-Sources of Funds'!$I$41="","",-FV('Part III-Sources of Funds'!$K$41/12,12,D92/12,C105))</f>
        <v/>
      </c>
      <c r="E105" s="4110" t="str">
        <f>IF('Part III-Sources of Funds'!$I$41="","",-FV('Part III-Sources of Funds'!$K$41/12,12,E92/12,D105))</f>
        <v/>
      </c>
      <c r="F105" s="4110" t="str">
        <f>IF('Part III-Sources of Funds'!$I$41="","",-FV('Part III-Sources of Funds'!$K$41/12,12,F92/12,E105))</f>
        <v/>
      </c>
      <c r="G105" s="4110" t="str">
        <f>IF('Part III-Sources of Funds'!$I$41="","",-FV('Part III-Sources of Funds'!$K$41/12,12,G92/12,F105))</f>
        <v/>
      </c>
      <c r="H105" s="4110" t="str">
        <f>IF('Part III-Sources of Funds'!$I$41="","",-FV('Part III-Sources of Funds'!$K$41/12,12,H92/12,G105))</f>
        <v/>
      </c>
      <c r="I105" s="4110" t="str">
        <f>IF('Part III-Sources of Funds'!$I$41="","",-FV('Part III-Sources of Funds'!$K$41/12,12,I92/12,H105))</f>
        <v/>
      </c>
      <c r="J105" s="4110" t="str">
        <f>IF('Part III-Sources of Funds'!$I$41="","",-FV('Part III-Sources of Funds'!$K$41/12,12,J92/12,I105))</f>
        <v/>
      </c>
      <c r="K105" s="4110" t="str">
        <f>IF('Part III-Sources of Funds'!$I$41="","",-FV('Part III-Sources of Funds'!$K$41/12,12,K92/12,J105))</f>
        <v/>
      </c>
      <c r="N105" s="4024"/>
      <c r="O105" s="4026"/>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3523</v>
      </c>
      <c r="O107" s="2484"/>
    </row>
    <row r="108" spans="1:15" ht="13.35" customHeight="1">
      <c r="A108" s="18" t="s">
        <v>2341</v>
      </c>
      <c r="B108" s="19">
        <f>$B$14*(1+$B$5)^(B107-1)</f>
        <v>596140.83366742288</v>
      </c>
      <c r="C108" s="19">
        <f>$B$14*(1+$B$5)^(C107-1)</f>
        <v>608063.65034077119</v>
      </c>
      <c r="D108" s="19">
        <f>$B$14*(1+$B$5)^(D107-1)</f>
        <v>620224.92334758677</v>
      </c>
      <c r="E108" s="19">
        <f>$B$14*(1+$B$5)^(E107-1)</f>
        <v>632629.42181453854</v>
      </c>
      <c r="F108" s="596">
        <f>$B$14*(1+$B$5)^(F107-1)</f>
        <v>645282.01025082928</v>
      </c>
      <c r="G108" s="17"/>
      <c r="H108" s="17"/>
      <c r="I108" s="17"/>
      <c r="J108" s="17"/>
      <c r="K108" s="17"/>
      <c r="N108" s="4031"/>
      <c r="O108" s="4033"/>
    </row>
    <row r="109" spans="1:15" ht="13.35" customHeight="1">
      <c r="A109" s="21" t="s">
        <v>994</v>
      </c>
      <c r="B109" s="22">
        <f>$B$15*(1+$B$5)^(B107-1)</f>
        <v>11922.816673348458</v>
      </c>
      <c r="C109" s="22">
        <f>$B$15*(1+$B$5)^(C107-1)</f>
        <v>12161.273006815423</v>
      </c>
      <c r="D109" s="22">
        <f>$B$15*(1+$B$5)^(D107-1)</f>
        <v>12404.498466951734</v>
      </c>
      <c r="E109" s="22">
        <f>$B$15*(1+$B$5)^(E107-1)</f>
        <v>12652.588436290769</v>
      </c>
      <c r="F109" s="23">
        <f>$B$15*(1+$B$5)^(F107-1)</f>
        <v>12905.640205016583</v>
      </c>
      <c r="G109" s="17"/>
      <c r="H109" s="17"/>
      <c r="I109" s="17"/>
      <c r="J109" s="17"/>
      <c r="K109" s="17"/>
      <c r="N109" s="3993"/>
      <c r="O109" s="3995"/>
    </row>
    <row r="110" spans="1:15" ht="13.35" customHeight="1">
      <c r="A110" s="21" t="s">
        <v>2342</v>
      </c>
      <c r="B110" s="22">
        <f>-(B108+B109)*$B$8</f>
        <v>-42564.455523853998</v>
      </c>
      <c r="C110" s="22">
        <f>-(C108+C109)*$B$8</f>
        <v>-43415.744634331073</v>
      </c>
      <c r="D110" s="22">
        <f>-(D108+D109)*$B$8</f>
        <v>-44284.0595270177</v>
      </c>
      <c r="E110" s="22">
        <f>-(E108+E109)*$B$8</f>
        <v>-45169.740717558052</v>
      </c>
      <c r="F110" s="23">
        <f>-(F108+F109)*$B$8</f>
        <v>-46073.135531909218</v>
      </c>
      <c r="G110" s="17"/>
      <c r="H110" s="17"/>
      <c r="I110" s="17"/>
      <c r="J110" s="17"/>
      <c r="K110" s="17"/>
      <c r="N110" s="3993"/>
      <c r="O110" s="399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3"/>
      <c r="O111" s="399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3"/>
      <c r="O112" s="3995"/>
    </row>
    <row r="113" spans="1:19" ht="13.35" customHeight="1">
      <c r="A113" s="417" t="s">
        <v>4376</v>
      </c>
      <c r="B113" s="22">
        <f>SUM(B108:B112)</f>
        <v>565499.1948169173</v>
      </c>
      <c r="C113" s="22">
        <f>SUM(C108:C112)</f>
        <v>576809.17871325556</v>
      </c>
      <c r="D113" s="22">
        <f>SUM(D108:D112)</f>
        <v>588345.3622875209</v>
      </c>
      <c r="E113" s="22">
        <f>SUM(E108:E112)</f>
        <v>600112.2695332712</v>
      </c>
      <c r="F113" s="23">
        <f>SUM(F108:F112)</f>
        <v>612114.51492393669</v>
      </c>
      <c r="G113" s="17"/>
      <c r="H113" s="17"/>
      <c r="I113" s="17"/>
      <c r="J113" s="17"/>
      <c r="K113" s="17"/>
      <c r="N113" s="3993"/>
      <c r="O113" s="3995"/>
    </row>
    <row r="114" spans="1:19" ht="13.35" customHeight="1">
      <c r="A114" s="21" t="s">
        <v>597</v>
      </c>
      <c r="B114" s="22">
        <f>$B$20*(1+$B$6)^(B107-1)</f>
        <v>-514912.17885076068</v>
      </c>
      <c r="C114" s="22">
        <f>$B$20*(1+$B$6)^(C107-1)</f>
        <v>-530359.5442162836</v>
      </c>
      <c r="D114" s="22">
        <f>$B$20*(1+$B$6)^(D107-1)</f>
        <v>-546270.33054277208</v>
      </c>
      <c r="E114" s="22">
        <f>$B$20*(1+$B$6)^(E107-1)</f>
        <v>-562658.44045905524</v>
      </c>
      <c r="F114" s="23">
        <f>$B$20*(1+$B$6)^(F107-1)</f>
        <v>-579538.19367282675</v>
      </c>
      <c r="G114" s="17"/>
      <c r="H114" s="17"/>
      <c r="I114" s="17"/>
      <c r="J114" s="17"/>
      <c r="K114" s="17"/>
      <c r="N114" s="3993"/>
      <c r="O114" s="399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-55924</v>
      </c>
      <c r="C115" s="22">
        <f>IF(AND('Part VII-Pro Forma'!$G$8="Yes",'Part VII-Pro Forma'!$G$9="Yes"),"Choose One!",IF('Part VII-Pro Forma'!$G$8="Yes",ROUND((-$K$8*(1+'Part VII-Pro Forma'!$B$6)^('Part VII-Pro Forma'!C107-1)),),IF('Part VII-Pro Forma'!$G$9="Yes",ROUND((-(SUM(C108:C111)*'Part VII-Pro Forma'!$K$9)),),"Choose mgt fee")))</f>
        <v>-57602</v>
      </c>
      <c r="D115" s="22">
        <f>IF(AND('Part VII-Pro Forma'!$G$8="Yes",'Part VII-Pro Forma'!$G$9="Yes"),"Choose One!",IF('Part VII-Pro Forma'!$G$8="Yes",ROUND((-$K$8*(1+'Part VII-Pro Forma'!$B$6)^('Part VII-Pro Forma'!D107-1)),),IF('Part VII-Pro Forma'!$G$9="Yes",ROUND((-(SUM(D108:D111)*'Part VII-Pro Forma'!$K$9)),),"Choose mgt fee")))</f>
        <v>-59330</v>
      </c>
      <c r="E115" s="22">
        <f>IF(AND('Part VII-Pro Forma'!$G$8="Yes",'Part VII-Pro Forma'!$G$9="Yes"),"Choose One!",IF('Part VII-Pro Forma'!$G$8="Yes",ROUND((-$K$8*(1+'Part VII-Pro Forma'!$B$6)^('Part VII-Pro Forma'!E107-1)),),IF('Part VII-Pro Forma'!$G$9="Yes",ROUND((-(SUM(E108:E111)*'Part VII-Pro Forma'!$K$9)),),"Choose mgt fee")))</f>
        <v>-61110</v>
      </c>
      <c r="F115" s="23">
        <f>IF(AND('Part VII-Pro Forma'!$G$8="Yes",'Part VII-Pro Forma'!$G$9="Yes"),"Choose One!",IF('Part VII-Pro Forma'!$G$8="Yes",ROUND((-$K$8*(1+'Part VII-Pro Forma'!$B$6)^('Part VII-Pro Forma'!F107-1)),),IF('Part VII-Pro Forma'!$G$9="Yes",ROUND((-(SUM(F108:F111)*'Part VII-Pro Forma'!$K$9)),),"Choose mgt fee")))</f>
        <v>-62943</v>
      </c>
      <c r="G115" s="17"/>
      <c r="H115" s="17"/>
      <c r="I115" s="17"/>
      <c r="J115" s="17"/>
      <c r="K115" s="17"/>
      <c r="N115" s="3993"/>
      <c r="O115" s="3995"/>
    </row>
    <row r="116" spans="1:19" ht="13.35" customHeight="1">
      <c r="A116" s="21" t="s">
        <v>1176</v>
      </c>
      <c r="B116" s="22">
        <f>$B$22*(1+$B$7)^(B107-1)</f>
        <v>-29127.149654275909</v>
      </c>
      <c r="C116" s="22">
        <f>$B$22*(1+$B$7)^(C107-1)</f>
        <v>-30000.964143904192</v>
      </c>
      <c r="D116" s="22">
        <f>$B$22*(1+$B$7)^(D107-1)</f>
        <v>-30900.993068221313</v>
      </c>
      <c r="E116" s="22">
        <f>$B$22*(1+$B$7)^(E107-1)</f>
        <v>-31828.022860267953</v>
      </c>
      <c r="F116" s="23">
        <f>$B$22*(1+$B$7)^(F107-1)</f>
        <v>-32782.863546075983</v>
      </c>
      <c r="G116" s="17"/>
      <c r="H116" s="17"/>
      <c r="I116" s="17"/>
      <c r="J116" s="17"/>
      <c r="K116" s="17"/>
      <c r="N116" s="3993"/>
      <c r="O116" s="3995"/>
      <c r="Q116" s="929">
        <v>10</v>
      </c>
      <c r="R116" s="1043">
        <f>-SUM(B122:K122)</f>
        <v>0</v>
      </c>
      <c r="S116" s="1043">
        <f>SUM(B123:K123)+R116</f>
        <v>0</v>
      </c>
    </row>
    <row r="117" spans="1:19" ht="13.35" customHeight="1">
      <c r="A117" s="417" t="s">
        <v>4375</v>
      </c>
      <c r="B117" s="4105">
        <f>IF(B107&lt;=+'Part VI-Revenues &amp; Expenses'!$N$250,-'Part VI-Revenues &amp; Expenses'!$K$250,0)</f>
        <v>0</v>
      </c>
      <c r="C117" s="4105">
        <f>IF(C107&lt;=+'Part VI-Revenues &amp; Expenses'!$N$250,-'Part VI-Revenues &amp; Expenses'!$K$250,0)</f>
        <v>0</v>
      </c>
      <c r="D117" s="4105">
        <f>IF(D107&lt;=+'Part VI-Revenues &amp; Expenses'!$N$250,-'Part VI-Revenues &amp; Expenses'!$K$250,0)</f>
        <v>0</v>
      </c>
      <c r="E117" s="4105">
        <f>IF(E107&lt;=+'Part VI-Revenues &amp; Expenses'!$N$250,-'Part VI-Revenues &amp; Expenses'!$K$250,0)</f>
        <v>0</v>
      </c>
      <c r="F117" s="4105">
        <f>IF(F107&lt;=+'Part VI-Revenues &amp; Expenses'!$N$250,-'Part VI-Revenues &amp; Expenses'!$K$250,0)</f>
        <v>0</v>
      </c>
      <c r="G117" s="17"/>
      <c r="H117" s="17"/>
      <c r="I117" s="17"/>
      <c r="J117" s="17"/>
      <c r="K117" s="17"/>
      <c r="N117" s="3993"/>
      <c r="O117" s="3995"/>
    </row>
    <row r="118" spans="1:19" ht="13.35" customHeight="1">
      <c r="A118" s="21" t="s">
        <v>1177</v>
      </c>
      <c r="B118" s="22">
        <f>SUM(B113:B117)</f>
        <v>-34464.133688119298</v>
      </c>
      <c r="C118" s="22">
        <f>SUM(C113:C117)</f>
        <v>-41153.329646932223</v>
      </c>
      <c r="D118" s="22">
        <f>SUM(D113:D117)</f>
        <v>-48155.961323472497</v>
      </c>
      <c r="E118" s="22">
        <f>SUM(E113:E117)</f>
        <v>-55484.193786051997</v>
      </c>
      <c r="F118" s="1482">
        <f>SUM(F113:F117)</f>
        <v>-63149.542294966042</v>
      </c>
      <c r="G118" s="17"/>
      <c r="H118" s="17"/>
      <c r="I118" s="17"/>
      <c r="J118" s="17"/>
      <c r="K118" s="17"/>
      <c r="N118" s="3993"/>
      <c r="O118" s="3995"/>
    </row>
    <row r="119" spans="1:19" ht="13.35" customHeight="1">
      <c r="A119" s="21" t="str">
        <f>$A89</f>
        <v>Mortgage A</v>
      </c>
      <c r="B119" s="4106">
        <f>IF('Part III-Sources of Funds'!$P$38="", 0,-'Part III-Sources of Funds'!$P$38)</f>
        <v>0</v>
      </c>
      <c r="C119" s="4106">
        <f>IF('Part III-Sources of Funds'!$P$38="", 0,-'Part III-Sources of Funds'!$P$38)</f>
        <v>0</v>
      </c>
      <c r="D119" s="4106">
        <f>IF('Part III-Sources of Funds'!$P$38="", 0,-'Part III-Sources of Funds'!$P$38)</f>
        <v>0</v>
      </c>
      <c r="E119" s="4106">
        <f>IF('Part III-Sources of Funds'!$P$38="", 0,-'Part III-Sources of Funds'!$P$38)</f>
        <v>0</v>
      </c>
      <c r="F119" s="4106">
        <f>IF('Part III-Sources of Funds'!$P$38="", 0,-'Part III-Sources of Funds'!$P$38)</f>
        <v>0</v>
      </c>
      <c r="G119" s="17"/>
      <c r="H119" s="17"/>
      <c r="I119" s="17"/>
      <c r="J119" s="17"/>
      <c r="K119" s="17"/>
      <c r="N119" s="3993"/>
      <c r="O119" s="3995"/>
    </row>
    <row r="120" spans="1:19" ht="13.35" customHeight="1">
      <c r="A120" s="21" t="str">
        <f>$A90</f>
        <v>Mortgage B</v>
      </c>
      <c r="B120" s="4107">
        <f>IF('Part III-Sources of Funds'!$P$39="", 0,-'Part III-Sources of Funds'!$P$39)</f>
        <v>0</v>
      </c>
      <c r="C120" s="4107">
        <f>IF('Part III-Sources of Funds'!$P$39="", 0,-'Part III-Sources of Funds'!$P$39)</f>
        <v>0</v>
      </c>
      <c r="D120" s="4107">
        <f>IF('Part III-Sources of Funds'!$P$39="", 0,-'Part III-Sources of Funds'!$P$39)</f>
        <v>0</v>
      </c>
      <c r="E120" s="4107">
        <f>IF('Part III-Sources of Funds'!$P$39="", 0,-'Part III-Sources of Funds'!$P$39)</f>
        <v>0</v>
      </c>
      <c r="F120" s="4107">
        <f>IF('Part III-Sources of Funds'!$P$39="", 0,-'Part III-Sources of Funds'!$P$39)</f>
        <v>0</v>
      </c>
      <c r="G120" s="17"/>
      <c r="H120" s="17"/>
      <c r="I120" s="17"/>
      <c r="J120" s="17"/>
      <c r="K120" s="17"/>
      <c r="N120" s="3993"/>
      <c r="O120" s="3995"/>
    </row>
    <row r="121" spans="1:19" ht="13.35" customHeight="1">
      <c r="A121" s="21" t="str">
        <f>$A91</f>
        <v>Mortgage C</v>
      </c>
      <c r="B121" s="4107">
        <f>IF('Part III-Sources of Funds'!$P$40="", 0,-'Part III-Sources of Funds'!$P$40)</f>
        <v>0</v>
      </c>
      <c r="C121" s="4107">
        <f>IF('Part III-Sources of Funds'!$P$40="", 0,-'Part III-Sources of Funds'!$P$40)</f>
        <v>0</v>
      </c>
      <c r="D121" s="4107">
        <f>IF('Part III-Sources of Funds'!$P$40="", 0,-'Part III-Sources of Funds'!$P$40)</f>
        <v>0</v>
      </c>
      <c r="E121" s="4107">
        <f>IF('Part III-Sources of Funds'!$P$40="", 0,-'Part III-Sources of Funds'!$P$40)</f>
        <v>0</v>
      </c>
      <c r="F121" s="4107">
        <f>IF('Part III-Sources of Funds'!$P$40="", 0,-'Part III-Sources of Funds'!$P$40)</f>
        <v>0</v>
      </c>
      <c r="G121" s="17"/>
      <c r="H121" s="17"/>
      <c r="I121" s="17"/>
      <c r="J121" s="17"/>
      <c r="K121" s="17"/>
      <c r="N121" s="3993"/>
      <c r="O121" s="3995"/>
    </row>
    <row r="122" spans="1:19" ht="13.35" customHeight="1">
      <c r="A122" s="21" t="str">
        <f>$A92</f>
        <v>D/S Other Source,not DDF</v>
      </c>
      <c r="B122" s="4107">
        <f>IF('Part III-Sources of Funds'!$P$41="", 0,-'Part III-Sources of Funds'!$P$41)</f>
        <v>0</v>
      </c>
      <c r="C122" s="4107">
        <f>IF('Part III-Sources of Funds'!$P$41="", 0,-'Part III-Sources of Funds'!$P$41)</f>
        <v>0</v>
      </c>
      <c r="D122" s="4107">
        <f>IF('Part III-Sources of Funds'!$P$41="", 0,-'Part III-Sources of Funds'!$P$41)</f>
        <v>0</v>
      </c>
      <c r="E122" s="4107">
        <f>IF('Part III-Sources of Funds'!$P$41="", 0,-'Part III-Sources of Funds'!$P$41)</f>
        <v>0</v>
      </c>
      <c r="F122" s="4107">
        <f>IF('Part III-Sources of Funds'!$P$41="", 0,-'Part III-Sources of Funds'!$P$41)</f>
        <v>0</v>
      </c>
      <c r="G122" s="17"/>
      <c r="H122" s="17"/>
      <c r="I122" s="17"/>
      <c r="J122" s="17"/>
      <c r="K122" s="17"/>
      <c r="N122" s="3993"/>
      <c r="O122" s="3995"/>
    </row>
    <row r="123" spans="1:19" ht="13.35" customHeight="1">
      <c r="A123" s="21" t="s">
        <v>745</v>
      </c>
      <c r="B123" s="4108"/>
      <c r="C123" s="4108"/>
      <c r="D123" s="4108"/>
      <c r="E123" s="4108"/>
      <c r="F123" s="4108"/>
      <c r="G123" s="17"/>
      <c r="H123" s="17"/>
      <c r="I123" s="17"/>
      <c r="J123" s="17"/>
      <c r="K123" s="17"/>
      <c r="N123" s="3993"/>
      <c r="O123" s="3995"/>
    </row>
    <row r="124" spans="1:19" ht="13.35" customHeight="1">
      <c r="A124" s="21" t="s">
        <v>1141</v>
      </c>
      <c r="B124" s="4110">
        <f>+K94</f>
        <v>-5000</v>
      </c>
      <c r="C124" s="4110">
        <f>+B124</f>
        <v>-5000</v>
      </c>
      <c r="D124" s="4110">
        <f>+C124</f>
        <v>-5000</v>
      </c>
      <c r="E124" s="4110">
        <f>+D124</f>
        <v>-5000</v>
      </c>
      <c r="F124" s="4110">
        <f>+E124</f>
        <v>-5000</v>
      </c>
      <c r="G124" s="17"/>
      <c r="H124" s="17"/>
      <c r="I124" s="17"/>
      <c r="J124" s="17"/>
      <c r="K124" s="17"/>
      <c r="N124" s="3993"/>
      <c r="O124" s="3995"/>
    </row>
    <row r="125" spans="1:19" ht="13.35" customHeight="1">
      <c r="A125" s="21" t="s">
        <v>1142</v>
      </c>
      <c r="B125" s="22">
        <f>SUM(B118:B124)</f>
        <v>-39464.133688119298</v>
      </c>
      <c r="C125" s="22">
        <f>SUM(C118:C124)</f>
        <v>-46153.329646932223</v>
      </c>
      <c r="D125" s="22">
        <f>SUM(D118:D124)</f>
        <v>-53155.961323472497</v>
      </c>
      <c r="E125" s="22">
        <f>SUM(E118:E124)</f>
        <v>-60484.193786051997</v>
      </c>
      <c r="F125" s="23">
        <f>SUM(F118:F124)</f>
        <v>-68149.542294966042</v>
      </c>
      <c r="G125" s="17"/>
      <c r="H125" s="17"/>
      <c r="I125" s="17"/>
      <c r="J125" s="17"/>
      <c r="K125" s="17"/>
      <c r="N125" s="3993"/>
      <c r="O125" s="399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3"/>
      <c r="O126" s="399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3"/>
      <c r="O127" s="399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3"/>
      <c r="O128" s="399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3"/>
      <c r="O129" s="3995"/>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3"/>
      <c r="O130" s="3995"/>
    </row>
    <row r="131" spans="1:19" ht="13.35" customHeight="1">
      <c r="A131" s="21" t="s">
        <v>752</v>
      </c>
      <c r="B131" s="265">
        <f>IF(OR(B115="Choose mgt fee",B115="Choose One!"),"",(B108+B109+B110+B111+B112) / -(B114+B115+B116))</f>
        <v>0.94255626627381461</v>
      </c>
      <c r="C131" s="265">
        <f>IF(OR(C115="Choose mgt fee",C115="Choose One!"),"",(C108+C109+C110+C111+C112) / -(C114+C115+C116))</f>
        <v>0.93340481163471256</v>
      </c>
      <c r="D131" s="265">
        <f>IF(OR(D115="Choose mgt fee",D115="Choose One!"),"",(D108+D109+D110+D111+D112) / -(D114+D115+D116))</f>
        <v>0.9243427161309351</v>
      </c>
      <c r="E131" s="265">
        <f>IF(OR(E115="Choose mgt fee",E115="Choose One!"),"",(E108+E109+E110+E111+E112) / -(E114+E115+E116))</f>
        <v>0.91536837537967752</v>
      </c>
      <c r="F131" s="597">
        <f>IF(OR(F115="Choose mgt fee",F115="Choose One!"),"",(F108+F109+F110+F111+F112) / -(F114+F115+F116))</f>
        <v>0.9064817064970857</v>
      </c>
      <c r="G131" s="17"/>
      <c r="H131" s="17"/>
      <c r="I131" s="17"/>
      <c r="J131" s="17"/>
      <c r="K131" s="17"/>
      <c r="N131" s="3993"/>
      <c r="O131" s="3995"/>
    </row>
    <row r="132" spans="1:19" ht="13.35" customHeight="1">
      <c r="A132" s="417" t="s">
        <v>2549</v>
      </c>
      <c r="B132" s="4111" t="str">
        <f>IF('Part III-Sources of Funds'!$I$38="","",-FV('Part III-Sources of Funds'!$K$38/12,12,B119/12,K102))</f>
        <v/>
      </c>
      <c r="C132" s="4111" t="str">
        <f>IF('Part III-Sources of Funds'!$I$38="","",-FV('Part III-Sources of Funds'!$K$38/12,12,C119/12,B132))</f>
        <v/>
      </c>
      <c r="D132" s="4111" t="str">
        <f>IF('Part III-Sources of Funds'!$I$38="","",-FV('Part III-Sources of Funds'!$K$38/12,12,D119/12,C132))</f>
        <v/>
      </c>
      <c r="E132" s="4111" t="str">
        <f>IF('Part III-Sources of Funds'!$I$38="","",-FV('Part III-Sources of Funds'!$K$38/12,12,E119/12,D132))</f>
        <v/>
      </c>
      <c r="F132" s="4111" t="str">
        <f>IF('Part III-Sources of Funds'!$I$38="","",-FV('Part III-Sources of Funds'!$K$38/12,12,F119/12,E132))</f>
        <v/>
      </c>
      <c r="G132" s="17"/>
      <c r="H132" s="17"/>
      <c r="I132" s="17"/>
      <c r="J132" s="17"/>
      <c r="K132" s="17"/>
      <c r="N132" s="3993"/>
      <c r="O132" s="3995"/>
    </row>
    <row r="133" spans="1:19" ht="13.35" customHeight="1">
      <c r="A133" s="417" t="s">
        <v>2550</v>
      </c>
      <c r="B133" s="4107" t="str">
        <f>IF('Part III-Sources of Funds'!$I$39="","",-FV('Part III-Sources of Funds'!$K$39/12,12,B120/12,K103))</f>
        <v/>
      </c>
      <c r="C133" s="4107" t="str">
        <f>IF('Part III-Sources of Funds'!$I$39="","",-FV('Part III-Sources of Funds'!$K$39/12,12,C120/12,B133))</f>
        <v/>
      </c>
      <c r="D133" s="4107" t="str">
        <f>IF('Part III-Sources of Funds'!$I$39="","",-FV('Part III-Sources of Funds'!$K$39/12,12,D120/12,C133))</f>
        <v/>
      </c>
      <c r="E133" s="4107" t="str">
        <f>IF('Part III-Sources of Funds'!$I$39="","",-FV('Part III-Sources of Funds'!$K$39/12,12,E120/12,D133))</f>
        <v/>
      </c>
      <c r="F133" s="4107" t="str">
        <f>IF('Part III-Sources of Funds'!$I$39="","",-FV('Part III-Sources of Funds'!$K$39/12,12,F120/12,E133))</f>
        <v/>
      </c>
      <c r="G133" s="17"/>
      <c r="H133" s="17"/>
      <c r="I133" s="17"/>
      <c r="J133" s="17"/>
      <c r="K133" s="17"/>
      <c r="N133" s="3993"/>
      <c r="O133" s="3995"/>
    </row>
    <row r="134" spans="1:19" ht="13.35" customHeight="1">
      <c r="A134" s="417" t="s">
        <v>2551</v>
      </c>
      <c r="B134" s="4107" t="str">
        <f>IF('Part III-Sources of Funds'!$I$40="","",-FV('Part III-Sources of Funds'!$K$40/12,12,B121/12,K104))</f>
        <v/>
      </c>
      <c r="C134" s="4107" t="str">
        <f>IF('Part III-Sources of Funds'!$I$40="","",-FV('Part III-Sources of Funds'!$K$40/12,12,C121/12,B134))</f>
        <v/>
      </c>
      <c r="D134" s="4107" t="str">
        <f>IF('Part III-Sources of Funds'!$I$40="","",-FV('Part III-Sources of Funds'!$K$40/12,12,D121/12,C134))</f>
        <v/>
      </c>
      <c r="E134" s="4107" t="str">
        <f>IF('Part III-Sources of Funds'!$I$40="","",-FV('Part III-Sources of Funds'!$K$40/12,12,E121/12,D134))</f>
        <v/>
      </c>
      <c r="F134" s="4107" t="str">
        <f>IF('Part III-Sources of Funds'!$I$40="","",-FV('Part III-Sources of Funds'!$K$40/12,12,F121/12,E134))</f>
        <v/>
      </c>
      <c r="G134" s="17"/>
      <c r="H134" s="17"/>
      <c r="I134" s="17"/>
      <c r="J134" s="17"/>
      <c r="K134" s="17"/>
      <c r="N134" s="3993"/>
      <c r="O134" s="3995"/>
    </row>
    <row r="135" spans="1:19" ht="13.35" customHeight="1">
      <c r="A135" s="26" t="s">
        <v>764</v>
      </c>
      <c r="B135" s="4110" t="str">
        <f>IF('Part III-Sources of Funds'!$I$41="","",-FV('Part III-Sources of Funds'!$K$41/12,12,B122/12,K105))</f>
        <v/>
      </c>
      <c r="C135" s="4110" t="str">
        <f>IF('Part III-Sources of Funds'!$I$41="","",-FV('Part III-Sources of Funds'!$K$41/12,12,C122/12,B135))</f>
        <v/>
      </c>
      <c r="D135" s="4110" t="str">
        <f>IF('Part III-Sources of Funds'!$I$41="","",-FV('Part III-Sources of Funds'!$K$41/12,12,D122/12,C135))</f>
        <v/>
      </c>
      <c r="E135" s="4110" t="str">
        <f>IF('Part III-Sources of Funds'!$I$41="","",-FV('Part III-Sources of Funds'!$K$41/12,12,E122/12,D135))</f>
        <v/>
      </c>
      <c r="F135" s="4110" t="str">
        <f>IF('Part III-Sources of Funds'!$I$41="","",-FV('Part III-Sources of Funds'!$K$41/12,12,F122/12,E135))</f>
        <v/>
      </c>
      <c r="G135" s="17"/>
      <c r="H135" s="17"/>
      <c r="I135" s="17"/>
      <c r="J135" s="17"/>
      <c r="K135" s="17"/>
      <c r="N135" s="4024"/>
      <c r="O135" s="4026"/>
    </row>
    <row r="136" spans="1:19" ht="4.3499999999999996" customHeight="1"/>
    <row r="137" spans="1:19" ht="12" customHeight="1">
      <c r="A137" s="13" t="s">
        <v>554</v>
      </c>
      <c r="B137" s="13"/>
      <c r="G137" s="13" t="s">
        <v>1009</v>
      </c>
    </row>
    <row r="138" spans="1:19" ht="12" customHeight="1">
      <c r="B138" s="31"/>
    </row>
    <row r="139" spans="1:19" ht="409.5" customHeight="1">
      <c r="A139" s="3717" t="s">
        <v>3361</v>
      </c>
      <c r="B139" s="4112"/>
      <c r="C139" s="4112"/>
      <c r="D139" s="4112"/>
      <c r="E139" s="4112"/>
      <c r="F139" s="4113"/>
      <c r="G139" s="4114"/>
      <c r="H139" s="4115"/>
      <c r="I139" s="4115"/>
      <c r="J139" s="4115"/>
      <c r="K139" s="4116"/>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L+WutVKvlsd/3Ve/kzKe49+VDfwbhMqrh7fb8XH3WROI3S8dE6J/khc/pY1SEWLfZ3Nyd+dqJunWgN3WZR2jdw==" saltValue="bZhfaDLIHBT6DoW0jf/r7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9" zoomScaleNormal="100" workbookViewId="0">
      <pane ySplit="1260" topLeftCell="A102"/>
      <selection activeCell="A479" sqref="A1:XFD1048576"/>
      <selection pane="bottomLeft" activeCell="B103" sqref="B103:N103"/>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2020-067 Boxwood Heights, Columbus, Muscogee County</v>
      </c>
      <c r="B1" s="2535"/>
      <c r="C1" s="2535"/>
      <c r="D1" s="2535"/>
      <c r="E1" s="2535"/>
      <c r="F1" s="2535"/>
      <c r="G1" s="2535"/>
      <c r="H1" s="2535"/>
      <c r="I1" s="2535"/>
      <c r="J1" s="2535"/>
      <c r="K1" s="2535"/>
      <c r="L1" s="2535"/>
      <c r="M1" s="2535"/>
      <c r="N1" s="2535"/>
      <c r="O1" s="2535"/>
      <c r="P1" s="2535"/>
      <c r="Q1" s="2535"/>
      <c r="R1" s="2822" t="str">
        <f>'Part I-Project Information'!$B$6</f>
        <v>May 26, 2020 Version</v>
      </c>
      <c r="S1" s="2822"/>
    </row>
    <row r="2" spans="1:32" s="27" customFormat="1" ht="3" customHeight="1">
      <c r="R2" s="2822"/>
      <c r="S2" s="2822"/>
      <c r="AE2" s="116"/>
      <c r="AF2" s="116"/>
    </row>
    <row r="3" spans="1:32" ht="13.5" customHeight="1">
      <c r="A3" s="285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1"/>
      <c r="C3" s="2851"/>
      <c r="D3" s="2851"/>
      <c r="E3" s="2851"/>
      <c r="F3" s="2851"/>
      <c r="G3" s="2851"/>
      <c r="H3" s="285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1"/>
      <c r="J3" s="2851"/>
      <c r="K3" s="2851"/>
      <c r="L3" s="2851"/>
      <c r="M3" s="2851"/>
      <c r="N3" s="2852"/>
      <c r="O3" s="2853" t="s">
        <v>913</v>
      </c>
      <c r="P3" s="2854"/>
      <c r="Q3" s="1508" t="s">
        <v>1796</v>
      </c>
      <c r="R3" s="2822"/>
      <c r="S3" s="2822"/>
    </row>
    <row r="4" spans="1:32" ht="3" customHeight="1">
      <c r="A4" s="2376"/>
      <c r="B4" s="2855"/>
      <c r="C4" s="2855"/>
      <c r="D4" s="2855"/>
      <c r="E4" s="2376"/>
      <c r="F4" s="2376"/>
      <c r="G4" s="2376"/>
      <c r="H4" s="2376"/>
      <c r="I4" s="2376"/>
      <c r="J4" s="2376"/>
      <c r="K4" s="2376"/>
      <c r="L4" s="2376"/>
      <c r="M4" s="2376"/>
      <c r="N4" s="2376"/>
      <c r="P4" s="2376"/>
      <c r="Q4" s="2376"/>
      <c r="R4" s="2822"/>
      <c r="S4" s="2822"/>
    </row>
    <row r="5" spans="1:32" ht="11.1" hidden="1" customHeight="1">
      <c r="A5" s="2376"/>
      <c r="B5" s="2376"/>
      <c r="C5" s="2376"/>
      <c r="D5" s="2376"/>
      <c r="E5" s="2376"/>
      <c r="F5" s="2376"/>
      <c r="G5" s="2376"/>
      <c r="H5" s="2376"/>
      <c r="I5" s="2376"/>
      <c r="J5" s="2376"/>
      <c r="K5" s="2376"/>
      <c r="L5" s="2376"/>
      <c r="M5" s="2376"/>
      <c r="N5" s="2376"/>
      <c r="P5" s="2376"/>
      <c r="Q5" s="2376"/>
      <c r="R5" s="2822"/>
      <c r="S5" s="2822"/>
    </row>
    <row r="6" spans="1:32" ht="17.25" customHeight="1">
      <c r="A6" s="125" t="s">
        <v>550</v>
      </c>
      <c r="J6" s="2858" t="s">
        <v>3629</v>
      </c>
      <c r="K6" s="2858"/>
      <c r="L6" s="2858"/>
      <c r="M6" s="2858"/>
      <c r="N6" s="2858"/>
      <c r="O6" s="2859"/>
      <c r="P6" s="2856"/>
      <c r="Q6" s="2857"/>
      <c r="R6" s="2822"/>
      <c r="S6" s="2822"/>
    </row>
    <row r="7" spans="1:32" ht="12.6" customHeight="1">
      <c r="A7" s="126" t="s">
        <v>3335</v>
      </c>
      <c r="C7" s="127"/>
      <c r="D7" s="127"/>
      <c r="H7" s="1210"/>
      <c r="I7" s="1210"/>
      <c r="J7" s="1210"/>
      <c r="K7" s="1210"/>
      <c r="L7" s="1210"/>
      <c r="M7" s="2376"/>
      <c r="N7" s="2376"/>
    </row>
    <row r="8" spans="1:32" ht="24.6" customHeight="1">
      <c r="A8" s="2860" t="s">
        <v>1381</v>
      </c>
      <c r="B8" s="2861"/>
      <c r="C8" s="2861"/>
      <c r="D8" s="2861"/>
      <c r="E8" s="2861"/>
      <c r="F8" s="2861"/>
      <c r="G8" s="2861"/>
      <c r="H8" s="2861"/>
      <c r="I8" s="2861"/>
      <c r="J8" s="2861"/>
      <c r="K8" s="2861"/>
      <c r="L8" s="2861"/>
      <c r="M8" s="2861"/>
      <c r="N8" s="2861"/>
      <c r="O8" s="2861"/>
      <c r="P8" s="2861"/>
      <c r="Q8" s="2862"/>
      <c r="R8" s="2686" t="s">
        <v>1983</v>
      </c>
      <c r="S8" s="2401"/>
    </row>
    <row r="9" spans="1:32" ht="24.6" customHeight="1">
      <c r="A9" s="2824" t="s">
        <v>221</v>
      </c>
      <c r="B9" s="2825"/>
      <c r="C9" s="2825"/>
      <c r="D9" s="2825"/>
      <c r="E9" s="2825"/>
      <c r="F9" s="2825"/>
      <c r="G9" s="2825"/>
      <c r="H9" s="2825"/>
      <c r="I9" s="2825"/>
      <c r="J9" s="2825"/>
      <c r="K9" s="2825"/>
      <c r="L9" s="2825"/>
      <c r="M9" s="2825"/>
      <c r="N9" s="2825"/>
      <c r="O9" s="2825"/>
      <c r="P9" s="2825"/>
      <c r="Q9" s="2826"/>
      <c r="R9" s="2686"/>
      <c r="S9" s="2401"/>
    </row>
    <row r="10" spans="1:32" ht="24.6" customHeight="1">
      <c r="A10" s="2824" t="s">
        <v>1377</v>
      </c>
      <c r="B10" s="2825"/>
      <c r="C10" s="2825"/>
      <c r="D10" s="2825"/>
      <c r="E10" s="2825"/>
      <c r="F10" s="2825"/>
      <c r="G10" s="2825"/>
      <c r="H10" s="2825"/>
      <c r="I10" s="2825"/>
      <c r="J10" s="2825"/>
      <c r="K10" s="2825"/>
      <c r="L10" s="2825"/>
      <c r="M10" s="2825"/>
      <c r="N10" s="2825"/>
      <c r="O10" s="2825"/>
      <c r="P10" s="2825"/>
      <c r="Q10" s="2826"/>
      <c r="R10" s="2686"/>
      <c r="S10" s="2401"/>
    </row>
    <row r="11" spans="1:32" ht="24.6" customHeight="1">
      <c r="A11" s="2824" t="s">
        <v>1378</v>
      </c>
      <c r="B11" s="2825"/>
      <c r="C11" s="2825"/>
      <c r="D11" s="2825"/>
      <c r="E11" s="2825"/>
      <c r="F11" s="2825"/>
      <c r="G11" s="2825"/>
      <c r="H11" s="2825"/>
      <c r="I11" s="2825"/>
      <c r="J11" s="2825"/>
      <c r="K11" s="2825"/>
      <c r="L11" s="2825"/>
      <c r="M11" s="2825"/>
      <c r="N11" s="2825"/>
      <c r="O11" s="2825"/>
      <c r="P11" s="2825"/>
      <c r="Q11" s="2826"/>
      <c r="R11" s="2686"/>
      <c r="S11" s="2401"/>
    </row>
    <row r="12" spans="1:32" ht="24" customHeight="1">
      <c r="A12" s="2824" t="s">
        <v>1379</v>
      </c>
      <c r="B12" s="2825"/>
      <c r="C12" s="2825"/>
      <c r="D12" s="2825"/>
      <c r="E12" s="2825"/>
      <c r="F12" s="2825"/>
      <c r="G12" s="2825"/>
      <c r="H12" s="2825"/>
      <c r="I12" s="2825"/>
      <c r="J12" s="2825"/>
      <c r="K12" s="2825"/>
      <c r="L12" s="2825"/>
      <c r="M12" s="2825"/>
      <c r="N12" s="2825"/>
      <c r="O12" s="2825"/>
      <c r="P12" s="2825"/>
      <c r="Q12" s="2826"/>
      <c r="R12" s="2344"/>
      <c r="S12" s="2344"/>
    </row>
    <row r="13" spans="1:32" ht="11.25" customHeight="1">
      <c r="A13" s="2824" t="s">
        <v>1380</v>
      </c>
      <c r="B13" s="2825"/>
      <c r="C13" s="2825"/>
      <c r="D13" s="2825"/>
      <c r="E13" s="2825"/>
      <c r="F13" s="2825"/>
      <c r="G13" s="2825"/>
      <c r="H13" s="2825"/>
      <c r="I13" s="2825"/>
      <c r="J13" s="2825"/>
      <c r="K13" s="2825"/>
      <c r="L13" s="2825"/>
      <c r="M13" s="2825"/>
      <c r="N13" s="2825"/>
      <c r="O13" s="2825"/>
      <c r="P13" s="2825"/>
      <c r="Q13" s="2826"/>
      <c r="R13" s="2344"/>
      <c r="S13" s="2344"/>
    </row>
    <row r="14" spans="1:32" ht="11.25" customHeight="1">
      <c r="A14" s="2824" t="s">
        <v>1382</v>
      </c>
      <c r="B14" s="2825"/>
      <c r="C14" s="2825"/>
      <c r="D14" s="2825"/>
      <c r="E14" s="2825"/>
      <c r="F14" s="2825"/>
      <c r="G14" s="2825"/>
      <c r="H14" s="2825"/>
      <c r="I14" s="2825"/>
      <c r="J14" s="2825"/>
      <c r="K14" s="2825"/>
      <c r="L14" s="2825"/>
      <c r="M14" s="2825"/>
      <c r="N14" s="2825"/>
      <c r="O14" s="2825"/>
      <c r="P14" s="2825"/>
      <c r="Q14" s="2826"/>
    </row>
    <row r="15" spans="1:32" ht="11.25" customHeight="1">
      <c r="A15" s="2824" t="s">
        <v>1970</v>
      </c>
      <c r="B15" s="2825"/>
      <c r="C15" s="2825"/>
      <c r="D15" s="2825"/>
      <c r="E15" s="2825"/>
      <c r="F15" s="2825"/>
      <c r="G15" s="2825"/>
      <c r="H15" s="2825"/>
      <c r="I15" s="2825"/>
      <c r="J15" s="2825"/>
      <c r="K15" s="2825"/>
      <c r="L15" s="2825"/>
      <c r="M15" s="2825"/>
      <c r="N15" s="2825"/>
      <c r="O15" s="2825"/>
      <c r="P15" s="2825"/>
      <c r="Q15" s="2826"/>
      <c r="R15" s="2686" t="s">
        <v>1983</v>
      </c>
      <c r="S15" s="2433"/>
    </row>
    <row r="16" spans="1:32" ht="11.25" customHeight="1">
      <c r="A16" s="2824" t="s">
        <v>1971</v>
      </c>
      <c r="B16" s="2825"/>
      <c r="C16" s="2825"/>
      <c r="D16" s="2825"/>
      <c r="E16" s="2825"/>
      <c r="F16" s="2825"/>
      <c r="G16" s="2825"/>
      <c r="H16" s="2825"/>
      <c r="I16" s="2825"/>
      <c r="J16" s="2825"/>
      <c r="K16" s="2825"/>
      <c r="L16" s="2825"/>
      <c r="M16" s="2825"/>
      <c r="N16" s="2825"/>
      <c r="O16" s="2825"/>
      <c r="P16" s="2825"/>
      <c r="Q16" s="2826"/>
      <c r="R16" s="2686"/>
      <c r="S16" s="2433"/>
    </row>
    <row r="17" spans="1:31" ht="11.25" customHeight="1">
      <c r="A17" s="2824" t="s">
        <v>1972</v>
      </c>
      <c r="B17" s="2825"/>
      <c r="C17" s="2825"/>
      <c r="D17" s="2825"/>
      <c r="E17" s="2825"/>
      <c r="F17" s="2825"/>
      <c r="G17" s="2825"/>
      <c r="H17" s="2825"/>
      <c r="I17" s="2825"/>
      <c r="J17" s="2825"/>
      <c r="K17" s="2825"/>
      <c r="L17" s="2825"/>
      <c r="M17" s="2825"/>
      <c r="N17" s="2825"/>
      <c r="O17" s="2825"/>
      <c r="P17" s="2825"/>
      <c r="Q17" s="2826"/>
      <c r="R17" s="2686"/>
      <c r="S17" s="2433"/>
    </row>
    <row r="18" spans="1:31" ht="11.25" customHeight="1">
      <c r="A18" s="2824" t="s">
        <v>1973</v>
      </c>
      <c r="B18" s="2825"/>
      <c r="C18" s="2825"/>
      <c r="D18" s="2825"/>
      <c r="E18" s="2825"/>
      <c r="F18" s="2825"/>
      <c r="G18" s="2825"/>
      <c r="H18" s="2825"/>
      <c r="I18" s="2825"/>
      <c r="J18" s="2825"/>
      <c r="K18" s="2825"/>
      <c r="L18" s="2825"/>
      <c r="M18" s="2825"/>
      <c r="N18" s="2825"/>
      <c r="O18" s="2825"/>
      <c r="P18" s="2825"/>
      <c r="Q18" s="2826"/>
      <c r="R18" s="2686"/>
      <c r="S18" s="2433"/>
    </row>
    <row r="19" spans="1:31" ht="11.25" customHeight="1">
      <c r="A19" s="2824" t="s">
        <v>1974</v>
      </c>
      <c r="B19" s="2825"/>
      <c r="C19" s="2825"/>
      <c r="D19" s="2825"/>
      <c r="E19" s="2825"/>
      <c r="F19" s="2825"/>
      <c r="G19" s="2825"/>
      <c r="H19" s="2825"/>
      <c r="I19" s="2825"/>
      <c r="J19" s="2825"/>
      <c r="K19" s="2825"/>
      <c r="L19" s="2825"/>
      <c r="M19" s="2825"/>
      <c r="N19" s="2825"/>
      <c r="O19" s="2825"/>
      <c r="P19" s="2825"/>
      <c r="Q19" s="2826"/>
      <c r="R19" s="2686"/>
      <c r="S19" s="2433"/>
    </row>
    <row r="20" spans="1:31" ht="11.25" customHeight="1">
      <c r="A20" s="2824" t="s">
        <v>1975</v>
      </c>
      <c r="B20" s="2825"/>
      <c r="C20" s="2825"/>
      <c r="D20" s="2825"/>
      <c r="E20" s="2825"/>
      <c r="F20" s="2825"/>
      <c r="G20" s="2825"/>
      <c r="H20" s="2825"/>
      <c r="I20" s="2825"/>
      <c r="J20" s="2825"/>
      <c r="K20" s="2825"/>
      <c r="L20" s="2825"/>
      <c r="M20" s="2825"/>
      <c r="N20" s="2825"/>
      <c r="O20" s="2825"/>
      <c r="P20" s="2825"/>
      <c r="Q20" s="2826"/>
      <c r="R20" s="2686"/>
      <c r="S20" s="2433"/>
    </row>
    <row r="21" spans="1:31" ht="11.25" customHeight="1">
      <c r="A21" s="2824" t="s">
        <v>1976</v>
      </c>
      <c r="B21" s="2825"/>
      <c r="C21" s="2825"/>
      <c r="D21" s="2825"/>
      <c r="E21" s="2825"/>
      <c r="F21" s="2825"/>
      <c r="G21" s="2825"/>
      <c r="H21" s="2825"/>
      <c r="I21" s="2825"/>
      <c r="J21" s="2825"/>
      <c r="K21" s="2825"/>
      <c r="L21" s="2825"/>
      <c r="M21" s="2825"/>
      <c r="N21" s="2825"/>
      <c r="O21" s="2825"/>
      <c r="P21" s="2825"/>
      <c r="Q21" s="2826"/>
    </row>
    <row r="22" spans="1:31" ht="11.25" customHeight="1">
      <c r="A22" s="2824" t="s">
        <v>1977</v>
      </c>
      <c r="B22" s="2825"/>
      <c r="C22" s="2825"/>
      <c r="D22" s="2825"/>
      <c r="E22" s="2825"/>
      <c r="F22" s="2825"/>
      <c r="G22" s="2825"/>
      <c r="H22" s="2825"/>
      <c r="I22" s="2825"/>
      <c r="J22" s="2825"/>
      <c r="K22" s="2825"/>
      <c r="L22" s="2825"/>
      <c r="M22" s="2825"/>
      <c r="N22" s="2825"/>
      <c r="O22" s="2825"/>
      <c r="P22" s="2825"/>
      <c r="Q22" s="2826"/>
      <c r="R22" s="2686" t="s">
        <v>1983</v>
      </c>
      <c r="S22" s="2433"/>
    </row>
    <row r="23" spans="1:31" ht="11.25" customHeight="1">
      <c r="A23" s="2824" t="s">
        <v>1978</v>
      </c>
      <c r="B23" s="2825"/>
      <c r="C23" s="2825"/>
      <c r="D23" s="2825"/>
      <c r="E23" s="2825"/>
      <c r="F23" s="2825"/>
      <c r="G23" s="2825"/>
      <c r="H23" s="2825"/>
      <c r="I23" s="2825"/>
      <c r="J23" s="2825"/>
      <c r="K23" s="2825"/>
      <c r="L23" s="2825"/>
      <c r="M23" s="2825"/>
      <c r="N23" s="2825"/>
      <c r="O23" s="2825"/>
      <c r="P23" s="2825"/>
      <c r="Q23" s="2826"/>
      <c r="R23" s="2686"/>
      <c r="S23" s="2433"/>
    </row>
    <row r="24" spans="1:31" ht="11.25" customHeight="1">
      <c r="A24" s="2824" t="s">
        <v>1979</v>
      </c>
      <c r="B24" s="2825"/>
      <c r="C24" s="2825"/>
      <c r="D24" s="2825"/>
      <c r="E24" s="2825"/>
      <c r="F24" s="2825"/>
      <c r="G24" s="2825"/>
      <c r="H24" s="2825"/>
      <c r="I24" s="2825"/>
      <c r="J24" s="2825"/>
      <c r="K24" s="2825"/>
      <c r="L24" s="2825"/>
      <c r="M24" s="2825"/>
      <c r="N24" s="2825"/>
      <c r="O24" s="2825"/>
      <c r="P24" s="2825"/>
      <c r="Q24" s="2826"/>
      <c r="R24" s="2686"/>
      <c r="S24" s="2433"/>
    </row>
    <row r="25" spans="1:31" ht="11.25" customHeight="1">
      <c r="A25" s="2824" t="s">
        <v>1980</v>
      </c>
      <c r="B25" s="2825"/>
      <c r="C25" s="2825"/>
      <c r="D25" s="2825"/>
      <c r="E25" s="2825"/>
      <c r="F25" s="2825"/>
      <c r="G25" s="2825"/>
      <c r="H25" s="2825"/>
      <c r="I25" s="2825"/>
      <c r="J25" s="2825"/>
      <c r="K25" s="2825"/>
      <c r="L25" s="2825"/>
      <c r="M25" s="2825"/>
      <c r="N25" s="2825"/>
      <c r="O25" s="2825"/>
      <c r="P25" s="2825"/>
      <c r="Q25" s="2826"/>
      <c r="R25" s="2686"/>
      <c r="S25" s="2433"/>
    </row>
    <row r="26" spans="1:31" ht="11.25" customHeight="1">
      <c r="A26" s="2824" t="s">
        <v>1981</v>
      </c>
      <c r="B26" s="2825"/>
      <c r="C26" s="2825"/>
      <c r="D26" s="2825"/>
      <c r="E26" s="2825"/>
      <c r="F26" s="2825"/>
      <c r="G26" s="2825"/>
      <c r="H26" s="2825"/>
      <c r="I26" s="2825"/>
      <c r="J26" s="2825"/>
      <c r="K26" s="2825"/>
      <c r="L26" s="2825"/>
      <c r="M26" s="2825"/>
      <c r="N26" s="2825"/>
      <c r="O26" s="2825"/>
      <c r="P26" s="2825"/>
      <c r="Q26" s="2826"/>
      <c r="R26" s="2686"/>
      <c r="S26" s="2433"/>
    </row>
    <row r="27" spans="1:31" ht="11.25" customHeight="1">
      <c r="A27" s="2827" t="s">
        <v>1982</v>
      </c>
      <c r="B27" s="2828"/>
      <c r="C27" s="2828"/>
      <c r="D27" s="2828"/>
      <c r="E27" s="2828"/>
      <c r="F27" s="2828"/>
      <c r="G27" s="2828"/>
      <c r="H27" s="2828"/>
      <c r="I27" s="2828"/>
      <c r="J27" s="2828"/>
      <c r="K27" s="2828"/>
      <c r="L27" s="2828"/>
      <c r="M27" s="2828"/>
      <c r="N27" s="2828"/>
      <c r="O27" s="2828"/>
      <c r="P27" s="2828"/>
      <c r="Q27" s="2829"/>
      <c r="R27" s="2686"/>
      <c r="S27" s="2433"/>
    </row>
    <row r="28" spans="1:31" ht="6" customHeight="1"/>
    <row r="29" spans="1:31" ht="14.1" customHeight="1">
      <c r="A29" s="128" t="s">
        <v>598</v>
      </c>
      <c r="B29" s="129" t="s">
        <v>2578</v>
      </c>
      <c r="C29" s="130"/>
      <c r="D29" s="86"/>
      <c r="E29" s="86"/>
      <c r="F29" s="86"/>
      <c r="G29" s="86"/>
      <c r="I29" s="2398"/>
      <c r="J29" s="2398"/>
      <c r="K29" s="2398"/>
      <c r="L29" s="2376"/>
      <c r="M29" s="2376"/>
      <c r="O29" s="131" t="s">
        <v>1820</v>
      </c>
      <c r="P29" s="2718"/>
      <c r="Q29" s="2719"/>
    </row>
    <row r="30" spans="1:31" ht="3" customHeight="1"/>
    <row r="31" spans="1:31" ht="11.25" customHeight="1">
      <c r="B31" s="66" t="s">
        <v>3565</v>
      </c>
      <c r="C31" s="66"/>
      <c r="D31" s="66"/>
      <c r="E31" s="66"/>
      <c r="F31" s="66"/>
      <c r="G31" s="2398"/>
      <c r="H31" s="2398"/>
      <c r="I31" s="2398"/>
      <c r="J31" s="2398"/>
      <c r="K31" s="2376"/>
      <c r="L31" s="2376"/>
      <c r="M31" s="2376"/>
      <c r="N31" s="2376"/>
      <c r="O31" s="2376"/>
      <c r="P31" s="855"/>
      <c r="S31" s="157"/>
      <c r="T31" s="157"/>
    </row>
    <row r="32" spans="1:31" ht="108.75" customHeight="1">
      <c r="A32" s="2707" t="s">
        <v>7137</v>
      </c>
      <c r="B32" s="2708"/>
      <c r="C32" s="2708"/>
      <c r="D32" s="2708"/>
      <c r="E32" s="2708"/>
      <c r="F32" s="2708"/>
      <c r="G32" s="2708"/>
      <c r="H32" s="2708"/>
      <c r="I32" s="2708"/>
      <c r="J32" s="2708"/>
      <c r="K32" s="2708"/>
      <c r="L32" s="2708"/>
      <c r="M32" s="2708"/>
      <c r="N32" s="2708"/>
      <c r="O32" s="2708"/>
      <c r="P32" s="2708"/>
      <c r="Q32" s="2709"/>
      <c r="R32" s="440" t="s">
        <v>1228</v>
      </c>
      <c r="S32" s="441"/>
      <c r="T32" s="157"/>
      <c r="U32" s="135"/>
      <c r="V32" s="135"/>
      <c r="W32" s="135"/>
      <c r="X32" s="135"/>
      <c r="Y32" s="135"/>
      <c r="Z32" s="135"/>
      <c r="AA32" s="135"/>
      <c r="AB32" s="135"/>
      <c r="AC32" s="135"/>
      <c r="AD32" s="135"/>
      <c r="AE32" s="457"/>
    </row>
    <row r="33" spans="1:295" ht="11.25" customHeight="1">
      <c r="B33" s="136" t="s">
        <v>1819</v>
      </c>
      <c r="C33" s="137"/>
      <c r="D33" s="2378"/>
      <c r="E33" s="2378"/>
      <c r="F33" s="2378"/>
      <c r="G33" s="2378"/>
      <c r="H33" s="2378"/>
      <c r="I33" s="2378"/>
      <c r="J33" s="2378"/>
      <c r="K33" s="2378"/>
      <c r="L33" s="2378"/>
      <c r="M33" s="2378"/>
      <c r="N33" s="2378"/>
      <c r="O33" s="2378"/>
      <c r="P33" s="2378"/>
    </row>
    <row r="34" spans="1:295" ht="36" customHeight="1">
      <c r="A34" s="2830"/>
      <c r="B34" s="2830"/>
      <c r="C34" s="2830"/>
      <c r="D34" s="2830"/>
      <c r="E34" s="2830"/>
      <c r="F34" s="2830"/>
      <c r="G34" s="2830"/>
      <c r="H34" s="2830"/>
      <c r="I34" s="2830"/>
      <c r="J34" s="2830"/>
      <c r="K34" s="2830"/>
      <c r="L34" s="2830"/>
      <c r="M34" s="2830"/>
      <c r="N34" s="2830"/>
      <c r="O34" s="2830"/>
      <c r="P34" s="2830"/>
      <c r="Q34" s="2830"/>
      <c r="R34" s="440" t="s">
        <v>1228</v>
      </c>
      <c r="S34" s="441"/>
    </row>
    <row r="35" spans="1:295" ht="3" customHeight="1">
      <c r="B35" s="2398"/>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2630</v>
      </c>
      <c r="C36" s="4"/>
      <c r="D36" s="4"/>
      <c r="E36" s="2378"/>
      <c r="G36" s="585"/>
      <c r="H36" s="585"/>
      <c r="I36" s="585"/>
      <c r="J36" s="42"/>
      <c r="L36" s="586"/>
      <c r="M36" s="586"/>
      <c r="N36" s="586"/>
      <c r="O36" s="131" t="s">
        <v>1820</v>
      </c>
      <c r="P36" s="2718"/>
      <c r="Q36" s="2719"/>
    </row>
    <row r="37" spans="1:295" ht="11.25" customHeight="1">
      <c r="A37" s="2904"/>
      <c r="B37" s="2904"/>
      <c r="C37" s="2904"/>
      <c r="D37" s="2904"/>
      <c r="E37" s="2904"/>
      <c r="F37" s="1511"/>
      <c r="G37" s="2831" t="s">
        <v>2634</v>
      </c>
      <c r="H37" s="2832"/>
      <c r="I37" s="589"/>
      <c r="J37" s="42"/>
      <c r="K37" s="2833" t="s">
        <v>3467</v>
      </c>
      <c r="L37" s="2834"/>
      <c r="M37" s="2834"/>
      <c r="N37" s="2835"/>
    </row>
    <row r="38" spans="1:295" ht="11.25" customHeight="1">
      <c r="A38" s="2904"/>
      <c r="B38" s="2904"/>
      <c r="C38" s="2904"/>
      <c r="D38" s="2904"/>
      <c r="E38" s="2904"/>
      <c r="F38" s="1511"/>
      <c r="G38" s="2836" t="s">
        <v>341</v>
      </c>
      <c r="H38" s="2837"/>
      <c r="I38" s="589"/>
      <c r="J38" s="42"/>
      <c r="K38" s="2838" t="s">
        <v>3468</v>
      </c>
      <c r="L38" s="2839"/>
      <c r="M38" s="2839"/>
      <c r="N38" s="2840"/>
      <c r="P38" s="509" t="s">
        <v>2649</v>
      </c>
      <c r="Q38" s="2254" t="s">
        <v>2884</v>
      </c>
    </row>
    <row r="39" spans="1:295" ht="4.5" customHeight="1">
      <c r="A39" s="1511"/>
      <c r="B39" s="1511"/>
      <c r="C39" s="1511"/>
      <c r="D39" s="1511"/>
      <c r="E39" s="1511"/>
      <c r="F39" s="1511"/>
      <c r="G39" s="213"/>
      <c r="H39" s="213"/>
      <c r="I39" s="213"/>
      <c r="J39" s="42"/>
      <c r="K39" s="2841"/>
      <c r="L39" s="2841"/>
      <c r="M39" s="2841"/>
      <c r="N39" s="2841"/>
      <c r="P39" s="2782" t="s">
        <v>4530</v>
      </c>
      <c r="Q39" s="2782"/>
    </row>
    <row r="40" spans="1:295" s="82" customFormat="1" ht="10.5" customHeight="1">
      <c r="D40" s="590" t="s">
        <v>2633</v>
      </c>
      <c r="E40" s="35"/>
      <c r="F40" s="591" t="s">
        <v>3336</v>
      </c>
      <c r="G40" s="2842" t="s">
        <v>4453</v>
      </c>
      <c r="H40" s="2842"/>
      <c r="I40" s="2842"/>
      <c r="J40" s="35"/>
      <c r="K40" s="591" t="s">
        <v>3336</v>
      </c>
      <c r="L40" s="2842" t="s">
        <v>4452</v>
      </c>
      <c r="M40" s="2842"/>
      <c r="N40" s="2842"/>
      <c r="O40" s="35"/>
      <c r="P40" s="2782"/>
      <c r="Q40" s="2782"/>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3" t="s">
        <v>3250</v>
      </c>
      <c r="B41" s="2823"/>
      <c r="C41" s="2823"/>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168301.19999999998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185131.32</v>
      </c>
      <c r="M41" s="40" t="str">
        <f>CONCATENATE("x ", K41," units = ")</f>
        <v xml:space="preserve">x  units = </v>
      </c>
      <c r="N41" s="1510" t="str">
        <f>IF(K41="","",K41*L41)</f>
        <v/>
      </c>
      <c r="O41" s="2378"/>
      <c r="P41" s="2783"/>
      <c r="Q41" s="2783"/>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3"/>
      <c r="B42" s="2823"/>
      <c r="C42" s="2823"/>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208644.49999999997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229508.94999999998</v>
      </c>
      <c r="M42" s="40" t="str">
        <f>CONCATENATE("x ", K42," units = ")</f>
        <v xml:space="preserve">x  units = </v>
      </c>
      <c r="N42" s="1510" t="str">
        <f>IF(K42="","",K42*L42)</f>
        <v/>
      </c>
      <c r="O42" s="2378"/>
      <c r="P42" s="2843" t="str">
        <f>IF('Part I-Project Information'!$F$38="","",VLOOKUP('Part I-Project Information'!$J$39,'DCA Underwriting Assumptions'!$G$173:$N$332,8,FALSE))</f>
        <v>Columbus</v>
      </c>
      <c r="Q42" s="2844"/>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3"/>
      <c r="B43" s="2823"/>
      <c r="C43" s="2823"/>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249636.24999999997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274599.875</v>
      </c>
      <c r="M43" s="40" t="str">
        <f>CONCATENATE("x ", K43," units = ")</f>
        <v xml:space="preserve">x  units = </v>
      </c>
      <c r="N43" s="1510" t="str">
        <f>IF(K43="","",K43*L43)</f>
        <v/>
      </c>
      <c r="O43" s="2378"/>
      <c r="P43" s="2845"/>
      <c r="Q43" s="2846"/>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3"/>
      <c r="B44" s="2823"/>
      <c r="C44" s="2823"/>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284659.10000000003</v>
      </c>
      <c r="H44" s="40" t="str">
        <f>CONCATENATE("x ", F44," units = ")</f>
        <v xml:space="preserve">x  units = </v>
      </c>
      <c r="I44" s="1510" t="str">
        <f>IF(F44="","",F44*G44)</f>
        <v/>
      </c>
      <c r="J44" s="42"/>
      <c r="K44" s="1509" t="str">
        <f>IF('Part VI-Revenues &amp; Expenses'!$N$150 =0,"",'Part VI-Revenues &amp; Expenses'!$N$150)</f>
        <v/>
      </c>
      <c r="L44" s="824">
        <f>G44*(1+'DCA Underwriting Assumptions'!$Q$12)</f>
        <v>313125.01000000007</v>
      </c>
      <c r="M44" s="40" t="str">
        <f>CONCATENATE("x ", K44," units = ")</f>
        <v xml:space="preserve">x  units = </v>
      </c>
      <c r="N44" s="1510" t="str">
        <f>IF(K44="","",K44*L44)</f>
        <v/>
      </c>
      <c r="O44" s="2378"/>
      <c r="P44" s="2697" t="s">
        <v>4531</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335406.5</v>
      </c>
      <c r="H45" s="40" t="str">
        <f>CONCATENATE("x ", F45," units = ")</f>
        <v xml:space="preserve">x  units = </v>
      </c>
      <c r="I45" s="1510" t="str">
        <f>IF(F45="","",F45*G45)</f>
        <v/>
      </c>
      <c r="J45" s="42"/>
      <c r="K45" s="1509" t="str">
        <f>IF('Part VI-Revenues &amp; Expenses'!$O$150 =0,"",'Part VI-Revenues &amp; Expenses'!$O$150)</f>
        <v/>
      </c>
      <c r="L45" s="824">
        <f>G45*(1+'DCA Underwriting Assumptions'!$Q$12)</f>
        <v>368947.15</v>
      </c>
      <c r="M45" s="40" t="str">
        <f>CONCATENATE("x ", K45," units = ")</f>
        <v xml:space="preserve">x  units = </v>
      </c>
      <c r="N45" s="1510" t="str">
        <f>IF(K45="","",K45*L45)</f>
        <v/>
      </c>
      <c r="O45" s="2378"/>
      <c r="P45" s="2780">
        <f>'Part IV-A-Uses of Funds'!$G$132</f>
        <v>9959143</v>
      </c>
      <c r="Q45" s="2781"/>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8"/>
      <c r="P46" s="2697" t="s">
        <v>4516</v>
      </c>
      <c r="Q46" s="2697"/>
      <c r="R46" s="2696" t="s">
        <v>4532</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3" t="s">
        <v>3245</v>
      </c>
      <c r="B48" s="2823"/>
      <c r="C48" s="2823"/>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144937.19999999998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159430.91999999998</v>
      </c>
      <c r="M48" s="40" t="str">
        <f>CONCATENATE("x ", K48," units = ")</f>
        <v xml:space="preserve">x  units = </v>
      </c>
      <c r="N48" s="1510" t="str">
        <f>IF(K48="","",K48*L48)</f>
        <v/>
      </c>
      <c r="P48" s="2780">
        <f>'Part IV-A-Uses of Funds'!$G$132-'Part IV-A-Uses of Funds'!$G$83-'Part IV-A-Uses of Funds'!$G$105-'Part IV-A-Uses of Funds'!$G$121-'Part IV-A-Uses of Funds'!$G$122-'Part IV-A-Uses of Funds'!$G$123</f>
        <v>9553804</v>
      </c>
      <c r="Q48" s="2781"/>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3"/>
      <c r="B49" s="2823"/>
      <c r="C49" s="2823"/>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181344.65</v>
      </c>
      <c r="H49" s="40" t="str">
        <f>CONCATENATE("x ", F49," units = ")</f>
        <v xml:space="preserve">x  units = </v>
      </c>
      <c r="I49" s="1510" t="str">
        <f>IF(F49="","",F49*G49)</f>
        <v/>
      </c>
      <c r="J49" s="42"/>
      <c r="K49" s="1509" t="str">
        <f>IF('Part VI-Revenues &amp; Expenses'!$L$152 =0,"",'Part VI-Revenues &amp; Expenses'!$L$152)</f>
        <v/>
      </c>
      <c r="L49" s="824">
        <f>G49*(1+'DCA Underwriting Assumptions'!$Q$12)</f>
        <v>199479.11500000002</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3"/>
      <c r="B50" s="2823"/>
      <c r="C50" s="2823"/>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219739.69999999998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241713.67</v>
      </c>
      <c r="M50" s="40" t="str">
        <f>CONCATENATE("x ", K50," units = ")</f>
        <v xml:space="preserve">x  units = </v>
      </c>
      <c r="N50" s="1510" t="str">
        <f>IF(K50="","",K50*L50)</f>
        <v/>
      </c>
      <c r="O50" s="540"/>
      <c r="P50" s="2847"/>
      <c r="Q50" s="2848"/>
      <c r="R50" s="404"/>
      <c r="S50" s="2794" t="s">
        <v>4519</v>
      </c>
      <c r="T50" s="2795"/>
      <c r="U50" s="2795"/>
      <c r="V50" s="279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256490.30000000002</v>
      </c>
      <c r="H51" s="40" t="str">
        <f>CONCATENATE("x ", F51," units = ")</f>
        <v xml:space="preserve">x  units = </v>
      </c>
      <c r="I51" s="1510" t="str">
        <f>IF(F51="","",F51*G51)</f>
        <v/>
      </c>
      <c r="J51" s="42"/>
      <c r="K51" s="1509" t="str">
        <f>IF('Part VI-Revenues &amp; Expenses'!$N$152 =0,"",'Part VI-Revenues &amp; Expenses'!$N$152)</f>
        <v/>
      </c>
      <c r="L51" s="824">
        <f>G51*(1+'DCA Underwriting Assumptions'!$Q$12)</f>
        <v>282139.33</v>
      </c>
      <c r="M51" s="40" t="str">
        <f>CONCATENATE("x ", K51," units = ")</f>
        <v xml:space="preserve">x  units = </v>
      </c>
      <c r="N51" s="1510" t="str">
        <f>IF(K51="","",K51*L51)</f>
        <v/>
      </c>
      <c r="O51" s="540"/>
      <c r="P51" s="2849"/>
      <c r="Q51" s="2850"/>
      <c r="S51" s="2797"/>
      <c r="T51" s="2798"/>
      <c r="U51" s="2798"/>
      <c r="V51" s="279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304225.90000000002</v>
      </c>
      <c r="H52" s="40" t="str">
        <f>CONCATENATE("x ", F52," units = ")</f>
        <v xml:space="preserve">x  units = </v>
      </c>
      <c r="I52" s="1510" t="str">
        <f>IF(F52="","",F52*G52)</f>
        <v/>
      </c>
      <c r="J52" s="42"/>
      <c r="K52" s="1509" t="str">
        <f>IF('Part VI-Revenues &amp; Expenses'!$O$152 =0,"",'Part VI-Revenues &amp; Expenses'!$O$152)</f>
        <v/>
      </c>
      <c r="L52" s="824">
        <f>G52*(1+'DCA Underwriting Assumptions'!$Q$12)</f>
        <v>334648.49000000005</v>
      </c>
      <c r="M52" s="40" t="str">
        <f>CONCATENATE("x ", K52," units = ")</f>
        <v xml:space="preserve">x  units = </v>
      </c>
      <c r="N52" s="1510" t="str">
        <f>IF(K52="","",K52*L52)</f>
        <v/>
      </c>
      <c r="O52" s="540"/>
      <c r="P52" s="2811" t="s">
        <v>3463</v>
      </c>
      <c r="Q52" s="2811"/>
      <c r="S52" s="2797"/>
      <c r="T52" s="2798"/>
      <c r="U52" s="2798"/>
      <c r="V52" s="279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797"/>
      <c r="T53" s="2798"/>
      <c r="U53" s="2798"/>
      <c r="V53" s="279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2797"/>
      <c r="T54" s="2798"/>
      <c r="U54" s="2798"/>
      <c r="V54" s="279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127420.79999999999</v>
      </c>
      <c r="H55" s="40" t="str">
        <f>CONCATENATE("x ", F55," units = ")</f>
        <v xml:space="preserve">x  units = </v>
      </c>
      <c r="I55" s="1510" t="str">
        <f>IF(F55="","",F55*G55)</f>
        <v/>
      </c>
      <c r="J55" s="42"/>
      <c r="K55" s="1509" t="str">
        <f>IF('Part VI-Revenues &amp; Expenses'!$K$154 =0,"",'Part VI-Revenues &amp; Expenses'!$K$154)</f>
        <v/>
      </c>
      <c r="L55" s="824">
        <f>G55*(1+'DCA Underwriting Assumptions'!$Q$12)</f>
        <v>140162.88</v>
      </c>
      <c r="M55" s="40" t="str">
        <f>CONCATENATE("x ", K55," units = ")</f>
        <v xml:space="preserve">x  units = </v>
      </c>
      <c r="N55" s="1510" t="str">
        <f>IF(K55="","",K55*L55)</f>
        <v/>
      </c>
      <c r="O55" s="540"/>
      <c r="P55" s="1051">
        <f>'Part IX Scoring Criteria'!O415</f>
        <v>0</v>
      </c>
      <c r="Q55" s="1051">
        <f>'Part IX Scoring Criteria'!P415</f>
        <v>0</v>
      </c>
      <c r="R55" s="404"/>
      <c r="S55" s="2797"/>
      <c r="T55" s="2798"/>
      <c r="U55" s="2798"/>
      <c r="V55" s="279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166761.5</v>
      </c>
      <c r="H56" s="40" t="str">
        <f>CONCATENATE("x ", F56," units = ")</f>
        <v xml:space="preserve">x  units = </v>
      </c>
      <c r="I56" s="1510" t="str">
        <f>IF(F56="","",F56*G56)</f>
        <v/>
      </c>
      <c r="J56" s="42"/>
      <c r="K56" s="1509" t="str">
        <f>IF('Part VI-Revenues &amp; Expenses'!$L$154 =0,"",'Part VI-Revenues &amp; Expenses'!$L$154)</f>
        <v/>
      </c>
      <c r="L56" s="824">
        <f>G56*(1+'DCA Underwriting Assumptions'!$Q$12)</f>
        <v>183437.65000000002</v>
      </c>
      <c r="M56" s="40" t="str">
        <f>CONCATENATE("x ", K56," units = ")</f>
        <v xml:space="preserve">x  units = </v>
      </c>
      <c r="N56" s="1510" t="str">
        <f>IF(K56="","",K56*L56)</f>
        <v/>
      </c>
      <c r="P56" s="2811" t="s">
        <v>3464</v>
      </c>
      <c r="Q56" s="2811"/>
      <c r="S56" s="2797"/>
      <c r="T56" s="2798"/>
      <c r="U56" s="2798"/>
      <c r="V56" s="279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211096.3</v>
      </c>
      <c r="H57" s="40" t="str">
        <f>CONCATENATE("x ", F57," units = ")</f>
        <v xml:space="preserve">x  units = </v>
      </c>
      <c r="I57" s="1510" t="str">
        <f>IF(F57="","",F57*G57)</f>
        <v/>
      </c>
      <c r="J57" s="42"/>
      <c r="K57" s="1509" t="str">
        <f>IF('Part VI-Revenues &amp; Expenses'!$M$154 =0,"",'Part VI-Revenues &amp; Expenses'!$M$154)</f>
        <v/>
      </c>
      <c r="L57" s="824">
        <f>G57*(1+'DCA Underwriting Assumptions'!$Q$12)</f>
        <v>232205.93</v>
      </c>
      <c r="M57" s="40" t="str">
        <f>CONCATENATE("x ", K57," units = ")</f>
        <v xml:space="preserve">x  units = </v>
      </c>
      <c r="N57" s="1510" t="str">
        <f>IF(K57="","",K57*L57)</f>
        <v/>
      </c>
      <c r="P57" s="1052" t="s">
        <v>3139</v>
      </c>
      <c r="Q57" s="1052" t="s">
        <v>251</v>
      </c>
      <c r="S57" s="2797"/>
      <c r="T57" s="2798"/>
      <c r="U57" s="2798"/>
      <c r="V57" s="279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266068</v>
      </c>
      <c r="H58" s="40" t="str">
        <f>CONCATENATE("x ", F58," units = ")</f>
        <v xml:space="preserve">x  units = </v>
      </c>
      <c r="I58" s="1510" t="str">
        <f>IF(F58="","",F58*G58)</f>
        <v/>
      </c>
      <c r="J58" s="42"/>
      <c r="K58" s="1509" t="str">
        <f>IF('Part VI-Revenues &amp; Expenses'!$N$154 =0,"",'Part VI-Revenues &amp; Expenses'!$N$154)</f>
        <v/>
      </c>
      <c r="L58" s="824">
        <f>G58*(1+'DCA Underwriting Assumptions'!$Q$12)</f>
        <v>292674.80000000005</v>
      </c>
      <c r="M58" s="40" t="str">
        <f>CONCATENATE("x ", K58," units = ")</f>
        <v xml:space="preserve">x  units = </v>
      </c>
      <c r="N58" s="1510" t="str">
        <f>IF(K58="","",K58*L58)</f>
        <v/>
      </c>
      <c r="O58" s="540"/>
      <c r="P58" s="1051">
        <f>'Part IX Scoring Criteria'!O74</f>
        <v>3</v>
      </c>
      <c r="Q58" s="1051">
        <f>'Part IX Scoring Criteria'!P74</f>
        <v>0</v>
      </c>
      <c r="S58" s="2797"/>
      <c r="T58" s="2798"/>
      <c r="U58" s="2798"/>
      <c r="V58" s="279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329800.90000000002</v>
      </c>
      <c r="H59" s="40" t="str">
        <f>CONCATENATE("x ", F59," units = ")</f>
        <v xml:space="preserve">x  units = </v>
      </c>
      <c r="I59" s="1510" t="str">
        <f>IF(F59="","",F59*G59)</f>
        <v/>
      </c>
      <c r="J59" s="42"/>
      <c r="K59" s="1509" t="str">
        <f>IF('Part VI-Revenues &amp; Expenses'!$O$154 =0,"",'Part VI-Revenues &amp; Expenses'!$O$154)</f>
        <v/>
      </c>
      <c r="L59" s="824">
        <f>G59*(1+'DCA Underwriting Assumptions'!$Q$12)</f>
        <v>362780.99000000005</v>
      </c>
      <c r="M59" s="40" t="str">
        <f>CONCATENATE("x ", K59," units = ")</f>
        <v xml:space="preserve">x  units = </v>
      </c>
      <c r="N59" s="1510" t="str">
        <f>IF(K59="","",K59*L59)</f>
        <v/>
      </c>
      <c r="O59" s="540"/>
      <c r="P59" s="2816" t="s">
        <v>2678</v>
      </c>
      <c r="Q59" s="2816"/>
      <c r="S59" s="2797"/>
      <c r="T59" s="2798"/>
      <c r="U59" s="2798"/>
      <c r="V59" s="279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16"/>
      <c r="Q60" s="2816"/>
      <c r="S60" s="2797"/>
      <c r="T60" s="2798"/>
      <c r="U60" s="2798"/>
      <c r="V60" s="279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2816"/>
      <c r="Q61" s="2816"/>
      <c r="R61" s="404"/>
      <c r="S61" s="2797"/>
      <c r="T61" s="2798"/>
      <c r="U61" s="2798"/>
      <c r="V61" s="279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131222.39999999999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144344.64000000001</v>
      </c>
      <c r="M62" s="40" t="str">
        <f>CONCATENATE("x ", K62," units = ")</f>
        <v xml:space="preserve">x  units = </v>
      </c>
      <c r="N62" s="1510" t="str">
        <f>IF(K62="","",K62*L62)</f>
        <v/>
      </c>
      <c r="O62" s="540"/>
      <c r="P62" s="2817"/>
      <c r="Q62" s="2817"/>
      <c r="R62" s="404"/>
      <c r="S62" s="2800"/>
      <c r="T62" s="2801"/>
      <c r="U62" s="2801"/>
      <c r="V62" s="280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f>IF('Part VI-Revenues &amp; Expenses'!$L$155 =0,"",'Part VI-Revenues &amp; Expenses'!$L$155)</f>
        <v>24</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176056.94999999998</v>
      </c>
      <c r="H63" s="40" t="str">
        <f>CONCATENATE("x ", F63," units = ")</f>
        <v xml:space="preserve">x 24 units = </v>
      </c>
      <c r="I63" s="1510">
        <f>IF(F63="","",F63*G63)</f>
        <v>4225366.8</v>
      </c>
      <c r="J63" s="42"/>
      <c r="K63" s="1509" t="str">
        <f>IF('Part VI-Revenues &amp; Expenses'!$L$156 =0,"",'Part VI-Revenues &amp; Expenses'!$L$156)</f>
        <v/>
      </c>
      <c r="L63" s="824">
        <f>G63*(1+'DCA Underwriting Assumptions'!$Q$12)</f>
        <v>193662.64499999999</v>
      </c>
      <c r="M63" s="40" t="str">
        <f>CONCATENATE("x ", K63," units = ")</f>
        <v xml:space="preserve">x  units = </v>
      </c>
      <c r="N63" s="1510" t="str">
        <f>IF(K63="","",K63*L63)</f>
        <v/>
      </c>
      <c r="O63" s="540"/>
      <c r="P63" s="2818">
        <f>IF(P50&gt;1,P50, IF(OR('Part IX Scoring Criteria'!$O$74='Part IX Scoring Criteria'!$M$74,AND('Part IV-A-Uses of Funds'!$T$172="Yes",'Part IX Scoring Criteria'!$O$415&gt;0)),H69+M69,H69))</f>
        <v>9657957.5999999996</v>
      </c>
      <c r="Q63" s="281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24</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226357.94999999998</v>
      </c>
      <c r="H64" s="40" t="str">
        <f>CONCATENATE("x ", F64," units = ")</f>
        <v xml:space="preserve">x 24 units = </v>
      </c>
      <c r="I64" s="1510">
        <f>IF(F64="","",F64*G64)</f>
        <v>5432590.7999999998</v>
      </c>
      <c r="J64" s="42"/>
      <c r="K64" s="1509" t="str">
        <f>IF('Part VI-Revenues &amp; Expenses'!$M$156 =0,"",'Part VI-Revenues &amp; Expenses'!$M$156)</f>
        <v/>
      </c>
      <c r="L64" s="824">
        <f>G64*(1+'DCA Underwriting Assumptions'!$Q$12)</f>
        <v>248993.745</v>
      </c>
      <c r="M64" s="40" t="str">
        <f>CONCATENATE("x ", K64," units = ")</f>
        <v xml:space="preserve">x  units = </v>
      </c>
      <c r="N64" s="1510" t="str">
        <f>IF(K64="","",K64*L64)</f>
        <v/>
      </c>
      <c r="P64" s="2820"/>
      <c r="Q64" s="282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288689.5</v>
      </c>
      <c r="H65" s="40" t="str">
        <f>CONCATENATE("x ", F65," units = ")</f>
        <v xml:space="preserve">x  units = </v>
      </c>
      <c r="I65" s="1510" t="str">
        <f>IF(F65="","",F65*G65)</f>
        <v/>
      </c>
      <c r="J65" s="42"/>
      <c r="K65" s="1509" t="str">
        <f>IF('Part VI-Revenues &amp; Expenses'!$N$156 =0,"",'Part VI-Revenues &amp; Expenses'!$N$156)</f>
        <v/>
      </c>
      <c r="L65" s="824">
        <f>G65*(1+'DCA Underwriting Assumptions'!$Q$12)</f>
        <v>317558.45</v>
      </c>
      <c r="M65" s="40" t="str">
        <f>CONCATENATE("x ", K65," units = ")</f>
        <v xml:space="preserve">x  units = </v>
      </c>
      <c r="N65" s="1510" t="str">
        <f>IF(K65="","",K65*L65)</f>
        <v/>
      </c>
      <c r="P65" s="2807" t="s">
        <v>3877</v>
      </c>
      <c r="Q65" s="280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360861.60000000003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396947.76000000007</v>
      </c>
      <c r="M66" s="40" t="str">
        <f>CONCATENATE("x ", K66," units = ")</f>
        <v xml:space="preserve">x  units = </v>
      </c>
      <c r="N66" s="1510" t="str">
        <f>IF(K66="","",K66*L66)</f>
        <v/>
      </c>
      <c r="O66" s="540"/>
      <c r="P66" s="2808"/>
      <c r="Q66" s="280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48</v>
      </c>
      <c r="G67" s="592"/>
      <c r="H67" s="1045"/>
      <c r="I67" s="1048">
        <f>SUM(I62:I66)</f>
        <v>9657957.5999999996</v>
      </c>
      <c r="J67" s="1047"/>
      <c r="K67" s="1044">
        <f>SUM(K62:K66)</f>
        <v>0</v>
      </c>
      <c r="L67" s="1047"/>
      <c r="M67" s="1045"/>
      <c r="N67" s="1048">
        <f>SUM(N62:N66)</f>
        <v>0</v>
      </c>
      <c r="O67" s="540"/>
      <c r="P67" s="2808"/>
      <c r="Q67" s="280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2808"/>
      <c r="Q68" s="280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48</v>
      </c>
      <c r="G69" s="329"/>
      <c r="H69" s="2810">
        <f>I46+I53+I60+I67</f>
        <v>9657957.5999999996</v>
      </c>
      <c r="I69" s="2810"/>
      <c r="J69" s="2810"/>
      <c r="K69" s="583">
        <f>K46+K53+K60+K67</f>
        <v>0</v>
      </c>
      <c r="L69" s="584"/>
      <c r="M69" s="2810">
        <f>N46+N53+N60+N67</f>
        <v>0</v>
      </c>
      <c r="N69" s="2810"/>
      <c r="O69" s="2810"/>
      <c r="P69" s="2808"/>
      <c r="Q69" s="280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8"/>
      <c r="J70" s="2398"/>
      <c r="K70" s="136" t="s">
        <v>1819</v>
      </c>
      <c r="L70" s="2376"/>
      <c r="M70" s="2376"/>
      <c r="N70" s="2376"/>
      <c r="O70" s="2376"/>
      <c r="P70" s="2809"/>
      <c r="Q70" s="2809"/>
    </row>
    <row r="71" spans="1:295" ht="10.5" customHeight="1">
      <c r="A71" s="2707" t="s">
        <v>7042</v>
      </c>
      <c r="B71" s="2708"/>
      <c r="C71" s="2708"/>
      <c r="D71" s="2708"/>
      <c r="E71" s="2708"/>
      <c r="F71" s="2708"/>
      <c r="G71" s="2708"/>
      <c r="H71" s="2708"/>
      <c r="I71" s="2708"/>
      <c r="J71" s="2709"/>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4555</v>
      </c>
      <c r="H73" s="2378"/>
      <c r="J73" s="2812" t="str">
        <f>'Part I-Project Information'!$H$82</f>
        <v>HFOP</v>
      </c>
      <c r="K73" s="2812"/>
      <c r="L73" s="2812"/>
      <c r="O73" s="131" t="s">
        <v>1820</v>
      </c>
      <c r="P73" s="2718"/>
      <c r="Q73" s="2719"/>
    </row>
    <row r="74" spans="1:295" ht="10.5" customHeight="1">
      <c r="B74" s="95" t="s">
        <v>3565</v>
      </c>
      <c r="D74" s="95"/>
      <c r="E74" s="95"/>
      <c r="F74" s="95"/>
      <c r="G74" s="95"/>
      <c r="H74" s="40"/>
      <c r="I74" s="2398"/>
      <c r="J74" s="2398"/>
      <c r="K74" s="136" t="s">
        <v>1819</v>
      </c>
      <c r="L74" s="2376"/>
      <c r="M74" s="2376"/>
      <c r="N74" s="2376"/>
      <c r="O74" s="2376"/>
      <c r="P74" s="2376"/>
      <c r="Q74" s="855"/>
    </row>
    <row r="75" spans="1:295" ht="10.5" customHeight="1">
      <c r="A75" s="2707" t="s">
        <v>7102</v>
      </c>
      <c r="B75" s="2708"/>
      <c r="C75" s="2708"/>
      <c r="D75" s="2708"/>
      <c r="E75" s="2708"/>
      <c r="F75" s="2708"/>
      <c r="G75" s="2708"/>
      <c r="H75" s="2708"/>
      <c r="I75" s="2708"/>
      <c r="J75" s="2709"/>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6"/>
      <c r="B76" s="2398"/>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2579</v>
      </c>
      <c r="C77" s="113"/>
      <c r="D77" s="2378"/>
      <c r="E77" s="2378"/>
      <c r="F77" s="2378"/>
      <c r="G77" s="2378"/>
      <c r="H77" s="2378"/>
      <c r="I77" s="2378"/>
      <c r="J77" s="2378"/>
      <c r="L77" s="1594" t="s">
        <v>4249</v>
      </c>
      <c r="M77" s="1595" t="s">
        <v>4250</v>
      </c>
      <c r="O77" s="131" t="s">
        <v>1820</v>
      </c>
      <c r="P77" s="2718"/>
      <c r="Q77" s="2719"/>
    </row>
    <row r="78" spans="1:295" ht="1.5" customHeight="1"/>
    <row r="79" spans="1:295" ht="12" customHeight="1">
      <c r="A79" s="141" t="s">
        <v>1935</v>
      </c>
      <c r="B79" s="2720" t="s">
        <v>4242</v>
      </c>
      <c r="C79" s="2720"/>
      <c r="D79" s="2720"/>
      <c r="E79" s="2720"/>
      <c r="F79" s="2720"/>
      <c r="G79" s="2720"/>
      <c r="H79" s="2720"/>
      <c r="I79" s="2720"/>
      <c r="J79" s="2720"/>
      <c r="K79" s="147"/>
      <c r="L79" s="429" t="s">
        <v>2806</v>
      </c>
      <c r="M79" s="1463">
        <v>2</v>
      </c>
      <c r="N79" s="389" t="s">
        <v>4700</v>
      </c>
      <c r="P79" s="2813" t="s">
        <v>7043</v>
      </c>
      <c r="Q79" s="2705"/>
    </row>
    <row r="80" spans="1:295" ht="12" customHeight="1">
      <c r="A80" s="141"/>
      <c r="B80" s="2720"/>
      <c r="C80" s="2720"/>
      <c r="D80" s="2720"/>
      <c r="E80" s="2720"/>
      <c r="F80" s="2720"/>
      <c r="G80" s="2720"/>
      <c r="H80" s="2720"/>
      <c r="I80" s="2720"/>
      <c r="J80" s="2720"/>
      <c r="K80" s="147"/>
      <c r="L80" s="429" t="s">
        <v>4248</v>
      </c>
      <c r="M80" s="1464">
        <v>4</v>
      </c>
      <c r="O80" s="142"/>
      <c r="P80" s="2814"/>
      <c r="Q80" s="270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4701</v>
      </c>
      <c r="O82" s="897"/>
      <c r="P82" s="2256" t="s">
        <v>7044</v>
      </c>
      <c r="Q82" s="518"/>
    </row>
    <row r="83" spans="1:31" ht="12" customHeight="1">
      <c r="A83" s="1412"/>
      <c r="B83" s="1488" t="s">
        <v>1695</v>
      </c>
      <c r="C83" s="389" t="s">
        <v>4252</v>
      </c>
      <c r="D83" s="1414"/>
      <c r="E83" s="1414"/>
      <c r="F83" s="1414"/>
      <c r="G83" s="1414"/>
      <c r="H83" s="1414"/>
      <c r="I83" s="1414"/>
      <c r="J83" s="1414"/>
      <c r="K83" s="1413"/>
      <c r="L83" s="896"/>
      <c r="N83" s="389" t="s">
        <v>4702</v>
      </c>
      <c r="O83" s="897"/>
      <c r="P83" s="2257" t="s">
        <v>7043</v>
      </c>
      <c r="Q83" s="519"/>
    </row>
    <row r="84" spans="1:31" ht="12" customHeight="1">
      <c r="A84" s="1411"/>
      <c r="B84" s="468" t="s">
        <v>1696</v>
      </c>
      <c r="C84" s="389" t="s">
        <v>4253</v>
      </c>
      <c r="E84" s="1414"/>
      <c r="F84" s="1414"/>
      <c r="G84" s="1414"/>
      <c r="H84" s="1414"/>
      <c r="I84" s="1414"/>
      <c r="J84" s="1414"/>
      <c r="K84" s="1413"/>
      <c r="L84" s="896"/>
      <c r="M84" s="897"/>
      <c r="N84" s="389" t="s">
        <v>4703</v>
      </c>
      <c r="O84" s="897"/>
      <c r="P84" s="2257" t="s">
        <v>7043</v>
      </c>
      <c r="Q84" s="519"/>
    </row>
    <row r="85" spans="1:31" ht="11.1" customHeight="1">
      <c r="A85" s="143"/>
      <c r="B85" s="468" t="s">
        <v>2304</v>
      </c>
      <c r="C85" s="468" t="s">
        <v>4256</v>
      </c>
      <c r="D85" s="133"/>
      <c r="E85" s="133"/>
      <c r="F85" s="133"/>
      <c r="G85" s="133"/>
      <c r="H85" s="133"/>
      <c r="I85" s="42"/>
      <c r="J85" s="42"/>
      <c r="N85" s="389" t="s">
        <v>4704</v>
      </c>
      <c r="O85" s="897"/>
      <c r="P85" s="2258" t="s">
        <v>7045</v>
      </c>
      <c r="Q85" s="520"/>
    </row>
    <row r="86" spans="1:31" ht="11.1" customHeight="1">
      <c r="A86" s="143"/>
      <c r="B86" s="468"/>
      <c r="C86" s="389" t="s">
        <v>4257</v>
      </c>
      <c r="D86" s="133"/>
      <c r="E86" s="133"/>
      <c r="F86" s="133"/>
      <c r="G86" s="133"/>
      <c r="H86" s="133"/>
      <c r="I86" s="42"/>
      <c r="J86" s="42"/>
      <c r="L86" s="2698"/>
      <c r="M86" s="2699"/>
      <c r="N86" s="2699"/>
      <c r="O86" s="2699"/>
      <c r="P86" s="2699"/>
      <c r="Q86" s="2700"/>
    </row>
    <row r="87" spans="1:31" ht="11.25" customHeight="1">
      <c r="A87" s="143"/>
      <c r="B87" s="468" t="s">
        <v>1516</v>
      </c>
      <c r="C87" s="2720" t="s">
        <v>4254</v>
      </c>
      <c r="D87" s="2720"/>
      <c r="E87" s="2720"/>
      <c r="F87" s="2720"/>
      <c r="G87" s="2720"/>
      <c r="H87" s="2720"/>
      <c r="I87" s="2720"/>
      <c r="J87" s="2720"/>
      <c r="K87" s="2720"/>
      <c r="L87" s="2720"/>
      <c r="M87" s="515"/>
      <c r="N87" s="389" t="s">
        <v>4705</v>
      </c>
      <c r="O87" s="897"/>
      <c r="P87" s="2259" t="s">
        <v>7043</v>
      </c>
      <c r="Q87" s="517"/>
    </row>
    <row r="88" spans="1:31" ht="11.25" customHeight="1">
      <c r="A88" s="47"/>
      <c r="C88" s="2720"/>
      <c r="D88" s="2720"/>
      <c r="E88" s="2720"/>
      <c r="F88" s="2720"/>
      <c r="G88" s="2720"/>
      <c r="H88" s="2720"/>
      <c r="I88" s="2720"/>
      <c r="J88" s="2720"/>
      <c r="K88" s="2720"/>
      <c r="L88" s="2720"/>
      <c r="M88" s="515"/>
    </row>
    <row r="89" spans="1:31" ht="10.5" customHeight="1">
      <c r="B89" s="95" t="s">
        <v>3565</v>
      </c>
      <c r="D89" s="95"/>
      <c r="E89" s="95"/>
      <c r="F89" s="95"/>
      <c r="G89" s="95"/>
      <c r="H89" s="40"/>
      <c r="I89" s="2398"/>
      <c r="J89" s="2398"/>
      <c r="K89" s="136" t="s">
        <v>1819</v>
      </c>
      <c r="L89" s="2376"/>
      <c r="M89" s="2376"/>
      <c r="N89" s="2376"/>
      <c r="O89" s="2376"/>
      <c r="P89" s="2376"/>
      <c r="Q89" s="855"/>
    </row>
    <row r="90" spans="1:31" ht="25.5" customHeight="1">
      <c r="A90" s="2707" t="s">
        <v>7046</v>
      </c>
      <c r="B90" s="2708"/>
      <c r="C90" s="2708"/>
      <c r="D90" s="2708"/>
      <c r="E90" s="2708"/>
      <c r="F90" s="2708"/>
      <c r="G90" s="2708"/>
      <c r="H90" s="2708"/>
      <c r="I90" s="2708"/>
      <c r="J90" s="2709"/>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6"/>
      <c r="B91" s="2398"/>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4694</v>
      </c>
      <c r="C92" s="2371"/>
      <c r="D92" s="2378"/>
      <c r="E92" s="2378"/>
      <c r="F92" s="2378"/>
      <c r="G92" s="2378"/>
      <c r="H92" s="1627" t="str">
        <f>'Part I-Project Information'!$K$40</f>
        <v>Urban</v>
      </c>
      <c r="J92" s="47" t="s">
        <v>4699</v>
      </c>
      <c r="K92" s="587" t="str">
        <f>'Part I-Project Information'!$H$105</f>
        <v>Flexible</v>
      </c>
      <c r="L92" s="63" t="s">
        <v>4308</v>
      </c>
      <c r="M92" s="1466" t="str">
        <f>'Part I-Project Information'!$H$82</f>
        <v>HFOP</v>
      </c>
      <c r="O92" s="131" t="s">
        <v>1820</v>
      </c>
      <c r="P92" s="2718"/>
      <c r="Q92" s="2719"/>
    </row>
    <row r="93" spans="1:31" ht="3" customHeight="1"/>
    <row r="94" spans="1:31" ht="10.5" customHeight="1">
      <c r="A94" s="47" t="s">
        <v>1935</v>
      </c>
      <c r="B94" s="39" t="s">
        <v>2395</v>
      </c>
      <c r="D94" s="133"/>
      <c r="E94" s="133"/>
      <c r="F94" s="133"/>
      <c r="G94" s="133"/>
      <c r="H94" s="133"/>
      <c r="I94" s="42"/>
      <c r="J94" s="42"/>
      <c r="K94" s="42"/>
      <c r="L94" s="455" t="s">
        <v>1935</v>
      </c>
      <c r="M94" s="2727" t="s">
        <v>7103</v>
      </c>
      <c r="N94" s="2788"/>
      <c r="O94" s="2788"/>
      <c r="P94" s="2789"/>
      <c r="Q94" s="518"/>
    </row>
    <row r="95" spans="1:31" ht="10.5" customHeight="1">
      <c r="A95" s="47" t="s">
        <v>1937</v>
      </c>
      <c r="B95" s="52" t="s">
        <v>4556</v>
      </c>
      <c r="D95" s="133"/>
      <c r="E95" s="133"/>
      <c r="F95" s="133"/>
      <c r="L95" s="455" t="s">
        <v>1937</v>
      </c>
      <c r="M95" s="2790" t="s">
        <v>7138</v>
      </c>
      <c r="N95" s="2791"/>
      <c r="O95" s="2791"/>
      <c r="P95" s="2792"/>
      <c r="Q95" s="519"/>
    </row>
    <row r="96" spans="1:31" ht="10.5" customHeight="1">
      <c r="A96" s="47" t="s">
        <v>731</v>
      </c>
      <c r="B96" s="52" t="s">
        <v>2777</v>
      </c>
      <c r="D96" s="133"/>
      <c r="E96" s="133"/>
      <c r="F96" s="133"/>
      <c r="L96" s="455" t="s">
        <v>731</v>
      </c>
      <c r="M96" s="2803">
        <v>0.9</v>
      </c>
      <c r="N96" s="2804"/>
      <c r="O96" s="2804"/>
      <c r="P96" s="2805"/>
      <c r="Q96" s="519"/>
    </row>
    <row r="97" spans="1:32" ht="10.5" customHeight="1">
      <c r="A97" s="47" t="s">
        <v>2064</v>
      </c>
      <c r="B97" s="52" t="s">
        <v>3664</v>
      </c>
      <c r="D97" s="133"/>
      <c r="E97" s="133"/>
      <c r="F97" s="133"/>
      <c r="L97" s="455" t="s">
        <v>3665</v>
      </c>
      <c r="M97" s="2260">
        <v>0.11700000000000001</v>
      </c>
      <c r="N97" s="1053"/>
      <c r="O97" s="1054" t="s">
        <v>3804</v>
      </c>
      <c r="P97" s="2261" t="s">
        <v>948</v>
      </c>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262" t="s">
        <v>7104</v>
      </c>
      <c r="E100" s="2793" t="s">
        <v>7105</v>
      </c>
      <c r="F100" s="2793"/>
      <c r="G100" s="2793"/>
      <c r="H100" s="65" t="s">
        <v>1696</v>
      </c>
      <c r="I100" s="2262" t="s">
        <v>7108</v>
      </c>
      <c r="J100" s="2793" t="s">
        <v>7109</v>
      </c>
      <c r="K100" s="2793"/>
      <c r="L100" s="2793"/>
      <c r="M100" s="64" t="s">
        <v>1516</v>
      </c>
      <c r="N100" s="2262" t="s">
        <v>7112</v>
      </c>
      <c r="O100" s="2793" t="s">
        <v>7113</v>
      </c>
      <c r="P100" s="2793"/>
      <c r="Q100" s="2793"/>
    </row>
    <row r="101" spans="1:32" ht="10.5" customHeight="1">
      <c r="C101" s="65" t="s">
        <v>1695</v>
      </c>
      <c r="D101" s="2263" t="s">
        <v>7106</v>
      </c>
      <c r="E101" s="2815" t="s">
        <v>7107</v>
      </c>
      <c r="F101" s="2815"/>
      <c r="G101" s="2815"/>
      <c r="H101" s="455" t="s">
        <v>2304</v>
      </c>
      <c r="I101" s="2263" t="s">
        <v>7110</v>
      </c>
      <c r="J101" s="2815" t="s">
        <v>7111</v>
      </c>
      <c r="K101" s="2815"/>
      <c r="L101" s="2815"/>
      <c r="M101" s="64" t="s">
        <v>1517</v>
      </c>
      <c r="N101" s="2263" t="s">
        <v>7114</v>
      </c>
      <c r="O101" s="2815" t="s">
        <v>7115</v>
      </c>
      <c r="P101" s="2815"/>
      <c r="Q101" s="2815"/>
    </row>
    <row r="102" spans="1:32" ht="10.5" customHeight="1">
      <c r="A102" s="47" t="s">
        <v>1693</v>
      </c>
      <c r="B102" s="52" t="s">
        <v>0</v>
      </c>
      <c r="D102" s="133"/>
      <c r="E102" s="133"/>
      <c r="F102" s="133"/>
      <c r="G102" s="133"/>
      <c r="H102" s="133"/>
      <c r="I102" s="42"/>
      <c r="J102" s="42"/>
      <c r="K102" s="133"/>
      <c r="L102" s="2382"/>
      <c r="M102" s="2382"/>
      <c r="O102" s="455" t="s">
        <v>1693</v>
      </c>
      <c r="P102" s="2264" t="s">
        <v>2884</v>
      </c>
      <c r="Q102" s="1553"/>
    </row>
    <row r="103" spans="1:32" s="132" customFormat="1" ht="58.5" customHeight="1">
      <c r="A103" s="141" t="s">
        <v>1899</v>
      </c>
      <c r="B103" s="2710" t="s">
        <v>4791</v>
      </c>
      <c r="C103" s="2710"/>
      <c r="D103" s="2710"/>
      <c r="E103" s="2710"/>
      <c r="F103" s="2710"/>
      <c r="G103" s="2710"/>
      <c r="H103" s="2710"/>
      <c r="I103" s="2710"/>
      <c r="J103" s="2710"/>
      <c r="K103" s="2710"/>
      <c r="L103" s="2710"/>
      <c r="M103" s="2710"/>
      <c r="N103" s="2710"/>
      <c r="O103" s="1725" t="s">
        <v>4789</v>
      </c>
      <c r="P103" s="2381" t="s">
        <v>2884</v>
      </c>
      <c r="Q103" s="2380"/>
      <c r="AE103" s="458"/>
      <c r="AF103" s="458"/>
    </row>
    <row r="104" spans="1:32" s="42" customFormat="1" ht="13.5" customHeight="1">
      <c r="A104" s="47"/>
      <c r="B104" s="1488" t="s">
        <v>1695</v>
      </c>
      <c r="C104" s="52" t="s">
        <v>4790</v>
      </c>
      <c r="D104" s="133"/>
      <c r="E104" s="133"/>
      <c r="F104" s="133"/>
      <c r="G104" s="133"/>
      <c r="H104" s="133"/>
      <c r="K104" s="133"/>
      <c r="L104" s="2382"/>
      <c r="M104" s="2382"/>
      <c r="O104" s="455" t="s">
        <v>1695</v>
      </c>
      <c r="P104" s="2258" t="s">
        <v>2887</v>
      </c>
      <c r="Q104" s="520"/>
      <c r="AE104" s="50"/>
      <c r="AF104" s="50"/>
    </row>
    <row r="105" spans="1:32" ht="9.75" customHeight="1">
      <c r="B105" s="140" t="s">
        <v>3565</v>
      </c>
      <c r="D105" s="140"/>
      <c r="E105" s="140"/>
      <c r="F105" s="140"/>
      <c r="G105" s="140"/>
      <c r="H105" s="40"/>
      <c r="I105" s="2398"/>
      <c r="J105" s="2398"/>
      <c r="K105" s="2398"/>
      <c r="L105" s="2376"/>
      <c r="M105" s="2376"/>
      <c r="N105" s="2376"/>
      <c r="O105" s="2376"/>
      <c r="P105" s="2376"/>
      <c r="Q105" s="855"/>
    </row>
    <row r="106" spans="1:32" ht="66" customHeight="1">
      <c r="A106" s="2707" t="s">
        <v>7116</v>
      </c>
      <c r="B106" s="2708"/>
      <c r="C106" s="2708"/>
      <c r="D106" s="2708"/>
      <c r="E106" s="2708"/>
      <c r="F106" s="2708"/>
      <c r="G106" s="2708"/>
      <c r="H106" s="2708"/>
      <c r="I106" s="2708"/>
      <c r="J106" s="2708"/>
      <c r="K106" s="2708"/>
      <c r="L106" s="2708"/>
      <c r="M106" s="2708"/>
      <c r="N106" s="2708"/>
      <c r="O106" s="2708"/>
      <c r="P106" s="2708"/>
      <c r="Q106" s="2709"/>
      <c r="U106" s="135"/>
      <c r="V106" s="135"/>
      <c r="W106" s="135"/>
      <c r="X106" s="135"/>
      <c r="Y106" s="135"/>
      <c r="Z106" s="135"/>
      <c r="AA106" s="135"/>
      <c r="AB106" s="135"/>
      <c r="AC106" s="135"/>
      <c r="AD106" s="135"/>
      <c r="AE106" s="457"/>
    </row>
    <row r="107" spans="1:32" ht="9.75" customHeight="1">
      <c r="B107" s="136" t="s">
        <v>1819</v>
      </c>
      <c r="C107" s="137"/>
      <c r="D107" s="2378"/>
      <c r="E107" s="2378"/>
      <c r="F107" s="2378"/>
      <c r="G107" s="2378"/>
      <c r="H107" s="2378"/>
      <c r="I107" s="2378"/>
      <c r="J107" s="2378"/>
      <c r="K107" s="2378"/>
      <c r="L107" s="2378"/>
      <c r="M107" s="2378"/>
      <c r="N107" s="2378"/>
      <c r="O107" s="2378"/>
      <c r="P107" s="2378"/>
      <c r="Q107" s="2378"/>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1" t="s">
        <v>516</v>
      </c>
      <c r="B109" s="2371" t="s">
        <v>2580</v>
      </c>
      <c r="C109" s="2371"/>
      <c r="D109" s="2378"/>
      <c r="E109" s="2378"/>
      <c r="F109" s="2378"/>
      <c r="G109" s="2378"/>
      <c r="H109" s="2378"/>
      <c r="I109" s="2378"/>
      <c r="J109" s="2378"/>
      <c r="K109" s="2378"/>
      <c r="L109" s="2378"/>
      <c r="M109" s="2378"/>
      <c r="O109" s="131" t="s">
        <v>1820</v>
      </c>
      <c r="P109" s="2718"/>
      <c r="Q109" s="2719"/>
    </row>
    <row r="110" spans="1:32" ht="3" customHeight="1"/>
    <row r="111" spans="1:32" ht="10.5" customHeight="1">
      <c r="A111" s="47" t="s">
        <v>1935</v>
      </c>
      <c r="B111" s="52" t="s">
        <v>4706</v>
      </c>
      <c r="C111" s="52"/>
      <c r="E111" s="52"/>
      <c r="F111" s="52"/>
      <c r="G111" s="52"/>
      <c r="H111" s="52"/>
      <c r="I111" s="52"/>
      <c r="J111" s="52"/>
      <c r="K111" s="52"/>
      <c r="L111" s="856"/>
      <c r="M111" s="856"/>
      <c r="O111" s="455" t="s">
        <v>1935</v>
      </c>
      <c r="P111" s="2259" t="s">
        <v>2887</v>
      </c>
      <c r="Q111" s="1553"/>
    </row>
    <row r="112" spans="1:32" ht="10.5" customHeight="1">
      <c r="B112" s="1488" t="s">
        <v>1694</v>
      </c>
      <c r="C112" s="39" t="s">
        <v>538</v>
      </c>
      <c r="E112" s="42"/>
      <c r="F112" s="42"/>
      <c r="G112" s="42"/>
      <c r="H112" s="42"/>
      <c r="I112" s="42"/>
      <c r="L112" s="65" t="s">
        <v>539</v>
      </c>
      <c r="M112" s="2698"/>
      <c r="N112" s="2699"/>
      <c r="O112" s="2699"/>
      <c r="P112" s="2767"/>
      <c r="Q112" s="519"/>
    </row>
    <row r="113" spans="1:32" s="42" customFormat="1" ht="9.75" customHeight="1">
      <c r="B113" s="145" t="s">
        <v>1695</v>
      </c>
      <c r="C113" s="36" t="s">
        <v>4374</v>
      </c>
      <c r="O113" s="65" t="s">
        <v>1695</v>
      </c>
      <c r="P113" s="2264"/>
      <c r="Q113" s="1553"/>
      <c r="AE113" s="50"/>
      <c r="AF113" s="50"/>
    </row>
    <row r="114" spans="1:32" s="42" customFormat="1" ht="9.75" customHeight="1">
      <c r="B114" s="1488" t="s">
        <v>1696</v>
      </c>
      <c r="C114" s="36" t="s">
        <v>4742</v>
      </c>
      <c r="O114" s="148" t="s">
        <v>1696</v>
      </c>
      <c r="P114" s="2265"/>
      <c r="Q114" s="1724"/>
      <c r="AE114" s="50"/>
      <c r="AF114" s="50"/>
    </row>
    <row r="115" spans="1:32" ht="10.5" customHeight="1">
      <c r="A115" s="2398"/>
      <c r="B115" s="468" t="s">
        <v>2304</v>
      </c>
      <c r="C115" s="856" t="s">
        <v>4258</v>
      </c>
      <c r="D115" s="984"/>
      <c r="E115" s="984"/>
      <c r="F115" s="984"/>
      <c r="G115" s="984"/>
      <c r="H115" s="984"/>
      <c r="I115" s="984"/>
      <c r="J115" s="984"/>
      <c r="K115" s="984"/>
      <c r="L115" s="984"/>
      <c r="M115" s="984"/>
      <c r="O115" s="160" t="s">
        <v>2304</v>
      </c>
      <c r="P115" s="2266"/>
      <c r="Q115" s="519"/>
    </row>
    <row r="116" spans="1:32" ht="10.5" customHeight="1">
      <c r="A116" s="2398"/>
      <c r="B116" s="468" t="s">
        <v>1516</v>
      </c>
      <c r="C116" s="856" t="s">
        <v>3351</v>
      </c>
      <c r="D116" s="984"/>
      <c r="E116" s="984"/>
      <c r="F116" s="984"/>
      <c r="G116" s="984"/>
      <c r="H116" s="984"/>
      <c r="I116" s="984"/>
      <c r="J116" s="984"/>
      <c r="K116" s="984"/>
      <c r="L116" s="984"/>
      <c r="M116" s="984"/>
      <c r="O116" s="160" t="s">
        <v>1516</v>
      </c>
      <c r="P116" s="2257"/>
      <c r="Q116" s="519"/>
    </row>
    <row r="117" spans="1:32" ht="10.5" customHeight="1">
      <c r="A117" s="2398"/>
      <c r="B117" s="468" t="s">
        <v>1517</v>
      </c>
      <c r="C117" s="856" t="s">
        <v>3352</v>
      </c>
      <c r="D117" s="984"/>
      <c r="E117" s="984"/>
      <c r="F117" s="984"/>
      <c r="G117" s="984"/>
      <c r="H117" s="984"/>
      <c r="I117" s="984"/>
      <c r="J117" s="984"/>
      <c r="K117" s="984"/>
      <c r="L117" s="984"/>
      <c r="M117" s="984"/>
      <c r="O117" s="160" t="s">
        <v>1517</v>
      </c>
      <c r="P117" s="2257"/>
      <c r="Q117" s="519"/>
    </row>
    <row r="118" spans="1:32" ht="10.5" customHeight="1">
      <c r="A118" s="2398"/>
      <c r="B118" s="468" t="s">
        <v>96</v>
      </c>
      <c r="C118" s="856" t="s">
        <v>2778</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10" t="s">
        <v>4559</v>
      </c>
      <c r="D119" s="2710"/>
      <c r="E119" s="2710"/>
      <c r="F119" s="2710"/>
      <c r="G119" s="2710"/>
      <c r="H119" s="2710"/>
      <c r="I119" s="2710"/>
      <c r="J119" s="2710"/>
      <c r="K119" s="2710"/>
      <c r="L119" s="2710"/>
      <c r="M119" s="2710"/>
      <c r="N119" s="2710"/>
      <c r="O119" s="160" t="s">
        <v>500</v>
      </c>
      <c r="P119" s="2389"/>
      <c r="Q119" s="2253"/>
      <c r="AE119" s="458"/>
      <c r="AF119" s="458"/>
    </row>
    <row r="120" spans="1:32" ht="10.5" customHeight="1">
      <c r="A120" s="47" t="s">
        <v>1937</v>
      </c>
      <c r="B120" s="52" t="s">
        <v>4558</v>
      </c>
      <c r="C120" s="52"/>
      <c r="E120" s="52"/>
      <c r="F120" s="52"/>
      <c r="G120" s="52"/>
      <c r="H120" s="52"/>
      <c r="I120" s="52"/>
      <c r="J120" s="52"/>
      <c r="K120" s="52"/>
      <c r="L120" s="52"/>
      <c r="M120" s="52"/>
      <c r="O120" s="455" t="s">
        <v>1937</v>
      </c>
      <c r="P120" s="2264" t="s">
        <v>2887</v>
      </c>
      <c r="Q120" s="1553"/>
    </row>
    <row r="121" spans="1:32" ht="10.5" customHeight="1">
      <c r="B121" s="1488" t="s">
        <v>1694</v>
      </c>
      <c r="C121" s="52" t="s">
        <v>4798</v>
      </c>
      <c r="D121" s="52"/>
      <c r="E121" s="52"/>
      <c r="F121" s="52"/>
      <c r="G121" s="52"/>
      <c r="H121" s="52"/>
      <c r="I121" s="52"/>
      <c r="J121" s="52"/>
      <c r="K121" s="52"/>
      <c r="L121" s="52"/>
      <c r="M121" s="52"/>
      <c r="O121" s="148" t="s">
        <v>1694</v>
      </c>
      <c r="P121" s="2264"/>
      <c r="Q121" s="1553"/>
    </row>
    <row r="122" spans="1:32" ht="10.5" customHeight="1">
      <c r="A122" s="47"/>
      <c r="B122" s="145" t="s">
        <v>1695</v>
      </c>
      <c r="C122" s="52" t="s">
        <v>4797</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2884</v>
      </c>
      <c r="Q124" s="518"/>
    </row>
    <row r="125" spans="1:32" ht="10.5" customHeight="1">
      <c r="B125" s="145" t="s">
        <v>1695</v>
      </c>
      <c r="C125" s="52" t="s">
        <v>1402</v>
      </c>
      <c r="E125" s="52"/>
      <c r="F125" s="52"/>
      <c r="G125" s="52"/>
      <c r="H125" s="52"/>
      <c r="I125" s="52"/>
      <c r="J125" s="52"/>
      <c r="K125" s="52"/>
      <c r="L125" s="856"/>
      <c r="M125" s="856"/>
      <c r="O125" s="65" t="s">
        <v>1695</v>
      </c>
      <c r="P125" s="2257" t="s">
        <v>2887</v>
      </c>
      <c r="Q125" s="519"/>
    </row>
    <row r="126" spans="1:32" ht="10.5" customHeight="1">
      <c r="B126" s="145" t="s">
        <v>1696</v>
      </c>
      <c r="C126" s="52" t="s">
        <v>1403</v>
      </c>
      <c r="E126" s="52"/>
      <c r="F126" s="52"/>
      <c r="G126" s="52"/>
      <c r="H126" s="52"/>
      <c r="I126" s="52"/>
      <c r="J126" s="52"/>
      <c r="K126" s="52"/>
      <c r="L126" s="856"/>
      <c r="M126" s="856"/>
      <c r="O126" s="65" t="s">
        <v>1696</v>
      </c>
      <c r="P126" s="2258" t="s">
        <v>2887</v>
      </c>
      <c r="Q126" s="520"/>
    </row>
    <row r="127" spans="1:32" ht="10.5" customHeight="1">
      <c r="B127" s="140" t="s">
        <v>3565</v>
      </c>
      <c r="D127" s="140"/>
      <c r="E127" s="140"/>
      <c r="F127" s="140"/>
      <c r="G127" s="140"/>
      <c r="H127" s="40"/>
      <c r="I127" s="2398"/>
      <c r="J127" s="2398"/>
      <c r="K127" s="2398"/>
      <c r="L127" s="2376"/>
      <c r="M127" s="2376"/>
      <c r="N127" s="2376"/>
      <c r="O127" s="2376"/>
      <c r="P127" s="2376"/>
      <c r="Q127" s="855"/>
    </row>
    <row r="128" spans="1:32" ht="22.5" customHeight="1">
      <c r="A128" s="2707" t="s">
        <v>7047</v>
      </c>
      <c r="B128" s="2708"/>
      <c r="C128" s="2708"/>
      <c r="D128" s="2708"/>
      <c r="E128" s="2708"/>
      <c r="F128" s="2708"/>
      <c r="G128" s="2708"/>
      <c r="H128" s="2708"/>
      <c r="I128" s="2708"/>
      <c r="J128" s="2708"/>
      <c r="K128" s="2708"/>
      <c r="L128" s="2708"/>
      <c r="M128" s="2708"/>
      <c r="N128" s="2708"/>
      <c r="O128" s="2708"/>
      <c r="P128" s="2708"/>
      <c r="Q128" s="2709"/>
      <c r="U128" s="135"/>
      <c r="V128" s="135"/>
      <c r="W128" s="135"/>
      <c r="X128" s="135"/>
      <c r="Y128" s="135"/>
      <c r="Z128" s="135"/>
      <c r="AA128" s="135"/>
      <c r="AB128" s="135"/>
      <c r="AC128" s="135"/>
      <c r="AD128" s="135"/>
      <c r="AE128" s="457"/>
    </row>
    <row r="129" spans="1:17" ht="11.25" customHeight="1">
      <c r="B129" s="136" t="s">
        <v>1819</v>
      </c>
      <c r="C129" s="137"/>
      <c r="D129" s="2378"/>
      <c r="E129" s="2378"/>
      <c r="F129" s="2378"/>
      <c r="G129" s="2378"/>
      <c r="H129" s="2378"/>
      <c r="I129" s="2378"/>
      <c r="J129" s="2378"/>
      <c r="K129" s="2378"/>
      <c r="L129" s="2378"/>
      <c r="M129" s="2378"/>
      <c r="N129" s="2378"/>
      <c r="O129" s="2378"/>
      <c r="P129" s="2378"/>
      <c r="Q129" s="2378"/>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1" t="s">
        <v>754</v>
      </c>
      <c r="B131" s="2371" t="s">
        <v>2581</v>
      </c>
      <c r="C131" s="40"/>
      <c r="D131" s="2378"/>
      <c r="E131" s="2378"/>
      <c r="F131" s="2378"/>
      <c r="G131" s="2378"/>
      <c r="H131" s="2378"/>
      <c r="I131" s="2378"/>
      <c r="J131" s="2378"/>
      <c r="K131" s="2378"/>
      <c r="L131" s="2378"/>
      <c r="M131" s="2378"/>
      <c r="O131" s="131" t="s">
        <v>1820</v>
      </c>
      <c r="P131" s="2718"/>
      <c r="Q131" s="2719"/>
    </row>
    <row r="132" spans="1:17" ht="6.6" customHeight="1"/>
    <row r="133" spans="1:17" ht="12" customHeight="1">
      <c r="A133" s="47" t="s">
        <v>1935</v>
      </c>
      <c r="B133" s="52" t="s">
        <v>3469</v>
      </c>
      <c r="D133" s="133"/>
      <c r="E133" s="133"/>
      <c r="F133" s="133"/>
      <c r="G133" s="133"/>
      <c r="H133" s="133"/>
      <c r="I133" s="42"/>
      <c r="J133" s="42"/>
      <c r="K133" s="455" t="s">
        <v>1935</v>
      </c>
      <c r="L133" s="2704" t="s">
        <v>7048</v>
      </c>
      <c r="M133" s="2704"/>
      <c r="N133" s="2704"/>
      <c r="O133" s="2704"/>
      <c r="P133" s="2704"/>
      <c r="Q133" s="517"/>
    </row>
    <row r="134" spans="1:17" ht="12" customHeight="1">
      <c r="A134" s="47" t="s">
        <v>1937</v>
      </c>
      <c r="B134" s="52" t="s">
        <v>1505</v>
      </c>
      <c r="D134" s="133"/>
      <c r="E134" s="133"/>
      <c r="F134" s="133"/>
      <c r="G134" s="133"/>
      <c r="H134" s="133"/>
      <c r="I134" s="42"/>
      <c r="J134" s="42"/>
      <c r="K134" s="133"/>
      <c r="L134" s="2382"/>
      <c r="O134" s="455" t="s">
        <v>1937</v>
      </c>
      <c r="P134" s="2266" t="s">
        <v>2884</v>
      </c>
      <c r="Q134" s="898"/>
    </row>
    <row r="135" spans="1:17" ht="12" customHeight="1">
      <c r="A135" s="47" t="s">
        <v>731</v>
      </c>
      <c r="B135" s="52" t="s">
        <v>147</v>
      </c>
      <c r="D135" s="133"/>
      <c r="E135" s="133"/>
      <c r="F135" s="133"/>
      <c r="G135" s="133"/>
      <c r="H135" s="133"/>
      <c r="I135" s="42"/>
      <c r="J135" s="42"/>
      <c r="K135" s="2382"/>
      <c r="L135" s="2382"/>
      <c r="O135" s="455" t="s">
        <v>731</v>
      </c>
      <c r="P135" s="2258" t="s">
        <v>2884</v>
      </c>
      <c r="Q135" s="862"/>
    </row>
    <row r="136" spans="1:17" ht="12" customHeight="1">
      <c r="A136" s="47"/>
      <c r="B136" s="856" t="s">
        <v>1694</v>
      </c>
      <c r="C136" s="52" t="s">
        <v>2610</v>
      </c>
      <c r="E136" s="133"/>
      <c r="F136" s="133"/>
      <c r="G136" s="133"/>
      <c r="H136" s="133"/>
      <c r="I136" s="42"/>
      <c r="J136" s="42"/>
      <c r="K136" s="65" t="s">
        <v>1694</v>
      </c>
      <c r="L136" s="2704" t="s">
        <v>7048</v>
      </c>
      <c r="M136" s="2704"/>
      <c r="N136" s="2704"/>
      <c r="O136" s="2704"/>
      <c r="P136" s="2704"/>
      <c r="Q136" s="517"/>
    </row>
    <row r="137" spans="1:17" ht="12" customHeight="1">
      <c r="A137" s="138"/>
      <c r="B137" s="145" t="s">
        <v>1695</v>
      </c>
      <c r="C137" s="36" t="s">
        <v>3353</v>
      </c>
      <c r="E137" s="42"/>
      <c r="F137" s="42"/>
      <c r="G137" s="42"/>
      <c r="H137" s="52"/>
      <c r="I137" s="42"/>
      <c r="J137" s="42"/>
      <c r="K137" s="133"/>
      <c r="L137" s="2382"/>
      <c r="M137" s="2382"/>
      <c r="O137" s="455" t="s">
        <v>1695</v>
      </c>
      <c r="P137" s="2264" t="s">
        <v>7145</v>
      </c>
      <c r="Q137" s="1553"/>
    </row>
    <row r="138" spans="1:17" ht="12" customHeight="1">
      <c r="A138" s="138"/>
      <c r="B138" s="40" t="s">
        <v>1696</v>
      </c>
      <c r="C138" s="36" t="s">
        <v>4243</v>
      </c>
      <c r="D138" s="147"/>
      <c r="E138" s="42"/>
      <c r="F138" s="42"/>
      <c r="G138" s="42"/>
      <c r="H138" s="52"/>
      <c r="I138" s="42"/>
      <c r="J138" s="42"/>
      <c r="K138" s="133"/>
      <c r="L138" s="2382"/>
      <c r="M138" s="2382"/>
      <c r="O138" s="455" t="s">
        <v>1696</v>
      </c>
      <c r="P138" s="2258" t="s">
        <v>2884</v>
      </c>
      <c r="Q138" s="520"/>
    </row>
    <row r="139" spans="1:17" ht="12" customHeight="1">
      <c r="A139" s="47" t="s">
        <v>2064</v>
      </c>
      <c r="B139" s="52" t="s">
        <v>1234</v>
      </c>
      <c r="D139" s="133"/>
      <c r="E139" s="133"/>
      <c r="F139" s="133"/>
      <c r="G139" s="133"/>
      <c r="H139" s="133"/>
      <c r="I139" s="42"/>
      <c r="J139" s="42"/>
      <c r="K139" s="133"/>
      <c r="L139" s="2382"/>
      <c r="M139" s="2382"/>
      <c r="N139" s="2382"/>
      <c r="O139" s="455" t="s">
        <v>2064</v>
      </c>
    </row>
    <row r="140" spans="1:17" ht="12" customHeight="1">
      <c r="A140" s="47"/>
      <c r="B140" s="145" t="s">
        <v>1694</v>
      </c>
      <c r="C140" s="52" t="s">
        <v>145</v>
      </c>
      <c r="E140" s="133"/>
      <c r="F140" s="133"/>
      <c r="G140" s="133"/>
      <c r="H140" s="133"/>
      <c r="I140" s="42"/>
      <c r="J140" s="42"/>
      <c r="K140" s="133"/>
      <c r="L140" s="2382"/>
      <c r="M140" s="2382"/>
      <c r="O140" s="65" t="s">
        <v>1694</v>
      </c>
      <c r="P140" s="2256" t="s">
        <v>2887</v>
      </c>
      <c r="Q140" s="518"/>
    </row>
    <row r="141" spans="1:17" ht="12" customHeight="1">
      <c r="A141" s="47"/>
      <c r="B141" s="145" t="s">
        <v>1695</v>
      </c>
      <c r="C141" s="52" t="s">
        <v>1235</v>
      </c>
      <c r="E141" s="133"/>
      <c r="F141" s="133"/>
      <c r="G141" s="133"/>
      <c r="H141" s="42"/>
      <c r="I141" s="42"/>
      <c r="J141" s="42"/>
      <c r="K141" s="133"/>
      <c r="L141" s="2382"/>
      <c r="M141" s="2382"/>
      <c r="O141" s="65" t="s">
        <v>1695</v>
      </c>
      <c r="P141" s="2257" t="s">
        <v>2884</v>
      </c>
      <c r="Q141" s="519"/>
    </row>
    <row r="142" spans="1:17" ht="12" customHeight="1">
      <c r="A142" s="47"/>
      <c r="B142" s="145"/>
      <c r="C142" s="52" t="s">
        <v>2561</v>
      </c>
      <c r="E142" s="455" t="s">
        <v>2371</v>
      </c>
      <c r="F142" s="52" t="s">
        <v>2562</v>
      </c>
      <c r="G142" s="42"/>
      <c r="H142" s="52"/>
      <c r="I142" s="42"/>
      <c r="J142" s="42"/>
      <c r="K142" s="133"/>
      <c r="L142" s="2382"/>
      <c r="M142" s="2382"/>
      <c r="O142" s="455" t="s">
        <v>2371</v>
      </c>
      <c r="P142" s="2267">
        <v>0.3</v>
      </c>
      <c r="Q142" s="828"/>
    </row>
    <row r="143" spans="1:17" ht="12" customHeight="1">
      <c r="A143" s="47"/>
      <c r="B143" s="145"/>
      <c r="E143" s="455" t="s">
        <v>2372</v>
      </c>
      <c r="F143" s="52" t="s">
        <v>2563</v>
      </c>
      <c r="G143" s="42"/>
      <c r="H143" s="52"/>
      <c r="I143" s="42"/>
      <c r="J143" s="42"/>
      <c r="K143" s="133"/>
      <c r="L143" s="2382"/>
      <c r="M143" s="2382"/>
      <c r="O143" s="455" t="s">
        <v>2372</v>
      </c>
      <c r="P143" s="2257" t="s">
        <v>2884</v>
      </c>
      <c r="Q143" s="519"/>
    </row>
    <row r="144" spans="1:17" ht="12" customHeight="1">
      <c r="A144" s="47"/>
      <c r="B144" s="145"/>
      <c r="E144" s="455" t="s">
        <v>2373</v>
      </c>
      <c r="F144" s="52" t="s">
        <v>2564</v>
      </c>
      <c r="G144" s="42"/>
      <c r="H144" s="52"/>
      <c r="I144" s="42"/>
      <c r="J144" s="42"/>
      <c r="K144" s="133"/>
      <c r="L144" s="2382"/>
      <c r="M144" s="2382"/>
      <c r="O144" s="455" t="s">
        <v>2373</v>
      </c>
      <c r="P144" s="2257" t="s">
        <v>2884</v>
      </c>
      <c r="Q144" s="519"/>
    </row>
    <row r="145" spans="1:17" ht="12" customHeight="1">
      <c r="A145" s="47"/>
      <c r="B145" s="145" t="s">
        <v>1696</v>
      </c>
      <c r="C145" s="52" t="s">
        <v>1236</v>
      </c>
      <c r="E145" s="133"/>
      <c r="F145" s="133"/>
      <c r="G145" s="133"/>
      <c r="H145" s="52"/>
      <c r="I145" s="42"/>
      <c r="J145" s="42"/>
      <c r="K145" s="133"/>
      <c r="L145" s="2382"/>
      <c r="M145" s="2382"/>
      <c r="O145" s="65" t="s">
        <v>1696</v>
      </c>
      <c r="P145" s="2257" t="s">
        <v>2887</v>
      </c>
      <c r="Q145" s="519"/>
    </row>
    <row r="146" spans="1:17" ht="12" customHeight="1">
      <c r="A146" s="47"/>
      <c r="B146" s="65"/>
      <c r="C146" s="52" t="s">
        <v>2561</v>
      </c>
      <c r="E146" s="455" t="s">
        <v>2371</v>
      </c>
      <c r="F146" s="52" t="s">
        <v>2565</v>
      </c>
      <c r="G146" s="42"/>
      <c r="H146" s="52"/>
      <c r="I146" s="42"/>
      <c r="J146" s="42"/>
      <c r="K146" s="133"/>
      <c r="L146" s="2382"/>
      <c r="O146" s="455" t="s">
        <v>2371</v>
      </c>
      <c r="P146" s="2267"/>
      <c r="Q146" s="828"/>
    </row>
    <row r="147" spans="1:17" ht="12" customHeight="1">
      <c r="A147" s="47"/>
      <c r="B147" s="65"/>
      <c r="E147" s="455" t="s">
        <v>2372</v>
      </c>
      <c r="F147" s="52" t="s">
        <v>2566</v>
      </c>
      <c r="G147" s="42"/>
      <c r="H147" s="52"/>
      <c r="I147" s="42"/>
      <c r="J147" s="42"/>
      <c r="O147" s="455" t="s">
        <v>2372</v>
      </c>
      <c r="P147" s="2257"/>
      <c r="Q147" s="519"/>
    </row>
    <row r="148" spans="1:17" ht="12" customHeight="1">
      <c r="A148" s="47"/>
      <c r="B148" s="65"/>
      <c r="E148" s="455" t="s">
        <v>2373</v>
      </c>
      <c r="F148" s="52" t="s">
        <v>2564</v>
      </c>
      <c r="G148" s="42"/>
      <c r="H148" s="52"/>
      <c r="I148" s="42"/>
      <c r="J148" s="42"/>
      <c r="O148" s="455" t="s">
        <v>2373</v>
      </c>
      <c r="P148" s="2258"/>
      <c r="Q148" s="520"/>
    </row>
    <row r="149" spans="1:17" ht="12" customHeight="1">
      <c r="A149" s="47" t="s">
        <v>1692</v>
      </c>
      <c r="B149" s="145" t="s">
        <v>2351</v>
      </c>
      <c r="D149" s="133"/>
      <c r="E149" s="133"/>
      <c r="F149" s="133"/>
      <c r="G149" s="133"/>
      <c r="H149" s="133"/>
      <c r="I149" s="42"/>
      <c r="J149" s="42"/>
      <c r="K149" s="133"/>
      <c r="L149" s="2382"/>
      <c r="M149" s="2382"/>
      <c r="N149" s="2382"/>
      <c r="O149" s="2382"/>
      <c r="P149" s="2382"/>
      <c r="Q149" s="2382"/>
    </row>
    <row r="150" spans="1:17" ht="12" customHeight="1">
      <c r="B150" s="145" t="s">
        <v>1694</v>
      </c>
      <c r="C150" s="52" t="s">
        <v>2429</v>
      </c>
      <c r="E150" s="133"/>
      <c r="F150" s="2256" t="s">
        <v>2887</v>
      </c>
      <c r="G150" s="518"/>
      <c r="H150" s="455" t="s">
        <v>4405</v>
      </c>
      <c r="I150" s="55" t="s">
        <v>2568</v>
      </c>
      <c r="L150" s="2256" t="s">
        <v>2887</v>
      </c>
      <c r="M150" s="518"/>
      <c r="N150" s="455" t="s">
        <v>4409</v>
      </c>
      <c r="O150" s="52" t="s">
        <v>1519</v>
      </c>
      <c r="P150" s="2256" t="s">
        <v>2887</v>
      </c>
      <c r="Q150" s="518"/>
    </row>
    <row r="151" spans="1:17" ht="12" customHeight="1">
      <c r="A151" s="36"/>
      <c r="B151" s="145" t="s">
        <v>1695</v>
      </c>
      <c r="C151" s="52" t="s">
        <v>2709</v>
      </c>
      <c r="E151" s="133"/>
      <c r="F151" s="2257" t="s">
        <v>2887</v>
      </c>
      <c r="G151" s="519"/>
      <c r="H151" s="455" t="s">
        <v>4406</v>
      </c>
      <c r="I151" s="55" t="s">
        <v>2569</v>
      </c>
      <c r="L151" s="2257" t="s">
        <v>2887</v>
      </c>
      <c r="M151" s="519"/>
      <c r="N151" s="455" t="s">
        <v>4410</v>
      </c>
      <c r="O151" s="52" t="s">
        <v>1518</v>
      </c>
      <c r="P151" s="2257" t="s">
        <v>2887</v>
      </c>
      <c r="Q151" s="519"/>
    </row>
    <row r="152" spans="1:17" ht="12" customHeight="1">
      <c r="A152" s="36"/>
      <c r="B152" s="145" t="s">
        <v>1696</v>
      </c>
      <c r="C152" s="52" t="s">
        <v>2567</v>
      </c>
      <c r="E152" s="133"/>
      <c r="F152" s="2257" t="s">
        <v>2887</v>
      </c>
      <c r="G152" s="519"/>
      <c r="H152" s="455" t="s">
        <v>4407</v>
      </c>
      <c r="I152" s="55" t="s">
        <v>3630</v>
      </c>
      <c r="L152" s="2257" t="s">
        <v>2887</v>
      </c>
      <c r="M152" s="519"/>
      <c r="N152" s="455" t="s">
        <v>4411</v>
      </c>
      <c r="O152" s="52" t="s">
        <v>1520</v>
      </c>
      <c r="P152" s="2258" t="s">
        <v>2887</v>
      </c>
      <c r="Q152" s="520"/>
    </row>
    <row r="153" spans="1:17" ht="12" customHeight="1">
      <c r="A153" s="36"/>
      <c r="B153" s="145" t="s">
        <v>2304</v>
      </c>
      <c r="C153" s="52" t="s">
        <v>2711</v>
      </c>
      <c r="E153" s="133"/>
      <c r="F153" s="2258" t="s">
        <v>2887</v>
      </c>
      <c r="G153" s="520"/>
      <c r="H153" s="455" t="s">
        <v>4408</v>
      </c>
      <c r="I153" s="52" t="s">
        <v>2708</v>
      </c>
      <c r="L153" s="2258"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06" t="s">
        <v>948</v>
      </c>
      <c r="D155" s="2806"/>
      <c r="E155" s="2806"/>
      <c r="F155" s="2806"/>
      <c r="G155" s="2806"/>
      <c r="H155" s="2806"/>
      <c r="I155" s="2806"/>
      <c r="J155" s="2806"/>
      <c r="K155" s="2806"/>
      <c r="L155" s="2806"/>
      <c r="M155" s="2806"/>
      <c r="N155" s="2806"/>
      <c r="O155" s="2806"/>
      <c r="P155" s="2806"/>
      <c r="Q155" s="2806"/>
    </row>
    <row r="156" spans="1:17" ht="12" customHeight="1">
      <c r="A156" s="47" t="s">
        <v>1693</v>
      </c>
      <c r="B156" s="52" t="s">
        <v>3436</v>
      </c>
      <c r="D156" s="133"/>
      <c r="E156" s="133"/>
      <c r="F156" s="133"/>
      <c r="G156" s="133"/>
      <c r="H156" s="133"/>
      <c r="I156" s="42"/>
      <c r="J156" s="42"/>
      <c r="K156" s="133"/>
      <c r="L156" s="133"/>
      <c r="M156" s="2382"/>
    </row>
    <row r="157" spans="1:17" ht="12" customHeight="1">
      <c r="A157" s="42"/>
      <c r="B157" s="145" t="s">
        <v>1694</v>
      </c>
      <c r="C157" s="52" t="s">
        <v>2712</v>
      </c>
      <c r="E157" s="133"/>
      <c r="F157" s="133"/>
      <c r="G157" s="133"/>
      <c r="H157" s="133"/>
      <c r="O157" s="65" t="s">
        <v>1694</v>
      </c>
      <c r="P157" s="2256" t="s">
        <v>2887</v>
      </c>
      <c r="Q157" s="518"/>
    </row>
    <row r="158" spans="1:17" ht="12" customHeight="1">
      <c r="A158" s="2398"/>
      <c r="B158" s="145" t="s">
        <v>1695</v>
      </c>
      <c r="C158" s="52" t="s">
        <v>480</v>
      </c>
      <c r="E158" s="52"/>
      <c r="F158" s="52"/>
      <c r="G158" s="52"/>
      <c r="H158" s="52"/>
      <c r="I158" s="42"/>
      <c r="J158" s="42"/>
      <c r="K158" s="52"/>
      <c r="L158" s="52"/>
      <c r="M158" s="52"/>
      <c r="O158" s="65" t="s">
        <v>1695</v>
      </c>
      <c r="P158" s="2257" t="s">
        <v>2887</v>
      </c>
      <c r="Q158" s="519"/>
    </row>
    <row r="159" spans="1:17" ht="12" customHeight="1">
      <c r="A159" s="2398"/>
      <c r="B159" s="145" t="s">
        <v>1696</v>
      </c>
      <c r="C159" s="52" t="s">
        <v>663</v>
      </c>
      <c r="E159" s="52"/>
      <c r="F159" s="52"/>
      <c r="G159" s="52"/>
      <c r="H159" s="52"/>
      <c r="I159" s="42"/>
      <c r="J159" s="42"/>
      <c r="K159" s="52"/>
      <c r="L159" s="52"/>
      <c r="M159" s="52"/>
      <c r="O159" s="65" t="s">
        <v>1696</v>
      </c>
      <c r="P159" s="2257" t="s">
        <v>2887</v>
      </c>
      <c r="Q159" s="519"/>
    </row>
    <row r="160" spans="1:17" ht="12" customHeight="1">
      <c r="A160" s="2398"/>
      <c r="B160" s="40" t="s">
        <v>2304</v>
      </c>
      <c r="C160" s="52" t="s">
        <v>4391</v>
      </c>
      <c r="E160" s="52"/>
      <c r="F160" s="52"/>
      <c r="G160" s="52"/>
      <c r="H160" s="52"/>
      <c r="I160" s="42"/>
      <c r="J160" s="42"/>
      <c r="K160" s="52"/>
      <c r="L160" s="52"/>
      <c r="M160" s="52"/>
      <c r="O160" s="455" t="s">
        <v>2304</v>
      </c>
      <c r="P160" s="2258" t="s">
        <v>2887</v>
      </c>
      <c r="Q160" s="520"/>
    </row>
    <row r="161" spans="1:32" ht="12" customHeight="1">
      <c r="A161" s="407" t="s">
        <v>4560</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1899</v>
      </c>
      <c r="B162" s="2710" t="s">
        <v>144</v>
      </c>
      <c r="C162" s="2710"/>
      <c r="D162" s="2710"/>
      <c r="E162" s="2710"/>
      <c r="F162" s="2710"/>
      <c r="G162" s="2710"/>
      <c r="H162" s="2710"/>
      <c r="I162" s="2710"/>
      <c r="J162" s="2710"/>
      <c r="K162" s="2710"/>
      <c r="L162" s="2710"/>
      <c r="M162" s="455" t="s">
        <v>1899</v>
      </c>
      <c r="N162" s="2714" t="s">
        <v>1727</v>
      </c>
      <c r="O162" s="2715"/>
      <c r="P162" s="2716" t="s">
        <v>1727</v>
      </c>
      <c r="Q162" s="2717"/>
      <c r="AE162" s="5"/>
      <c r="AF162" s="5"/>
    </row>
    <row r="163" spans="1:32" ht="11.25" customHeight="1">
      <c r="B163" s="140" t="s">
        <v>3565</v>
      </c>
      <c r="D163" s="140"/>
      <c r="E163" s="140"/>
      <c r="F163" s="140"/>
      <c r="G163" s="140"/>
      <c r="H163" s="40"/>
      <c r="I163" s="2398"/>
      <c r="J163" s="2398"/>
      <c r="K163" s="2398"/>
      <c r="L163" s="2376"/>
      <c r="M163" s="2376"/>
      <c r="N163" s="2376"/>
      <c r="O163" s="2376"/>
      <c r="P163" s="2376"/>
      <c r="Q163" s="855"/>
    </row>
    <row r="164" spans="1:32" ht="45" customHeight="1">
      <c r="A164" s="2707" t="s">
        <v>7049</v>
      </c>
      <c r="B164" s="2708"/>
      <c r="C164" s="2708"/>
      <c r="D164" s="2708"/>
      <c r="E164" s="2708"/>
      <c r="F164" s="2708"/>
      <c r="G164" s="2708"/>
      <c r="H164" s="2708"/>
      <c r="I164" s="2708"/>
      <c r="J164" s="2708"/>
      <c r="K164" s="2708"/>
      <c r="L164" s="2708"/>
      <c r="M164" s="2708"/>
      <c r="N164" s="2708"/>
      <c r="O164" s="2708"/>
      <c r="P164" s="2708"/>
      <c r="Q164" s="270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8"/>
      <c r="E166" s="2378"/>
      <c r="F166" s="2378"/>
      <c r="G166" s="2378"/>
      <c r="H166" s="2378"/>
      <c r="I166" s="2378"/>
      <c r="J166" s="2378"/>
      <c r="K166" s="2378"/>
      <c r="L166" s="2378"/>
      <c r="M166" s="2378"/>
      <c r="N166" s="2378"/>
      <c r="O166" s="2378"/>
      <c r="P166" s="2378"/>
      <c r="Q166" s="2378"/>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6"/>
      <c r="B168" s="2398"/>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2582</v>
      </c>
      <c r="C169" s="2371"/>
      <c r="D169" s="2378"/>
      <c r="E169" s="2378"/>
      <c r="F169" s="2378"/>
      <c r="G169" s="2378"/>
      <c r="H169" s="2378"/>
      <c r="I169" s="2378"/>
      <c r="J169" s="2378"/>
      <c r="K169" s="2378"/>
      <c r="O169" s="131" t="s">
        <v>1820</v>
      </c>
      <c r="P169" s="2718"/>
      <c r="Q169" s="2719"/>
    </row>
    <row r="170" spans="1:32" ht="12" customHeight="1">
      <c r="A170" s="47" t="s">
        <v>1935</v>
      </c>
      <c r="B170" s="145" t="s">
        <v>1694</v>
      </c>
      <c r="C170" s="52" t="s">
        <v>4743</v>
      </c>
      <c r="D170" s="52"/>
      <c r="E170" s="52"/>
      <c r="F170" s="52"/>
      <c r="G170" s="52"/>
      <c r="K170" s="52" t="s">
        <v>2626</v>
      </c>
      <c r="M170" s="2721">
        <v>44196</v>
      </c>
      <c r="N170" s="2722"/>
      <c r="O170" s="65" t="s">
        <v>1694</v>
      </c>
      <c r="P170" s="2254" t="s">
        <v>2884</v>
      </c>
      <c r="Q170" s="516"/>
    </row>
    <row r="171" spans="1:32" ht="12" customHeight="1">
      <c r="A171" s="47"/>
      <c r="B171" s="145" t="s">
        <v>1695</v>
      </c>
      <c r="C171" s="52" t="s">
        <v>4744</v>
      </c>
      <c r="D171" s="52"/>
      <c r="E171" s="52"/>
      <c r="F171" s="52"/>
      <c r="G171" s="52"/>
      <c r="K171" s="52" t="s">
        <v>2626</v>
      </c>
      <c r="M171" s="2721"/>
      <c r="N171" s="2722"/>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784" t="s">
        <v>7050</v>
      </c>
      <c r="O172" s="2785"/>
      <c r="P172" s="2786" t="s">
        <v>1727</v>
      </c>
      <c r="Q172" s="2787"/>
    </row>
    <row r="173" spans="1:32" ht="12" customHeight="1">
      <c r="A173" s="47" t="s">
        <v>731</v>
      </c>
      <c r="B173" s="139" t="s">
        <v>664</v>
      </c>
      <c r="D173" s="139"/>
      <c r="E173" s="139"/>
      <c r="F173" s="139"/>
      <c r="G173" s="139"/>
      <c r="H173" s="139"/>
      <c r="J173" s="455" t="s">
        <v>731</v>
      </c>
      <c r="K173" s="2698" t="s">
        <v>7095</v>
      </c>
      <c r="L173" s="2699"/>
      <c r="M173" s="2699"/>
      <c r="N173" s="2699"/>
      <c r="O173" s="2699"/>
      <c r="P173" s="2700"/>
      <c r="Q173" s="516"/>
    </row>
    <row r="174" spans="1:32" ht="12" customHeight="1">
      <c r="B174" s="140" t="s">
        <v>3565</v>
      </c>
      <c r="D174" s="140"/>
      <c r="E174" s="140"/>
      <c r="F174" s="140"/>
      <c r="G174" s="140"/>
      <c r="H174" s="40"/>
      <c r="I174" s="2398"/>
      <c r="J174" s="2398"/>
      <c r="K174" s="2398"/>
      <c r="L174" s="2376"/>
      <c r="M174" s="2376"/>
      <c r="N174" s="2376"/>
      <c r="O174" s="2376"/>
      <c r="P174" s="2376"/>
      <c r="Q174" s="855"/>
    </row>
    <row r="175" spans="1:32" ht="11.4" customHeight="1">
      <c r="A175" s="2707" t="s">
        <v>7088</v>
      </c>
      <c r="B175" s="2708"/>
      <c r="C175" s="2708"/>
      <c r="D175" s="2708"/>
      <c r="E175" s="2708"/>
      <c r="F175" s="2708"/>
      <c r="G175" s="2708"/>
      <c r="H175" s="2708"/>
      <c r="I175" s="2708"/>
      <c r="J175" s="2708"/>
      <c r="K175" s="2708"/>
      <c r="L175" s="2708"/>
      <c r="M175" s="2708"/>
      <c r="N175" s="2708"/>
      <c r="O175" s="2708"/>
      <c r="P175" s="2708"/>
      <c r="Q175" s="2709"/>
      <c r="U175" s="135"/>
      <c r="V175" s="135"/>
      <c r="W175" s="135"/>
      <c r="X175" s="135"/>
      <c r="Y175" s="135"/>
      <c r="Z175" s="135"/>
      <c r="AA175" s="135"/>
      <c r="AB175" s="135"/>
      <c r="AC175" s="135"/>
      <c r="AD175" s="135"/>
      <c r="AE175" s="457"/>
    </row>
    <row r="176" spans="1:32" ht="12" customHeight="1">
      <c r="B176" s="136" t="s">
        <v>1819</v>
      </c>
      <c r="C176" s="137"/>
      <c r="D176" s="2378"/>
      <c r="E176" s="2378"/>
      <c r="F176" s="2378"/>
      <c r="G176" s="2378"/>
      <c r="H176" s="2378"/>
      <c r="I176" s="2378"/>
      <c r="J176" s="2378"/>
      <c r="K176" s="2378"/>
      <c r="L176" s="2378"/>
      <c r="M176" s="2378"/>
      <c r="N176" s="2378"/>
      <c r="O176" s="2378"/>
      <c r="P176" s="2378"/>
      <c r="Q176" s="2378"/>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6"/>
      <c r="B178" s="2398"/>
      <c r="C178" s="2378"/>
      <c r="D178" s="2378"/>
      <c r="E178" s="2378"/>
      <c r="F178" s="2378"/>
      <c r="G178" s="2378"/>
      <c r="H178" s="2378"/>
      <c r="I178" s="2378"/>
      <c r="J178" s="2378"/>
      <c r="K178" s="2378"/>
      <c r="L178" s="2378"/>
      <c r="M178" s="2378"/>
      <c r="Q178" s="2376"/>
    </row>
    <row r="179" spans="1:31" ht="14.1" customHeight="1">
      <c r="A179" s="2371" t="s">
        <v>418</v>
      </c>
      <c r="B179" s="2371" t="s">
        <v>2583</v>
      </c>
      <c r="C179" s="2371"/>
      <c r="D179" s="2378"/>
      <c r="E179" s="2378"/>
      <c r="F179" s="2378"/>
      <c r="G179" s="2378"/>
      <c r="H179" s="2378"/>
      <c r="I179" s="2378"/>
      <c r="J179" s="2378"/>
      <c r="K179" s="2378"/>
      <c r="L179" s="2378"/>
      <c r="M179" s="2378"/>
      <c r="O179" s="131" t="s">
        <v>1820</v>
      </c>
      <c r="P179" s="2718"/>
      <c r="Q179" s="2719"/>
    </row>
    <row r="180" spans="1:31" ht="21.75" customHeight="1">
      <c r="A180" s="141" t="s">
        <v>1935</v>
      </c>
      <c r="B180" s="2710" t="s">
        <v>3556</v>
      </c>
      <c r="C180" s="2710"/>
      <c r="D180" s="2710"/>
      <c r="E180" s="2710"/>
      <c r="F180" s="2710"/>
      <c r="G180" s="2710"/>
      <c r="H180" s="2710"/>
      <c r="I180" s="2710"/>
      <c r="J180" s="2710"/>
      <c r="K180" s="2710"/>
      <c r="L180" s="2710"/>
      <c r="M180" s="2710"/>
      <c r="N180" s="2710"/>
      <c r="O180" s="160" t="s">
        <v>1935</v>
      </c>
      <c r="P180" s="2268" t="s">
        <v>2884</v>
      </c>
      <c r="Q180" s="1088"/>
    </row>
    <row r="181" spans="1:31" ht="22.35" customHeight="1">
      <c r="A181" s="141" t="s">
        <v>1937</v>
      </c>
      <c r="B181" s="2710" t="s">
        <v>4259</v>
      </c>
      <c r="C181" s="2710"/>
      <c r="D181" s="2710"/>
      <c r="E181" s="2710"/>
      <c r="F181" s="2710"/>
      <c r="G181" s="2710"/>
      <c r="H181" s="2710"/>
      <c r="I181" s="2710"/>
      <c r="J181" s="2710"/>
      <c r="K181" s="2710"/>
      <c r="L181" s="2710"/>
      <c r="M181" s="2710"/>
      <c r="N181" s="2710"/>
      <c r="O181" s="160" t="s">
        <v>1937</v>
      </c>
      <c r="P181" s="2381" t="s">
        <v>7045</v>
      </c>
      <c r="Q181" s="2380"/>
    </row>
    <row r="182" spans="1:31" ht="22.35" customHeight="1">
      <c r="A182" s="141" t="s">
        <v>731</v>
      </c>
      <c r="B182" s="2710" t="s">
        <v>3557</v>
      </c>
      <c r="C182" s="2710"/>
      <c r="D182" s="2710"/>
      <c r="E182" s="2710"/>
      <c r="F182" s="2710"/>
      <c r="G182" s="2710"/>
      <c r="H182" s="2710"/>
      <c r="I182" s="2710"/>
      <c r="J182" s="2710"/>
      <c r="K182" s="2710"/>
      <c r="L182" s="2710"/>
      <c r="M182" s="2710"/>
      <c r="N182" s="2710"/>
      <c r="O182" s="160" t="s">
        <v>731</v>
      </c>
      <c r="P182" s="2381" t="s">
        <v>7045</v>
      </c>
      <c r="Q182" s="2380"/>
    </row>
    <row r="183" spans="1:31" ht="21.75" customHeight="1">
      <c r="A183" s="141" t="s">
        <v>2064</v>
      </c>
      <c r="B183" s="2710" t="s">
        <v>4352</v>
      </c>
      <c r="C183" s="2710"/>
      <c r="D183" s="2710"/>
      <c r="E183" s="2710"/>
      <c r="F183" s="2710"/>
      <c r="G183" s="2710"/>
      <c r="H183" s="2710"/>
      <c r="I183" s="2710"/>
      <c r="J183" s="2710"/>
      <c r="K183" s="2710"/>
      <c r="L183" s="2710"/>
      <c r="M183" s="2710"/>
      <c r="N183" s="2710"/>
      <c r="O183" s="160" t="s">
        <v>2064</v>
      </c>
      <c r="P183" s="2389" t="s">
        <v>7045</v>
      </c>
      <c r="Q183" s="2253"/>
    </row>
    <row r="184" spans="1:31" ht="12" customHeight="1">
      <c r="B184" s="140" t="s">
        <v>3565</v>
      </c>
      <c r="D184" s="140"/>
      <c r="E184" s="140"/>
      <c r="F184" s="140"/>
      <c r="G184" s="140"/>
      <c r="H184" s="40"/>
      <c r="I184" s="2398"/>
      <c r="J184" s="2398"/>
      <c r="K184" s="2398"/>
      <c r="L184" s="2376"/>
      <c r="M184" s="2376"/>
      <c r="N184" s="2376"/>
      <c r="O184" s="2376"/>
      <c r="P184" s="2376"/>
      <c r="Q184" s="855"/>
    </row>
    <row r="185" spans="1:31" ht="11.4" customHeight="1">
      <c r="A185" s="2707" t="s">
        <v>7051</v>
      </c>
      <c r="B185" s="2708"/>
      <c r="C185" s="2708"/>
      <c r="D185" s="2708"/>
      <c r="E185" s="2708"/>
      <c r="F185" s="2708"/>
      <c r="G185" s="2708"/>
      <c r="H185" s="2708"/>
      <c r="I185" s="2708"/>
      <c r="J185" s="2708"/>
      <c r="K185" s="2708"/>
      <c r="L185" s="2708"/>
      <c r="M185" s="2708"/>
      <c r="N185" s="2708"/>
      <c r="O185" s="2708"/>
      <c r="P185" s="2708"/>
      <c r="Q185" s="2709"/>
      <c r="U185" s="135"/>
      <c r="V185" s="135"/>
      <c r="W185" s="135"/>
      <c r="X185" s="135"/>
      <c r="Y185" s="135"/>
      <c r="Z185" s="135"/>
      <c r="AA185" s="135"/>
      <c r="AB185" s="135"/>
      <c r="AC185" s="135"/>
      <c r="AD185" s="135"/>
      <c r="AE185" s="457"/>
    </row>
    <row r="186" spans="1:31" ht="12" customHeight="1">
      <c r="B186" s="136" t="s">
        <v>1819</v>
      </c>
      <c r="C186" s="137"/>
      <c r="D186" s="2378"/>
      <c r="E186" s="2378"/>
      <c r="F186" s="2378"/>
      <c r="G186" s="2378"/>
      <c r="H186" s="2378"/>
      <c r="I186" s="2378"/>
      <c r="J186" s="2378"/>
      <c r="K186" s="2378"/>
      <c r="L186" s="2378"/>
      <c r="M186" s="2378"/>
      <c r="N186" s="2378"/>
      <c r="O186" s="2378"/>
      <c r="P186" s="2378"/>
      <c r="Q186" s="2378"/>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2659" t="s">
        <v>2584</v>
      </c>
      <c r="C189" s="2659"/>
      <c r="D189" s="2659"/>
      <c r="O189" s="131" t="s">
        <v>1820</v>
      </c>
      <c r="P189" s="2718"/>
      <c r="Q189" s="2719"/>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7" t="s">
        <v>2884</v>
      </c>
      <c r="Q191" s="519"/>
    </row>
    <row r="192" spans="1:31" ht="12" customHeight="1">
      <c r="A192" s="141" t="s">
        <v>731</v>
      </c>
      <c r="B192" s="842" t="s">
        <v>2571</v>
      </c>
      <c r="D192" s="842"/>
      <c r="E192" s="842"/>
      <c r="F192" s="842"/>
      <c r="G192" s="842"/>
      <c r="H192" s="842"/>
      <c r="I192" s="842"/>
      <c r="J192" s="139" t="s">
        <v>4364</v>
      </c>
      <c r="L192" s="842"/>
      <c r="M192" s="842"/>
      <c r="O192" s="160" t="s">
        <v>731</v>
      </c>
      <c r="P192" s="2257" t="s">
        <v>2884</v>
      </c>
      <c r="Q192" s="519"/>
    </row>
    <row r="193" spans="1:32" ht="12" customHeight="1">
      <c r="B193" s="40" t="s">
        <v>1694</v>
      </c>
      <c r="C193" s="856" t="s">
        <v>2572</v>
      </c>
      <c r="G193" s="842"/>
      <c r="H193" s="842"/>
      <c r="J193" s="842"/>
      <c r="K193" s="842"/>
      <c r="L193" s="842"/>
      <c r="M193" s="842"/>
      <c r="O193" s="438" t="s">
        <v>1694</v>
      </c>
      <c r="P193" s="2257" t="s">
        <v>2884</v>
      </c>
      <c r="Q193" s="519"/>
    </row>
    <row r="194" spans="1:32" ht="12" customHeight="1">
      <c r="A194" s="139"/>
      <c r="B194" s="40" t="s">
        <v>1695</v>
      </c>
      <c r="C194" s="856" t="s">
        <v>2573</v>
      </c>
      <c r="G194" s="842"/>
      <c r="H194" s="842"/>
      <c r="I194" s="842"/>
      <c r="J194" s="842"/>
      <c r="K194" s="842"/>
      <c r="L194" s="842"/>
      <c r="M194" s="842"/>
      <c r="O194" s="438" t="s">
        <v>1695</v>
      </c>
      <c r="P194" s="2257" t="s">
        <v>2884</v>
      </c>
      <c r="Q194" s="519"/>
    </row>
    <row r="195" spans="1:32" s="132" customFormat="1" ht="21.75" customHeight="1">
      <c r="A195" s="141"/>
      <c r="B195" s="468" t="s">
        <v>1696</v>
      </c>
      <c r="C195" s="2710" t="s">
        <v>3558</v>
      </c>
      <c r="D195" s="2710"/>
      <c r="E195" s="2710"/>
      <c r="F195" s="2710"/>
      <c r="G195" s="2710"/>
      <c r="H195" s="2710"/>
      <c r="I195" s="2710"/>
      <c r="J195" s="2710"/>
      <c r="K195" s="2710"/>
      <c r="L195" s="2710"/>
      <c r="M195" s="2710"/>
      <c r="N195" s="2710"/>
      <c r="O195" s="160" t="s">
        <v>1696</v>
      </c>
      <c r="P195" s="2381" t="s">
        <v>2884</v>
      </c>
      <c r="Q195" s="2380"/>
      <c r="AE195" s="458"/>
      <c r="AF195" s="458"/>
    </row>
    <row r="196" spans="1:32" ht="12" customHeight="1">
      <c r="A196" s="141"/>
      <c r="B196" s="40" t="s">
        <v>2304</v>
      </c>
      <c r="C196" s="856" t="s">
        <v>2574</v>
      </c>
      <c r="G196" s="842"/>
      <c r="H196" s="842"/>
      <c r="I196" s="842"/>
      <c r="J196" s="842"/>
      <c r="K196" s="842"/>
      <c r="L196" s="842"/>
      <c r="M196" s="842"/>
      <c r="O196" s="438" t="s">
        <v>2304</v>
      </c>
      <c r="P196" s="2257" t="s">
        <v>2884</v>
      </c>
      <c r="Q196" s="519"/>
    </row>
    <row r="197" spans="1:32" s="132" customFormat="1" ht="21.75" customHeight="1">
      <c r="A197" s="141"/>
      <c r="B197" s="468" t="s">
        <v>1516</v>
      </c>
      <c r="C197" s="2710" t="s">
        <v>2575</v>
      </c>
      <c r="D197" s="2710"/>
      <c r="E197" s="2710"/>
      <c r="F197" s="2710"/>
      <c r="G197" s="2710"/>
      <c r="H197" s="2710"/>
      <c r="I197" s="2710"/>
      <c r="J197" s="2710"/>
      <c r="K197" s="2710"/>
      <c r="L197" s="2710"/>
      <c r="M197" s="2710"/>
      <c r="N197" s="2710"/>
      <c r="O197" s="160" t="s">
        <v>1516</v>
      </c>
      <c r="P197" s="2381" t="s">
        <v>7045</v>
      </c>
      <c r="Q197" s="2380"/>
      <c r="AE197" s="458"/>
      <c r="AF197" s="458"/>
    </row>
    <row r="198" spans="1:32" s="132" customFormat="1" ht="21.75" customHeight="1">
      <c r="A198" s="141"/>
      <c r="B198" s="468" t="s">
        <v>1517</v>
      </c>
      <c r="C198" s="2710" t="s">
        <v>3666</v>
      </c>
      <c r="D198" s="2710"/>
      <c r="E198" s="2710"/>
      <c r="F198" s="2710"/>
      <c r="G198" s="2710"/>
      <c r="H198" s="2710"/>
      <c r="I198" s="2710"/>
      <c r="J198" s="2710"/>
      <c r="K198" s="2710"/>
      <c r="L198" s="2710"/>
      <c r="M198" s="2710"/>
      <c r="N198" s="2710"/>
      <c r="O198" s="160" t="s">
        <v>1517</v>
      </c>
      <c r="P198" s="2381" t="s">
        <v>7045</v>
      </c>
      <c r="Q198" s="2380"/>
      <c r="AE198" s="458"/>
      <c r="AF198" s="458"/>
    </row>
    <row r="199" spans="1:32" ht="21.75" customHeight="1">
      <c r="A199" s="141" t="s">
        <v>2064</v>
      </c>
      <c r="B199" s="2710" t="s">
        <v>2576</v>
      </c>
      <c r="C199" s="2710"/>
      <c r="D199" s="2710"/>
      <c r="E199" s="2710"/>
      <c r="F199" s="2710"/>
      <c r="G199" s="2710"/>
      <c r="H199" s="2710"/>
      <c r="I199" s="2710"/>
      <c r="J199" s="2710"/>
      <c r="K199" s="2710"/>
      <c r="L199" s="2710"/>
      <c r="M199" s="2710"/>
      <c r="N199" s="2710"/>
      <c r="O199" s="160" t="s">
        <v>2064</v>
      </c>
      <c r="P199" s="2381" t="s">
        <v>2884</v>
      </c>
      <c r="Q199" s="2380"/>
    </row>
    <row r="200" spans="1:32" ht="12" customHeight="1">
      <c r="A200" s="141" t="s">
        <v>1692</v>
      </c>
      <c r="B200" s="842" t="s">
        <v>2317</v>
      </c>
      <c r="D200" s="842"/>
      <c r="E200" s="842"/>
      <c r="F200" s="842"/>
      <c r="G200" s="842"/>
      <c r="H200" s="842"/>
      <c r="I200" s="842"/>
      <c r="J200" s="842"/>
      <c r="K200" s="842"/>
      <c r="L200" s="842"/>
      <c r="M200" s="842"/>
      <c r="O200" s="160" t="s">
        <v>1692</v>
      </c>
      <c r="P200" s="2258" t="s">
        <v>2884</v>
      </c>
      <c r="Q200" s="520"/>
    </row>
    <row r="201" spans="1:32" ht="12" customHeight="1">
      <c r="B201" s="140" t="s">
        <v>3565</v>
      </c>
      <c r="D201" s="140"/>
      <c r="E201" s="140"/>
      <c r="F201" s="140"/>
      <c r="G201" s="140"/>
      <c r="H201" s="40"/>
      <c r="I201" s="2398"/>
      <c r="J201" s="2398"/>
      <c r="K201" s="2398"/>
      <c r="L201" s="2376"/>
      <c r="M201" s="2376"/>
      <c r="N201" s="2376"/>
      <c r="O201" s="2376"/>
      <c r="P201" s="2376"/>
      <c r="Q201" s="855"/>
    </row>
    <row r="202" spans="1:32" ht="11.4" customHeight="1">
      <c r="A202" s="2707"/>
      <c r="B202" s="2708"/>
      <c r="C202" s="2708"/>
      <c r="D202" s="2708"/>
      <c r="E202" s="2708"/>
      <c r="F202" s="2708"/>
      <c r="G202" s="2708"/>
      <c r="H202" s="2708"/>
      <c r="I202" s="2708"/>
      <c r="J202" s="2708"/>
      <c r="K202" s="2708"/>
      <c r="L202" s="2708"/>
      <c r="M202" s="2708"/>
      <c r="N202" s="2708"/>
      <c r="O202" s="2708"/>
      <c r="P202" s="2708"/>
      <c r="Q202" s="2709"/>
      <c r="U202" s="135"/>
      <c r="V202" s="135"/>
      <c r="W202" s="135"/>
      <c r="X202" s="135"/>
      <c r="Y202" s="135"/>
      <c r="Z202" s="135"/>
      <c r="AA202" s="135"/>
      <c r="AB202" s="135"/>
      <c r="AC202" s="135"/>
      <c r="AD202" s="135"/>
      <c r="AE202" s="457"/>
    </row>
    <row r="203" spans="1:32" ht="12" customHeight="1">
      <c r="B203" s="136" t="s">
        <v>1819</v>
      </c>
      <c r="C203" s="137"/>
      <c r="D203" s="2378"/>
      <c r="E203" s="2378"/>
      <c r="F203" s="2378"/>
      <c r="G203" s="2378"/>
      <c r="H203" s="2378"/>
      <c r="I203" s="2378"/>
      <c r="J203" s="2378"/>
      <c r="K203" s="2378"/>
      <c r="L203" s="2378"/>
      <c r="M203" s="2378"/>
      <c r="N203" s="2378"/>
      <c r="O203" s="2378"/>
      <c r="P203" s="2378"/>
      <c r="Q203" s="2378"/>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6"/>
      <c r="B205" s="2398"/>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2585</v>
      </c>
      <c r="C206" s="2371"/>
      <c r="D206" s="2378"/>
      <c r="E206" s="146"/>
      <c r="F206" s="146"/>
      <c r="G206" s="2378"/>
      <c r="J206" s="857"/>
      <c r="K206" s="857"/>
      <c r="L206" s="857"/>
      <c r="M206" s="857"/>
      <c r="N206" s="857"/>
      <c r="O206" s="131" t="s">
        <v>1820</v>
      </c>
      <c r="P206" s="2718"/>
      <c r="Q206" s="2719"/>
    </row>
    <row r="207" spans="1:32" ht="22.5" customHeight="1">
      <c r="A207" s="2723" t="s">
        <v>4483</v>
      </c>
      <c r="B207" s="2723"/>
      <c r="C207" s="2723"/>
      <c r="D207" s="2723"/>
      <c r="E207" s="2723"/>
      <c r="F207" s="2723"/>
      <c r="G207" s="2723"/>
      <c r="H207" s="2723"/>
      <c r="I207" s="2723"/>
      <c r="J207" s="2723"/>
      <c r="K207" s="2723"/>
      <c r="L207" s="2723"/>
      <c r="M207" s="2723"/>
      <c r="N207" s="2723"/>
      <c r="O207" s="2723"/>
      <c r="P207" s="2723"/>
      <c r="Q207" s="2723"/>
    </row>
    <row r="208" spans="1:32" ht="11.25" customHeight="1">
      <c r="A208" s="138"/>
      <c r="B208" s="139" t="s">
        <v>95</v>
      </c>
      <c r="D208" s="139"/>
      <c r="E208" s="139"/>
      <c r="F208" s="139"/>
      <c r="G208" s="139"/>
      <c r="H208" s="65" t="s">
        <v>1694</v>
      </c>
      <c r="I208" s="52" t="s">
        <v>148</v>
      </c>
      <c r="J208" s="2727"/>
      <c r="K208" s="2788"/>
      <c r="L208" s="2788"/>
      <c r="M208" s="2788"/>
      <c r="N208" s="2728"/>
      <c r="O208" s="65" t="s">
        <v>1694</v>
      </c>
      <c r="P208" s="2256"/>
      <c r="Q208" s="518"/>
    </row>
    <row r="209" spans="1:31" ht="11.25" customHeight="1">
      <c r="A209" s="138"/>
      <c r="B209" s="140" t="s">
        <v>3565</v>
      </c>
      <c r="C209" s="104"/>
      <c r="D209" s="104"/>
      <c r="E209" s="104"/>
      <c r="F209" s="104"/>
      <c r="H209" s="65" t="s">
        <v>1695</v>
      </c>
      <c r="I209" s="52" t="s">
        <v>1563</v>
      </c>
      <c r="J209" s="2711" t="s">
        <v>7052</v>
      </c>
      <c r="K209" s="2712"/>
      <c r="L209" s="2712"/>
      <c r="M209" s="2712"/>
      <c r="N209" s="2713"/>
      <c r="O209" s="65" t="s">
        <v>1695</v>
      </c>
      <c r="P209" s="2258" t="s">
        <v>2884</v>
      </c>
      <c r="Q209" s="520"/>
    </row>
    <row r="210" spans="1:31" ht="11.4" customHeight="1">
      <c r="A210" s="2707" t="s">
        <v>7147</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78"/>
      <c r="E211" s="2378"/>
      <c r="F211" s="2378"/>
      <c r="G211" s="2378"/>
      <c r="H211" s="2378"/>
      <c r="I211" s="2378"/>
      <c r="J211" s="2378"/>
      <c r="K211" s="2378"/>
      <c r="L211" s="2378"/>
      <c r="M211" s="2378"/>
      <c r="N211" s="2378"/>
      <c r="O211" s="2378"/>
      <c r="P211" s="2378"/>
      <c r="Q211" s="2378"/>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8"/>
      <c r="D213" s="2378"/>
      <c r="E213" s="2378"/>
      <c r="F213" s="2378"/>
      <c r="G213" s="2378"/>
      <c r="H213" s="2378"/>
      <c r="I213" s="2378"/>
      <c r="J213" s="2378"/>
      <c r="K213" s="2378"/>
      <c r="L213" s="2378"/>
      <c r="M213" s="2378"/>
      <c r="Q213" s="855"/>
    </row>
    <row r="214" spans="1:31" ht="14.1" customHeight="1">
      <c r="A214" s="2371" t="s">
        <v>358</v>
      </c>
      <c r="B214" s="4" t="s">
        <v>2586</v>
      </c>
      <c r="C214" s="4"/>
      <c r="D214" s="86"/>
      <c r="E214" s="86"/>
      <c r="F214" s="86"/>
      <c r="G214" s="2378"/>
      <c r="H214" s="2378"/>
      <c r="I214" s="2378"/>
      <c r="J214" s="2378"/>
      <c r="K214" s="2378"/>
      <c r="L214" s="2378"/>
      <c r="M214" s="2378"/>
      <c r="O214" s="131" t="s">
        <v>1820</v>
      </c>
      <c r="P214" s="2718"/>
      <c r="Q214" s="2719"/>
    </row>
    <row r="215" spans="1:31" ht="11.4" customHeight="1">
      <c r="A215" s="141" t="s">
        <v>1935</v>
      </c>
      <c r="B215" s="2710" t="s">
        <v>1802</v>
      </c>
      <c r="C215" s="2710"/>
      <c r="D215" s="2710"/>
      <c r="E215" s="2710"/>
      <c r="F215" s="2710"/>
      <c r="G215" s="2710"/>
      <c r="H215" s="65" t="s">
        <v>1694</v>
      </c>
      <c r="I215" s="52" t="s">
        <v>617</v>
      </c>
      <c r="J215" s="2727" t="s">
        <v>7053</v>
      </c>
      <c r="K215" s="2788"/>
      <c r="L215" s="2788"/>
      <c r="M215" s="2788"/>
      <c r="N215" s="2728"/>
      <c r="O215" s="160" t="s">
        <v>1455</v>
      </c>
      <c r="P215" s="2264" t="s">
        <v>2884</v>
      </c>
      <c r="Q215" s="1553"/>
    </row>
    <row r="216" spans="1:31" ht="11.4" customHeight="1">
      <c r="A216" s="149"/>
      <c r="B216" s="2710"/>
      <c r="C216" s="2710"/>
      <c r="D216" s="2710"/>
      <c r="E216" s="2710"/>
      <c r="F216" s="2710"/>
      <c r="G216" s="2710"/>
      <c r="H216" s="65" t="s">
        <v>1695</v>
      </c>
      <c r="I216" s="52" t="s">
        <v>113</v>
      </c>
      <c r="J216" s="2711" t="s">
        <v>7053</v>
      </c>
      <c r="K216" s="2712"/>
      <c r="L216" s="2712"/>
      <c r="M216" s="2712"/>
      <c r="N216" s="2713"/>
      <c r="O216" s="160" t="s">
        <v>1695</v>
      </c>
      <c r="P216" s="2257" t="s">
        <v>2884</v>
      </c>
      <c r="Q216" s="519"/>
    </row>
    <row r="217" spans="1:31" ht="12" customHeight="1">
      <c r="A217" s="141" t="s">
        <v>1937</v>
      </c>
      <c r="B217" s="52" t="s">
        <v>3671</v>
      </c>
      <c r="D217" s="52"/>
      <c r="E217" s="52"/>
      <c r="F217" s="52"/>
      <c r="G217" s="52"/>
      <c r="H217" s="52"/>
      <c r="I217" s="52"/>
      <c r="J217" s="52"/>
      <c r="K217" s="42"/>
      <c r="L217" s="52"/>
      <c r="M217" s="52"/>
      <c r="O217" s="455" t="s">
        <v>1937</v>
      </c>
      <c r="P217" s="2257" t="s">
        <v>2887</v>
      </c>
      <c r="Q217" s="519"/>
    </row>
    <row r="218" spans="1:31" ht="12" customHeight="1">
      <c r="A218" s="47" t="s">
        <v>731</v>
      </c>
      <c r="B218" s="52" t="s">
        <v>3672</v>
      </c>
      <c r="D218" s="52"/>
      <c r="E218" s="52"/>
      <c r="F218" s="52"/>
      <c r="G218" s="52"/>
      <c r="H218" s="52"/>
      <c r="I218" s="52"/>
      <c r="J218" s="52"/>
      <c r="K218" s="42"/>
      <c r="L218" s="52"/>
      <c r="M218" s="52"/>
      <c r="O218" s="455" t="s">
        <v>731</v>
      </c>
      <c r="P218" s="2258" t="s">
        <v>2887</v>
      </c>
      <c r="Q218" s="520"/>
    </row>
    <row r="219" spans="1:31" ht="11.25" customHeight="1">
      <c r="B219" s="140" t="s">
        <v>3565</v>
      </c>
      <c r="D219" s="140"/>
      <c r="E219" s="140"/>
      <c r="F219" s="140"/>
      <c r="G219" s="140"/>
      <c r="H219" s="40"/>
      <c r="I219" s="2398"/>
      <c r="J219" s="2398"/>
      <c r="K219" s="2398"/>
      <c r="L219" s="2376"/>
      <c r="M219" s="2376"/>
      <c r="N219" s="2376"/>
      <c r="O219" s="2376"/>
      <c r="P219" s="2376"/>
      <c r="Q219" s="855"/>
    </row>
    <row r="220" spans="1:31" ht="11.4" customHeight="1">
      <c r="A220" s="2707" t="s">
        <v>7146</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78"/>
      <c r="E221" s="2378"/>
      <c r="F221" s="2378"/>
      <c r="G221" s="2378"/>
      <c r="H221" s="2378"/>
      <c r="I221" s="2378"/>
      <c r="J221" s="2378"/>
      <c r="K221" s="2378"/>
      <c r="L221" s="2378"/>
      <c r="M221" s="2378"/>
      <c r="N221" s="2378"/>
      <c r="O221" s="2378"/>
      <c r="P221" s="2378"/>
      <c r="Q221" s="2378"/>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6"/>
      <c r="B223" s="2398"/>
      <c r="C223" s="2378"/>
      <c r="D223" s="2378"/>
      <c r="E223" s="2378"/>
      <c r="F223" s="2378"/>
      <c r="G223" s="2378"/>
      <c r="H223" s="2378"/>
      <c r="I223" s="2378"/>
      <c r="J223" s="2378"/>
      <c r="K223" s="2378"/>
      <c r="L223" s="2378"/>
      <c r="M223" s="2378"/>
      <c r="Q223" s="2376"/>
    </row>
    <row r="224" spans="1:31" ht="14.1" customHeight="1">
      <c r="A224" s="2371" t="s">
        <v>1683</v>
      </c>
      <c r="B224" s="2371" t="s">
        <v>2587</v>
      </c>
      <c r="C224" s="113"/>
      <c r="D224" s="2378"/>
      <c r="E224" s="2378"/>
      <c r="F224" s="2378"/>
      <c r="G224" s="2378"/>
      <c r="H224" s="2378"/>
      <c r="I224" s="2378"/>
      <c r="J224" s="2378"/>
      <c r="K224" s="2378"/>
      <c r="L224" s="2378"/>
      <c r="M224" s="2378"/>
      <c r="O224" s="131" t="s">
        <v>1820</v>
      </c>
      <c r="P224" s="2718"/>
      <c r="Q224" s="2719"/>
    </row>
    <row r="225" spans="1:32" s="27" customFormat="1" ht="11.4" customHeight="1">
      <c r="B225" s="144" t="s">
        <v>1167</v>
      </c>
      <c r="N225" s="120"/>
      <c r="P225" s="2254" t="s">
        <v>2887</v>
      </c>
      <c r="Q225" s="516"/>
      <c r="AE225" s="116"/>
      <c r="AF225" s="116"/>
    </row>
    <row r="226" spans="1:32" ht="12" customHeight="1">
      <c r="A226" s="47" t="s">
        <v>1935</v>
      </c>
      <c r="B226" s="36" t="s">
        <v>4707</v>
      </c>
      <c r="D226" s="42"/>
      <c r="E226" s="42"/>
      <c r="F226" s="42"/>
      <c r="G226" s="42"/>
      <c r="H226" s="42"/>
      <c r="I226" s="42"/>
      <c r="J226" s="42"/>
      <c r="K226" s="42"/>
      <c r="L226" s="42"/>
      <c r="M226" s="42"/>
      <c r="O226" s="455" t="s">
        <v>1935</v>
      </c>
      <c r="P226" s="2254" t="s">
        <v>7043</v>
      </c>
      <c r="Q226" s="518"/>
    </row>
    <row r="227" spans="1:32" ht="11.4" customHeight="1">
      <c r="A227" s="47"/>
      <c r="B227" s="145" t="s">
        <v>1694</v>
      </c>
      <c r="C227" s="52" t="s">
        <v>1883</v>
      </c>
      <c r="E227" s="52"/>
      <c r="F227" s="52"/>
      <c r="G227" s="52"/>
      <c r="H227" s="52"/>
      <c r="I227" s="42"/>
      <c r="J227" s="65" t="s">
        <v>1455</v>
      </c>
      <c r="K227" s="2727" t="s">
        <v>7086</v>
      </c>
      <c r="L227" s="2728"/>
      <c r="Q227" s="519"/>
    </row>
    <row r="228" spans="1:32" ht="11.4" customHeight="1">
      <c r="A228" s="47"/>
      <c r="B228" s="145" t="s">
        <v>1695</v>
      </c>
      <c r="C228" s="856" t="s">
        <v>4244</v>
      </c>
      <c r="E228" s="856"/>
      <c r="F228" s="856"/>
      <c r="G228" s="856"/>
      <c r="H228" s="856"/>
      <c r="I228" s="42"/>
      <c r="J228" s="65" t="s">
        <v>1456</v>
      </c>
      <c r="K228" s="2729" t="s">
        <v>7087</v>
      </c>
      <c r="L228" s="2730"/>
      <c r="M228" s="2724" t="s">
        <v>2641</v>
      </c>
      <c r="N228" s="2725"/>
      <c r="O228" s="2725"/>
      <c r="P228" s="2726"/>
      <c r="Q228" s="519"/>
    </row>
    <row r="229" spans="1:32" ht="11.4" customHeight="1">
      <c r="A229" s="47"/>
      <c r="B229" s="40" t="s">
        <v>1696</v>
      </c>
      <c r="C229" s="856" t="s">
        <v>4247</v>
      </c>
      <c r="D229" s="147"/>
      <c r="E229" s="856"/>
      <c r="F229" s="856"/>
      <c r="G229" s="856"/>
      <c r="H229" s="856"/>
      <c r="I229" s="94"/>
      <c r="J229" s="455" t="s">
        <v>1457</v>
      </c>
      <c r="K229" s="2863" t="s">
        <v>7054</v>
      </c>
      <c r="L229" s="2864"/>
      <c r="M229" s="2864"/>
      <c r="N229" s="2865"/>
      <c r="O229" s="1409"/>
      <c r="P229" s="1107"/>
      <c r="Q229" s="519"/>
      <c r="R229" s="42"/>
    </row>
    <row r="230" spans="1:32" ht="11.4" customHeight="1">
      <c r="A230" s="47"/>
      <c r="B230" s="40" t="s">
        <v>2304</v>
      </c>
      <c r="C230" s="856" t="s">
        <v>4246</v>
      </c>
      <c r="D230" s="147"/>
      <c r="E230" s="856"/>
      <c r="F230" s="856"/>
      <c r="G230" s="856"/>
      <c r="H230" s="856"/>
      <c r="I230" s="94"/>
      <c r="J230" s="455" t="s">
        <v>4245</v>
      </c>
      <c r="K230" s="2711" t="s">
        <v>7055</v>
      </c>
      <c r="L230" s="2712"/>
      <c r="M230" s="2712"/>
      <c r="N230" s="2713"/>
      <c r="O230" s="127"/>
      <c r="P230" s="1408"/>
      <c r="Q230" s="520"/>
      <c r="R230" s="42"/>
    </row>
    <row r="231" spans="1:32" ht="11.25" customHeight="1">
      <c r="A231" s="47" t="s">
        <v>1937</v>
      </c>
      <c r="B231" s="52" t="s">
        <v>4708</v>
      </c>
      <c r="D231" s="52"/>
      <c r="E231" s="52"/>
      <c r="F231" s="52"/>
      <c r="G231" s="52"/>
      <c r="H231" s="52"/>
      <c r="I231" s="52"/>
      <c r="J231" s="52"/>
      <c r="K231" s="42"/>
      <c r="L231" s="42"/>
      <c r="M231" s="42"/>
      <c r="N231" s="42"/>
      <c r="O231" s="455" t="s">
        <v>1937</v>
      </c>
      <c r="P231" s="2254" t="s">
        <v>7043</v>
      </c>
      <c r="Q231" s="516"/>
    </row>
    <row r="232" spans="1:32" ht="11.1" customHeight="1">
      <c r="A232" s="47"/>
      <c r="B232" s="52" t="s">
        <v>4400</v>
      </c>
      <c r="D232" s="52"/>
      <c r="E232" s="52"/>
      <c r="F232" s="52"/>
      <c r="G232" s="52"/>
      <c r="H232" s="52"/>
      <c r="I232" s="52"/>
      <c r="J232" s="52"/>
      <c r="K232" s="42"/>
      <c r="L232" s="42"/>
      <c r="M232" s="42"/>
      <c r="N232" s="455" t="s">
        <v>3451</v>
      </c>
      <c r="O232" s="1495">
        <f>'Part VI-Revenues &amp; Expenses'!$P$67</f>
        <v>48</v>
      </c>
      <c r="P232" s="2866" t="s">
        <v>4402</v>
      </c>
      <c r="Q232" s="2867"/>
    </row>
    <row r="233" spans="1:32" ht="11.1" customHeight="1">
      <c r="A233" s="47"/>
      <c r="B233" s="145" t="s">
        <v>1694</v>
      </c>
      <c r="C233" s="52" t="s">
        <v>4403</v>
      </c>
      <c r="D233" s="52"/>
      <c r="E233" s="52"/>
      <c r="F233" s="52"/>
      <c r="H233" s="455" t="s">
        <v>4404</v>
      </c>
      <c r="I233" s="52" t="s">
        <v>4413</v>
      </c>
      <c r="M233" s="42"/>
      <c r="N233" s="42"/>
      <c r="O233" s="292"/>
      <c r="P233" s="1486" t="s">
        <v>755</v>
      </c>
      <c r="Q233" s="1487" t="s">
        <v>4401</v>
      </c>
    </row>
    <row r="234" spans="1:32" s="43" customFormat="1" ht="11.4" customHeight="1">
      <c r="A234" s="51"/>
      <c r="B234" s="455" t="s">
        <v>2065</v>
      </c>
      <c r="C234" s="2868" t="s">
        <v>4396</v>
      </c>
      <c r="D234" s="2869"/>
      <c r="E234" s="2869"/>
      <c r="F234" s="2869"/>
      <c r="G234" s="2870"/>
      <c r="H234" s="455" t="s">
        <v>2065</v>
      </c>
      <c r="I234" s="2871" t="s">
        <v>3826</v>
      </c>
      <c r="J234" s="2872"/>
      <c r="K234" s="2872"/>
      <c r="L234" s="2872"/>
      <c r="M234" s="2872"/>
      <c r="N234" s="2872"/>
      <c r="O234" s="2873"/>
      <c r="P234" s="518"/>
      <c r="Q234" s="4117"/>
      <c r="AE234" s="54"/>
      <c r="AF234" s="54"/>
    </row>
    <row r="235" spans="1:32" s="43" customFormat="1" ht="11.4" customHeight="1">
      <c r="A235" s="51"/>
      <c r="B235" s="455" t="s">
        <v>2066</v>
      </c>
      <c r="C235" s="2874" t="s">
        <v>4398</v>
      </c>
      <c r="D235" s="2875"/>
      <c r="E235" s="2875"/>
      <c r="F235" s="2875"/>
      <c r="G235" s="2876"/>
      <c r="H235" s="455" t="s">
        <v>2066</v>
      </c>
      <c r="I235" s="2737"/>
      <c r="J235" s="2738"/>
      <c r="K235" s="2738"/>
      <c r="L235" s="2738"/>
      <c r="M235" s="2738"/>
      <c r="N235" s="2738"/>
      <c r="O235" s="2739"/>
      <c r="P235" s="519"/>
      <c r="Q235" s="4118"/>
      <c r="AE235" s="54"/>
      <c r="AF235" s="54"/>
    </row>
    <row r="236" spans="1:32" s="43" customFormat="1" ht="11.4" customHeight="1">
      <c r="A236" s="51"/>
      <c r="B236" s="455" t="s">
        <v>1691</v>
      </c>
      <c r="C236" s="2874" t="s">
        <v>4477</v>
      </c>
      <c r="D236" s="2875"/>
      <c r="E236" s="2875"/>
      <c r="F236" s="2875"/>
      <c r="G236" s="2876"/>
      <c r="H236" s="455" t="s">
        <v>1691</v>
      </c>
      <c r="I236" s="2737" t="s">
        <v>3826</v>
      </c>
      <c r="J236" s="2738"/>
      <c r="K236" s="2738"/>
      <c r="L236" s="2738"/>
      <c r="M236" s="2738"/>
      <c r="N236" s="2738"/>
      <c r="O236" s="2739"/>
      <c r="P236" s="519"/>
      <c r="Q236" s="4118"/>
      <c r="AE236" s="54"/>
      <c r="AF236" s="54"/>
    </row>
    <row r="237" spans="1:32" s="43" customFormat="1" ht="11.4" customHeight="1">
      <c r="A237" s="51"/>
      <c r="B237" s="455" t="s">
        <v>4412</v>
      </c>
      <c r="C237" s="2731" t="s">
        <v>2054</v>
      </c>
      <c r="D237" s="2732"/>
      <c r="E237" s="2732"/>
      <c r="F237" s="2732"/>
      <c r="G237" s="2733"/>
      <c r="H237" s="455" t="s">
        <v>4412</v>
      </c>
      <c r="I237" s="2734"/>
      <c r="J237" s="2735"/>
      <c r="K237" s="2735"/>
      <c r="L237" s="2735"/>
      <c r="M237" s="2735"/>
      <c r="N237" s="2735"/>
      <c r="O237" s="2736"/>
      <c r="P237" s="520"/>
      <c r="Q237" s="4119"/>
      <c r="AE237" s="54"/>
      <c r="AF237" s="54"/>
    </row>
    <row r="238" spans="1:32" ht="12" customHeight="1">
      <c r="A238" s="47" t="s">
        <v>731</v>
      </c>
      <c r="B238" s="52" t="s">
        <v>1354</v>
      </c>
      <c r="C238" s="52"/>
      <c r="E238" s="52"/>
      <c r="F238" s="52"/>
      <c r="G238" s="52"/>
      <c r="H238" s="52"/>
      <c r="I238" s="52"/>
      <c r="J238" s="52"/>
      <c r="K238" s="42"/>
      <c r="L238" s="52"/>
      <c r="M238" s="52"/>
      <c r="O238" s="455" t="s">
        <v>731</v>
      </c>
      <c r="P238" s="2256" t="s">
        <v>7043</v>
      </c>
      <c r="Q238" s="518"/>
    </row>
    <row r="239" spans="1:32" ht="11.4" customHeight="1">
      <c r="A239" s="47"/>
      <c r="B239" s="145" t="s">
        <v>1694</v>
      </c>
      <c r="C239" s="52" t="s">
        <v>3346</v>
      </c>
      <c r="E239" s="52"/>
      <c r="F239" s="52"/>
      <c r="L239" s="33"/>
      <c r="M239" s="33"/>
      <c r="O239" s="65" t="s">
        <v>1694</v>
      </c>
      <c r="P239" s="2257" t="s">
        <v>2884</v>
      </c>
      <c r="Q239" s="519"/>
    </row>
    <row r="240" spans="1:32" ht="11.4" customHeight="1">
      <c r="B240" s="145" t="s">
        <v>1695</v>
      </c>
      <c r="C240" s="856" t="s">
        <v>2713</v>
      </c>
      <c r="E240" s="856"/>
      <c r="F240" s="856"/>
      <c r="L240" s="33"/>
      <c r="M240" s="33"/>
      <c r="O240" s="65" t="s">
        <v>1695</v>
      </c>
      <c r="P240" s="2257" t="s">
        <v>2884</v>
      </c>
      <c r="Q240" s="519"/>
    </row>
    <row r="241" spans="1:31" ht="11.4" customHeight="1">
      <c r="B241" s="145" t="s">
        <v>1696</v>
      </c>
      <c r="C241" s="856" t="s">
        <v>4562</v>
      </c>
      <c r="E241" s="856"/>
      <c r="F241" s="856"/>
      <c r="G241" s="856"/>
      <c r="H241" s="856"/>
      <c r="I241" s="42"/>
      <c r="J241" s="33"/>
      <c r="K241" s="42"/>
      <c r="L241" s="33"/>
      <c r="M241" s="33"/>
      <c r="O241" s="65" t="s">
        <v>1696</v>
      </c>
      <c r="P241" s="2257" t="s">
        <v>2884</v>
      </c>
      <c r="Q241" s="519"/>
    </row>
    <row r="242" spans="1:31" ht="11.4" customHeight="1">
      <c r="A242" s="47"/>
      <c r="B242" s="145" t="s">
        <v>2304</v>
      </c>
      <c r="C242" s="856" t="s">
        <v>2714</v>
      </c>
      <c r="E242" s="856"/>
      <c r="F242" s="856"/>
      <c r="G242" s="856"/>
      <c r="H242" s="856"/>
      <c r="I242" s="42"/>
      <c r="J242" s="33"/>
      <c r="K242" s="42"/>
      <c r="L242" s="33"/>
      <c r="M242" s="33"/>
      <c r="O242" s="65" t="s">
        <v>2304</v>
      </c>
      <c r="P242" s="2257" t="s">
        <v>2884</v>
      </c>
      <c r="Q242" s="519"/>
    </row>
    <row r="243" spans="1:31" ht="11.4" customHeight="1">
      <c r="A243" s="47"/>
      <c r="B243" s="145" t="s">
        <v>1516</v>
      </c>
      <c r="C243" s="856" t="s">
        <v>2715</v>
      </c>
      <c r="E243" s="856"/>
      <c r="F243" s="856"/>
      <c r="G243" s="856"/>
      <c r="H243" s="856"/>
      <c r="I243" s="42"/>
      <c r="J243" s="33"/>
      <c r="K243" s="42"/>
      <c r="L243" s="33"/>
      <c r="M243" s="33"/>
      <c r="O243" s="65" t="s">
        <v>1516</v>
      </c>
      <c r="P243" s="2257" t="s">
        <v>2884</v>
      </c>
      <c r="Q243" s="519"/>
    </row>
    <row r="244" spans="1:31" ht="11.4" customHeight="1">
      <c r="A244" s="47"/>
      <c r="B244" s="40" t="s">
        <v>1517</v>
      </c>
      <c r="C244" s="52" t="s">
        <v>4638</v>
      </c>
      <c r="E244" s="52"/>
      <c r="F244" s="52"/>
      <c r="G244" s="52"/>
      <c r="H244" s="52"/>
      <c r="I244" s="42"/>
      <c r="J244" s="33"/>
      <c r="K244" s="42"/>
      <c r="L244" s="33"/>
      <c r="M244" s="33"/>
      <c r="O244" s="455" t="s">
        <v>2705</v>
      </c>
      <c r="P244" s="2257" t="s">
        <v>2884</v>
      </c>
      <c r="Q244" s="519"/>
    </row>
    <row r="245" spans="1:31" ht="11.4" customHeight="1">
      <c r="A245" s="47"/>
      <c r="B245" s="65"/>
      <c r="C245" s="52" t="s">
        <v>1458</v>
      </c>
      <c r="E245" s="52"/>
      <c r="F245" s="52"/>
      <c r="G245" s="52"/>
      <c r="H245" s="52"/>
      <c r="I245" s="42"/>
      <c r="J245" s="33"/>
      <c r="K245" s="42"/>
      <c r="L245" s="33"/>
      <c r="M245" s="33"/>
      <c r="O245" s="455" t="s">
        <v>2706</v>
      </c>
      <c r="P245" s="2258"/>
      <c r="Q245" s="520"/>
    </row>
    <row r="246" spans="1:31" ht="11.25" customHeight="1">
      <c r="A246" s="47" t="s">
        <v>2064</v>
      </c>
      <c r="B246" s="52" t="s">
        <v>4561</v>
      </c>
      <c r="C246" s="52"/>
      <c r="E246" s="52"/>
      <c r="F246" s="52"/>
      <c r="G246" s="52"/>
      <c r="H246" s="52"/>
      <c r="I246" s="52"/>
      <c r="J246" s="52"/>
      <c r="K246" s="42"/>
      <c r="M246" s="64"/>
      <c r="N246" s="1466" t="str">
        <f>'Part I-Project Information'!$H$82</f>
        <v>HFOP</v>
      </c>
      <c r="O246" s="455" t="s">
        <v>2064</v>
      </c>
      <c r="P246" s="2256" t="s">
        <v>7043</v>
      </c>
      <c r="Q246" s="518"/>
    </row>
    <row r="247" spans="1:31" ht="11.4" customHeight="1">
      <c r="B247" s="145" t="s">
        <v>1694</v>
      </c>
      <c r="C247" s="39" t="s">
        <v>1229</v>
      </c>
      <c r="E247" s="42"/>
      <c r="F247" s="42"/>
      <c r="G247" s="39"/>
      <c r="H247" s="856"/>
      <c r="I247" s="42"/>
      <c r="J247" s="856"/>
      <c r="K247" s="42"/>
      <c r="L247" s="856"/>
      <c r="M247" s="856"/>
      <c r="O247" s="65" t="s">
        <v>1694</v>
      </c>
      <c r="P247" s="2257" t="s">
        <v>2884</v>
      </c>
      <c r="Q247" s="519"/>
    </row>
    <row r="248" spans="1:31" ht="11.4" customHeight="1">
      <c r="B248" s="145" t="s">
        <v>1695</v>
      </c>
      <c r="C248" s="36" t="s">
        <v>4260</v>
      </c>
      <c r="E248" s="42"/>
      <c r="F248" s="42"/>
      <c r="G248" s="856"/>
      <c r="H248" s="856"/>
      <c r="I248" s="42"/>
      <c r="J248" s="856"/>
      <c r="K248" s="42"/>
      <c r="L248" s="856"/>
      <c r="M248" s="856"/>
      <c r="O248" s="65" t="s">
        <v>1695</v>
      </c>
      <c r="P248" s="2258" t="s">
        <v>2884</v>
      </c>
      <c r="Q248" s="520"/>
    </row>
    <row r="249" spans="1:31" ht="11.25" customHeight="1">
      <c r="B249" s="140" t="s">
        <v>3565</v>
      </c>
      <c r="D249" s="140"/>
      <c r="E249" s="140"/>
      <c r="F249" s="140"/>
      <c r="G249" s="140"/>
      <c r="H249" s="40"/>
      <c r="I249" s="2398"/>
      <c r="J249" s="2398"/>
      <c r="K249" s="2398"/>
      <c r="L249" s="2376"/>
      <c r="M249" s="2376"/>
      <c r="N249" s="2376"/>
      <c r="O249" s="2376"/>
      <c r="P249" s="2376"/>
      <c r="Q249" s="855"/>
    </row>
    <row r="250" spans="1:31" ht="11.4" customHeight="1">
      <c r="A250" s="2707" t="s">
        <v>7056</v>
      </c>
      <c r="B250" s="2708"/>
      <c r="C250" s="2708"/>
      <c r="D250" s="2708"/>
      <c r="E250" s="2708"/>
      <c r="F250" s="2708"/>
      <c r="G250" s="2708"/>
      <c r="H250" s="2708"/>
      <c r="I250" s="2708"/>
      <c r="J250" s="2708"/>
      <c r="K250" s="2708"/>
      <c r="L250" s="2708"/>
      <c r="M250" s="2708"/>
      <c r="N250" s="2708"/>
      <c r="O250" s="2708"/>
      <c r="P250" s="2708"/>
      <c r="Q250" s="2709"/>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8"/>
      <c r="E251" s="2378"/>
      <c r="F251" s="2378"/>
      <c r="G251" s="2378"/>
      <c r="H251" s="2378"/>
      <c r="I251" s="2378"/>
      <c r="J251" s="2378"/>
      <c r="K251" s="2378"/>
      <c r="L251" s="2378"/>
      <c r="M251" s="2378"/>
      <c r="N251" s="2378"/>
      <c r="O251" s="2378"/>
      <c r="P251" s="2378"/>
      <c r="Q251" s="2378"/>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6"/>
      <c r="B253" s="2398"/>
      <c r="C253" s="2378"/>
      <c r="D253" s="2378"/>
      <c r="E253" s="2378"/>
      <c r="F253" s="2378"/>
      <c r="G253" s="2378"/>
      <c r="H253" s="2378"/>
      <c r="I253" s="2378"/>
      <c r="J253" s="2378"/>
      <c r="K253" s="2378"/>
      <c r="L253" s="2378"/>
      <c r="M253" s="2378"/>
      <c r="Q253" s="2376"/>
    </row>
    <row r="254" spans="1:31" ht="14.1" customHeight="1">
      <c r="A254" s="2371" t="s">
        <v>2690</v>
      </c>
      <c r="B254" s="4" t="s">
        <v>4563</v>
      </c>
      <c r="C254" s="4"/>
      <c r="D254" s="86"/>
      <c r="E254" s="86"/>
      <c r="F254" s="86"/>
      <c r="G254" s="86"/>
      <c r="H254" s="2378"/>
      <c r="I254" s="2378"/>
      <c r="J254" s="2378"/>
      <c r="K254" s="2378"/>
      <c r="L254" s="1536"/>
      <c r="M254" s="1537"/>
      <c r="O254" s="131" t="s">
        <v>1820</v>
      </c>
      <c r="P254" s="2718"/>
      <c r="Q254" s="2719"/>
    </row>
    <row r="255" spans="1:31" ht="11.4" customHeight="1">
      <c r="A255" s="47" t="s">
        <v>1935</v>
      </c>
      <c r="B255" s="52" t="s">
        <v>1242</v>
      </c>
      <c r="D255" s="42"/>
      <c r="E255" s="52"/>
      <c r="F255" s="52"/>
      <c r="J255" s="455" t="s">
        <v>1935</v>
      </c>
      <c r="K255" s="2698" t="s">
        <v>1727</v>
      </c>
      <c r="L255" s="2699"/>
      <c r="M255" s="2699"/>
      <c r="N255" s="2699"/>
      <c r="O255" s="2700"/>
      <c r="P255" s="4120" t="s">
        <v>1727</v>
      </c>
      <c r="Q255" s="4121"/>
    </row>
    <row r="256" spans="1:31" ht="11.4" customHeight="1">
      <c r="A256" s="47" t="s">
        <v>1937</v>
      </c>
      <c r="B256" s="52" t="s">
        <v>2716</v>
      </c>
      <c r="D256" s="52"/>
      <c r="E256" s="52"/>
      <c r="F256" s="52"/>
      <c r="J256" s="455" t="s">
        <v>1937</v>
      </c>
      <c r="K256" s="2899"/>
      <c r="L256" s="2900"/>
      <c r="M256" s="2900"/>
      <c r="N256" s="2900"/>
      <c r="O256" s="2901"/>
      <c r="P256" s="4122"/>
      <c r="Q256" s="4123"/>
    </row>
    <row r="257" spans="1:32" s="147" customFormat="1" ht="11.4" customHeight="1">
      <c r="A257" s="47"/>
      <c r="B257" s="52" t="s">
        <v>1897</v>
      </c>
      <c r="D257" s="52"/>
      <c r="E257" s="52"/>
      <c r="F257" s="52"/>
      <c r="K257" s="2711"/>
      <c r="L257" s="2712"/>
      <c r="M257" s="2712"/>
      <c r="N257" s="2712"/>
      <c r="O257" s="2713"/>
      <c r="P257" s="4124"/>
      <c r="Q257" s="4125"/>
      <c r="AE257" s="459"/>
      <c r="AF257" s="459"/>
    </row>
    <row r="258" spans="1:32" s="147" customFormat="1" ht="11.4" customHeight="1">
      <c r="A258" s="47"/>
      <c r="B258" s="52" t="s">
        <v>2476</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4353</v>
      </c>
      <c r="D259" s="52"/>
      <c r="E259" s="52"/>
      <c r="F259" s="52"/>
      <c r="J259" s="455" t="s">
        <v>731</v>
      </c>
      <c r="K259" s="2896"/>
      <c r="L259" s="2897"/>
      <c r="M259" s="2897"/>
      <c r="N259" s="2897"/>
      <c r="O259" s="2898"/>
      <c r="P259" s="4126"/>
      <c r="Q259" s="4127"/>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9"/>
      <c r="M261" s="36"/>
      <c r="N261" s="979"/>
      <c r="O261" s="979"/>
      <c r="P261" s="2256"/>
      <c r="Q261" s="518"/>
      <c r="AE261" s="459"/>
      <c r="AF261" s="459"/>
    </row>
    <row r="262" spans="1:32" s="147" customFormat="1" ht="11.4" customHeight="1">
      <c r="A262" s="47"/>
      <c r="B262" s="52"/>
      <c r="C262" s="55" t="s">
        <v>4486</v>
      </c>
      <c r="D262" s="52"/>
      <c r="E262" s="52"/>
      <c r="F262" s="52"/>
      <c r="K262" s="455" t="s">
        <v>4264</v>
      </c>
      <c r="L262" s="2270"/>
      <c r="M262" s="36"/>
      <c r="N262" s="979"/>
      <c r="O262" s="979"/>
      <c r="P262" s="2258"/>
      <c r="Q262" s="520"/>
      <c r="AE262" s="459"/>
      <c r="AF262" s="459"/>
    </row>
    <row r="263" spans="1:32" s="147" customFormat="1" ht="11.4" customHeight="1">
      <c r="A263" s="47"/>
      <c r="B263" s="52" t="s">
        <v>4261</v>
      </c>
      <c r="D263" s="52"/>
      <c r="E263" s="52"/>
      <c r="F263" s="52"/>
      <c r="K263" s="2698"/>
      <c r="L263" s="2699"/>
      <c r="M263" s="2699"/>
      <c r="N263" s="2699"/>
      <c r="O263" s="2700"/>
      <c r="P263" s="4128"/>
      <c r="Q263" s="4129"/>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56"/>
      <c r="Q264" s="518"/>
      <c r="AE264" s="459"/>
      <c r="AF264" s="459"/>
    </row>
    <row r="265" spans="1:32" s="147" customFormat="1" ht="11.4" customHeight="1">
      <c r="A265" s="47"/>
      <c r="B265" s="2710" t="s">
        <v>3571</v>
      </c>
      <c r="C265" s="2710"/>
      <c r="D265" s="2710"/>
      <c r="E265" s="2710"/>
      <c r="F265" s="2710"/>
      <c r="G265" s="2710"/>
      <c r="H265" s="427" t="s">
        <v>3795</v>
      </c>
      <c r="K265" s="94"/>
      <c r="M265" s="36"/>
      <c r="N265" s="979"/>
      <c r="O265" s="65" t="s">
        <v>1694</v>
      </c>
      <c r="P265" s="2257"/>
      <c r="Q265" s="519"/>
      <c r="AE265" s="459"/>
      <c r="AF265" s="459"/>
    </row>
    <row r="266" spans="1:32" s="147" customFormat="1" ht="11.4" customHeight="1">
      <c r="A266" s="47"/>
      <c r="B266" s="2710"/>
      <c r="C266" s="2710"/>
      <c r="D266" s="2710"/>
      <c r="E266" s="2710"/>
      <c r="F266" s="2710"/>
      <c r="G266" s="2710"/>
      <c r="H266" s="55" t="s">
        <v>3796</v>
      </c>
      <c r="K266" s="94"/>
      <c r="M266" s="36"/>
      <c r="N266" s="979"/>
      <c r="O266" s="65" t="s">
        <v>1695</v>
      </c>
      <c r="P266" s="2257"/>
      <c r="Q266" s="519"/>
      <c r="AE266" s="459"/>
      <c r="AF266" s="459"/>
    </row>
    <row r="267" spans="1:32" s="147" customFormat="1" ht="11.4" customHeight="1">
      <c r="A267" s="47"/>
      <c r="B267" s="52"/>
      <c r="D267" s="52"/>
      <c r="E267" s="52"/>
      <c r="F267" s="52"/>
      <c r="G267" s="52"/>
      <c r="H267" s="55" t="s">
        <v>3797</v>
      </c>
      <c r="K267" s="94"/>
      <c r="M267" s="36"/>
      <c r="N267" s="979"/>
      <c r="O267" s="65" t="s">
        <v>1696</v>
      </c>
      <c r="P267" s="2257"/>
      <c r="Q267" s="519"/>
      <c r="AE267" s="459"/>
      <c r="AF267" s="459"/>
    </row>
    <row r="268" spans="1:32" s="147" customFormat="1" ht="11.4" customHeight="1">
      <c r="A268" s="47"/>
      <c r="B268" s="52"/>
      <c r="D268" s="52"/>
      <c r="E268" s="52"/>
      <c r="F268" s="52"/>
      <c r="G268" s="52"/>
      <c r="H268" s="55" t="s">
        <v>3798</v>
      </c>
      <c r="K268" s="94"/>
      <c r="M268" s="36"/>
      <c r="N268" s="979"/>
      <c r="O268" s="455" t="s">
        <v>2304</v>
      </c>
      <c r="P268" s="2257"/>
      <c r="Q268" s="519"/>
      <c r="AE268" s="459"/>
      <c r="AF268" s="459"/>
    </row>
    <row r="269" spans="1:32" s="147" customFormat="1" ht="21.75" customHeight="1">
      <c r="B269" s="2710" t="s">
        <v>4709</v>
      </c>
      <c r="C269" s="2710"/>
      <c r="D269" s="2710"/>
      <c r="E269" s="2710"/>
      <c r="F269" s="2710"/>
      <c r="G269" s="2710"/>
      <c r="H269" s="2710"/>
      <c r="I269" s="2710"/>
      <c r="J269" s="2710"/>
      <c r="K269" s="2710"/>
      <c r="L269" s="2710"/>
      <c r="M269" s="2710"/>
      <c r="N269" s="2710"/>
      <c r="O269" s="160" t="s">
        <v>1516</v>
      </c>
      <c r="P269" s="2389"/>
      <c r="Q269" s="2253"/>
      <c r="T269" s="459"/>
      <c r="AE269" s="459"/>
      <c r="AF269" s="459"/>
    </row>
    <row r="270" spans="1:32" ht="11.25" customHeight="1">
      <c r="B270" s="140" t="s">
        <v>3565</v>
      </c>
      <c r="D270" s="140"/>
      <c r="E270" s="140"/>
      <c r="F270" s="140"/>
      <c r="G270" s="140"/>
      <c r="H270" s="40"/>
      <c r="I270" s="2398"/>
      <c r="J270" s="2398"/>
      <c r="K270" s="2398"/>
      <c r="L270" s="2376"/>
      <c r="M270" s="2376"/>
      <c r="N270" s="2376"/>
      <c r="O270" s="2376"/>
      <c r="P270" s="2376"/>
      <c r="Q270" s="855"/>
    </row>
    <row r="271" spans="1:32" ht="13.35" customHeight="1">
      <c r="A271" s="2707" t="s">
        <v>7057</v>
      </c>
      <c r="B271" s="2708"/>
      <c r="C271" s="2708"/>
      <c r="D271" s="2708"/>
      <c r="E271" s="2708"/>
      <c r="F271" s="2708"/>
      <c r="G271" s="2708"/>
      <c r="H271" s="2708"/>
      <c r="I271" s="2708"/>
      <c r="J271" s="2708"/>
      <c r="K271" s="2708"/>
      <c r="L271" s="2708"/>
      <c r="M271" s="2708"/>
      <c r="N271" s="2708"/>
      <c r="O271" s="2708"/>
      <c r="P271" s="2708"/>
      <c r="Q271" s="2709"/>
      <c r="R271" s="440" t="s">
        <v>1228</v>
      </c>
      <c r="S271" s="441"/>
      <c r="U271" s="135"/>
      <c r="V271" s="135"/>
      <c r="W271" s="135"/>
      <c r="X271" s="135"/>
      <c r="Y271" s="135"/>
      <c r="Z271" s="135"/>
      <c r="AA271" s="135"/>
      <c r="AB271" s="135"/>
      <c r="AC271" s="135"/>
      <c r="AD271" s="135"/>
      <c r="AE271" s="457"/>
    </row>
    <row r="272" spans="1:32" ht="11.1" customHeight="1">
      <c r="B272" s="136" t="s">
        <v>1819</v>
      </c>
      <c r="C272" s="137"/>
      <c r="D272" s="2378"/>
      <c r="E272" s="2378"/>
      <c r="F272" s="2378"/>
      <c r="G272" s="2378"/>
      <c r="H272" s="2378"/>
      <c r="I272" s="2378"/>
      <c r="J272" s="2378"/>
      <c r="K272" s="2378"/>
      <c r="L272" s="2378"/>
      <c r="M272" s="2378"/>
      <c r="N272" s="2378"/>
      <c r="O272" s="2378"/>
      <c r="P272" s="2378"/>
      <c r="Q272" s="2378"/>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6"/>
      <c r="B274" s="2398"/>
      <c r="C274" s="2378"/>
      <c r="D274" s="2378"/>
      <c r="E274" s="2378"/>
      <c r="F274" s="2378"/>
      <c r="G274" s="2378"/>
      <c r="H274" s="2378"/>
      <c r="I274" s="2378"/>
      <c r="J274" s="2378"/>
      <c r="K274" s="2378"/>
      <c r="L274" s="2378"/>
      <c r="M274" s="2378"/>
      <c r="Q274" s="2376"/>
    </row>
    <row r="275" spans="1:32" ht="14.1" customHeight="1">
      <c r="A275" s="2371" t="s">
        <v>2193</v>
      </c>
      <c r="B275" s="4" t="s">
        <v>2588</v>
      </c>
      <c r="C275" s="4"/>
      <c r="D275" s="86"/>
      <c r="E275" s="86"/>
      <c r="F275" s="86"/>
      <c r="G275" s="86"/>
      <c r="H275" s="2378"/>
      <c r="I275" s="2378"/>
      <c r="J275" s="2378"/>
      <c r="K275" s="2378"/>
      <c r="L275" s="2378"/>
      <c r="M275" s="2378"/>
      <c r="O275" s="131" t="s">
        <v>1820</v>
      </c>
      <c r="P275" s="2718"/>
      <c r="Q275" s="2719"/>
    </row>
    <row r="276" spans="1:32" s="411" customFormat="1" ht="21.75" customHeight="1">
      <c r="A276" s="141" t="s">
        <v>1935</v>
      </c>
      <c r="B276" s="2378" t="s">
        <v>1694</v>
      </c>
      <c r="C276" s="2710" t="s">
        <v>4710</v>
      </c>
      <c r="D276" s="2710"/>
      <c r="E276" s="2710"/>
      <c r="F276" s="2710"/>
      <c r="G276" s="2710"/>
      <c r="H276" s="2710"/>
      <c r="I276" s="2710"/>
      <c r="J276" s="2710"/>
      <c r="K276" s="2710"/>
      <c r="L276" s="2710"/>
      <c r="M276" s="2710"/>
      <c r="N276" s="2710"/>
      <c r="O276" s="1725" t="s">
        <v>1455</v>
      </c>
      <c r="P276" s="2268" t="s">
        <v>2884</v>
      </c>
      <c r="Q276" s="1088"/>
      <c r="AE276" s="460"/>
      <c r="AF276" s="460"/>
    </row>
    <row r="277" spans="1:32" s="147" customFormat="1" ht="11.4" customHeight="1">
      <c r="A277" s="47"/>
      <c r="B277" s="2378" t="s">
        <v>1695</v>
      </c>
      <c r="C277" s="52" t="s">
        <v>3568</v>
      </c>
      <c r="D277" s="52"/>
      <c r="E277" s="52"/>
      <c r="F277" s="52"/>
      <c r="G277" s="52"/>
      <c r="H277" s="52"/>
      <c r="I277" s="52"/>
      <c r="J277" s="52"/>
      <c r="K277" s="52"/>
      <c r="L277" s="52"/>
      <c r="M277" s="52"/>
      <c r="O277" s="1725" t="s">
        <v>1695</v>
      </c>
      <c r="P277" s="2258" t="s">
        <v>2884</v>
      </c>
      <c r="Q277" s="520"/>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2258" t="s">
        <v>2884</v>
      </c>
      <c r="Q278" s="520"/>
      <c r="AE278" s="459"/>
      <c r="AF278" s="459"/>
    </row>
    <row r="279" spans="1:32" s="411" customFormat="1" ht="19.95" customHeight="1">
      <c r="A279" s="141" t="s">
        <v>731</v>
      </c>
      <c r="B279" s="2378" t="s">
        <v>1694</v>
      </c>
      <c r="C279" s="2710" t="s">
        <v>4746</v>
      </c>
      <c r="D279" s="2710"/>
      <c r="E279" s="2710"/>
      <c r="F279" s="2710"/>
      <c r="G279" s="2710"/>
      <c r="H279" s="2710"/>
      <c r="I279" s="2710"/>
      <c r="J279" s="2710"/>
      <c r="K279" s="2710"/>
      <c r="L279" s="2710"/>
      <c r="M279" s="2710"/>
      <c r="N279" s="2710"/>
      <c r="O279" s="1725" t="s">
        <v>4747</v>
      </c>
      <c r="P279" s="2268" t="s">
        <v>2884</v>
      </c>
      <c r="Q279" s="1088"/>
      <c r="AE279" s="460"/>
      <c r="AF279" s="460"/>
    </row>
    <row r="280" spans="1:32" s="147" customFormat="1" ht="11.4" customHeight="1">
      <c r="A280" s="47"/>
      <c r="B280" s="2378" t="s">
        <v>1695</v>
      </c>
      <c r="C280" s="52" t="s">
        <v>3570</v>
      </c>
      <c r="D280" s="52"/>
      <c r="E280" s="52"/>
      <c r="F280" s="52"/>
      <c r="G280" s="52"/>
      <c r="H280" s="52"/>
      <c r="I280" s="52"/>
      <c r="J280" s="52"/>
      <c r="K280" s="52"/>
      <c r="L280" s="52"/>
      <c r="M280" s="52"/>
      <c r="O280" s="1725" t="s">
        <v>1695</v>
      </c>
      <c r="P280" s="2258" t="s">
        <v>2884</v>
      </c>
      <c r="Q280" s="520"/>
      <c r="AE280" s="459"/>
      <c r="AF280" s="459"/>
    </row>
    <row r="281" spans="1:32" s="147" customFormat="1" ht="22.5" customHeight="1">
      <c r="A281" s="141" t="s">
        <v>2064</v>
      </c>
      <c r="B281" s="2710" t="s">
        <v>4748</v>
      </c>
      <c r="C281" s="2710"/>
      <c r="D281" s="2710"/>
      <c r="E281" s="2710"/>
      <c r="F281" s="2710"/>
      <c r="G281" s="2710"/>
      <c r="H281" s="2710"/>
      <c r="I281" s="2710"/>
      <c r="J281" s="2710"/>
      <c r="K281" s="2710"/>
      <c r="L281" s="2710"/>
      <c r="M281" s="2710"/>
      <c r="N281" s="2710"/>
      <c r="O281" s="455" t="s">
        <v>2064</v>
      </c>
      <c r="P281" s="2389" t="s">
        <v>2884</v>
      </c>
      <c r="Q281" s="2253"/>
      <c r="AE281" s="459"/>
      <c r="AF281" s="459"/>
    </row>
    <row r="282" spans="1:32" ht="11.25" customHeight="1">
      <c r="B282" s="140" t="s">
        <v>3565</v>
      </c>
      <c r="D282" s="140"/>
      <c r="E282" s="140"/>
      <c r="F282" s="140"/>
      <c r="G282" s="140"/>
      <c r="H282" s="40"/>
      <c r="I282" s="2398"/>
      <c r="J282" s="2398"/>
      <c r="K282" s="2398"/>
      <c r="L282" s="2376"/>
      <c r="M282" s="2376"/>
      <c r="N282" s="2376"/>
      <c r="O282" s="2376"/>
      <c r="P282" s="2376"/>
      <c r="Q282" s="855"/>
    </row>
    <row r="283" spans="1:32" ht="36" customHeight="1">
      <c r="A283" s="2707" t="s">
        <v>7058</v>
      </c>
      <c r="B283" s="2708"/>
      <c r="C283" s="2708"/>
      <c r="D283" s="2708"/>
      <c r="E283" s="2708"/>
      <c r="F283" s="2708"/>
      <c r="G283" s="2708"/>
      <c r="H283" s="2708"/>
      <c r="I283" s="2708"/>
      <c r="J283" s="2708"/>
      <c r="K283" s="2708"/>
      <c r="L283" s="2708"/>
      <c r="M283" s="2708"/>
      <c r="N283" s="2708"/>
      <c r="O283" s="2708"/>
      <c r="P283" s="2708"/>
      <c r="Q283" s="2709"/>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8"/>
      <c r="E284" s="2378"/>
      <c r="F284" s="2378"/>
      <c r="G284" s="2378"/>
      <c r="H284" s="2378"/>
      <c r="I284" s="2378"/>
      <c r="J284" s="2378"/>
      <c r="K284" s="2378"/>
      <c r="L284" s="2378"/>
      <c r="M284" s="2378"/>
      <c r="N284" s="2378"/>
      <c r="O284" s="2378"/>
      <c r="P284" s="2378"/>
      <c r="Q284" s="2378"/>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1" t="s">
        <v>3783</v>
      </c>
      <c r="B287" s="2371" t="s">
        <v>2589</v>
      </c>
      <c r="C287" s="2371"/>
      <c r="D287" s="2378"/>
      <c r="E287" s="2378"/>
      <c r="F287" s="2378"/>
      <c r="G287" s="2378"/>
      <c r="H287" s="2378"/>
      <c r="I287" s="2378"/>
      <c r="J287" s="2378"/>
      <c r="K287" s="2378"/>
      <c r="L287" s="2378"/>
      <c r="M287" s="2378"/>
      <c r="O287" s="131" t="s">
        <v>1820</v>
      </c>
      <c r="P287" s="2718"/>
      <c r="Q287" s="2719"/>
    </row>
    <row r="288" spans="1:32" s="411" customFormat="1" ht="34.5" customHeight="1">
      <c r="A288" s="141" t="s">
        <v>1935</v>
      </c>
      <c r="B288" s="857" t="s">
        <v>1694</v>
      </c>
      <c r="C288" s="2710" t="s">
        <v>4392</v>
      </c>
      <c r="D288" s="2710"/>
      <c r="E288" s="2710"/>
      <c r="F288" s="2710"/>
      <c r="G288" s="2710"/>
      <c r="H288" s="2710"/>
      <c r="I288" s="2710"/>
      <c r="J288" s="2710"/>
      <c r="K288" s="2710"/>
      <c r="L288" s="2710"/>
      <c r="M288" s="2710"/>
      <c r="N288" s="2710"/>
      <c r="O288" s="160" t="s">
        <v>1935</v>
      </c>
      <c r="P288" s="2268" t="s">
        <v>7043</v>
      </c>
      <c r="Q288" s="1088"/>
      <c r="AE288" s="460"/>
      <c r="AF288" s="460"/>
    </row>
    <row r="289" spans="1:32" s="411" customFormat="1" ht="21.75" customHeight="1">
      <c r="A289" s="141"/>
      <c r="B289" s="857" t="s">
        <v>1695</v>
      </c>
      <c r="C289" s="2710" t="s">
        <v>2717</v>
      </c>
      <c r="D289" s="2710"/>
      <c r="E289" s="2710"/>
      <c r="F289" s="2710"/>
      <c r="G289" s="2710"/>
      <c r="H289" s="2710"/>
      <c r="I289" s="2710"/>
      <c r="J289" s="2710"/>
      <c r="K289" s="2710"/>
      <c r="L289" s="2710"/>
      <c r="M289" s="2710"/>
      <c r="N289" s="2710"/>
      <c r="O289" s="160"/>
      <c r="P289" s="2389" t="s">
        <v>7043</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1937</v>
      </c>
      <c r="P291" s="2271" t="s">
        <v>7043</v>
      </c>
      <c r="Q291" s="1089"/>
      <c r="R291" s="455"/>
    </row>
    <row r="292" spans="1:32" s="102" customFormat="1" ht="11.4" customHeight="1">
      <c r="A292" s="42"/>
      <c r="B292" s="140" t="s">
        <v>3565</v>
      </c>
      <c r="C292" s="42"/>
      <c r="D292" s="48"/>
      <c r="E292" s="48"/>
      <c r="F292" s="48"/>
      <c r="G292" s="48"/>
      <c r="K292" s="36"/>
      <c r="M292" s="46"/>
      <c r="N292" s="6"/>
      <c r="O292" s="3"/>
      <c r="P292" s="2375"/>
    </row>
    <row r="293" spans="1:32" s="43" customFormat="1" ht="21.75" customHeight="1">
      <c r="A293" s="2707" t="s">
        <v>7059</v>
      </c>
      <c r="B293" s="2708"/>
      <c r="C293" s="2708"/>
      <c r="D293" s="2708"/>
      <c r="E293" s="2708"/>
      <c r="F293" s="2708"/>
      <c r="G293" s="2708"/>
      <c r="H293" s="2708"/>
      <c r="I293" s="2708"/>
      <c r="J293" s="2708"/>
      <c r="K293" s="2708"/>
      <c r="L293" s="2708"/>
      <c r="M293" s="2708"/>
      <c r="N293" s="2708"/>
      <c r="O293" s="2708"/>
      <c r="P293" s="2708"/>
      <c r="Q293" s="2709"/>
      <c r="R293" s="440" t="s">
        <v>1228</v>
      </c>
    </row>
    <row r="294" spans="1:32" s="43" customFormat="1" ht="11.25" customHeight="1">
      <c r="A294" s="35"/>
      <c r="B294" s="136" t="s">
        <v>1819</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3784</v>
      </c>
      <c r="B297" s="2371" t="s">
        <v>2590</v>
      </c>
      <c r="C297" s="2373"/>
      <c r="D297" s="2383"/>
      <c r="E297" s="2378"/>
      <c r="F297" s="2378"/>
      <c r="G297" s="2378"/>
      <c r="H297" s="2378"/>
      <c r="I297" s="2378"/>
      <c r="J297" s="2378"/>
      <c r="K297" s="2378"/>
      <c r="L297" s="2378"/>
      <c r="M297" s="2378"/>
      <c r="O297" s="131" t="s">
        <v>1820</v>
      </c>
      <c r="P297" s="2718"/>
      <c r="Q297" s="2719"/>
    </row>
    <row r="298" spans="1:32" ht="12.75" customHeight="1">
      <c r="A298" s="138" t="s">
        <v>1935</v>
      </c>
      <c r="B298" s="179" t="s">
        <v>3799</v>
      </c>
    </row>
    <row r="299" spans="1:32" s="147" customFormat="1" ht="44.25" customHeight="1">
      <c r="A299" s="141"/>
      <c r="B299" s="1488" t="s">
        <v>1694</v>
      </c>
      <c r="C299" s="2710" t="s">
        <v>3675</v>
      </c>
      <c r="D299" s="2710"/>
      <c r="E299" s="2710"/>
      <c r="F299" s="2710"/>
      <c r="G299" s="2710"/>
      <c r="H299" s="2710"/>
      <c r="I299" s="2710"/>
      <c r="J299" s="2710"/>
      <c r="K299" s="2710"/>
      <c r="L299" s="2710"/>
      <c r="M299" s="2710"/>
      <c r="N299" s="2710"/>
      <c r="O299" s="160" t="s">
        <v>2642</v>
      </c>
      <c r="P299" s="2268" t="s">
        <v>2884</v>
      </c>
      <c r="Q299" s="1088"/>
      <c r="AE299" s="459"/>
      <c r="AF299" s="459"/>
    </row>
    <row r="300" spans="1:32" s="411" customFormat="1" ht="12" customHeight="1">
      <c r="A300" s="141"/>
      <c r="B300" s="1488" t="s">
        <v>1695</v>
      </c>
      <c r="C300" s="2710" t="s">
        <v>4745</v>
      </c>
      <c r="D300" s="2710"/>
      <c r="E300" s="2710"/>
      <c r="F300" s="2710"/>
      <c r="G300" s="2710"/>
      <c r="H300" s="2710"/>
      <c r="I300" s="2710"/>
      <c r="J300" s="2710"/>
      <c r="K300" s="2710"/>
      <c r="L300" s="2710"/>
      <c r="M300" s="2710"/>
      <c r="N300" s="2710"/>
      <c r="O300" s="148" t="s">
        <v>1695</v>
      </c>
      <c r="P300" s="2381" t="s">
        <v>2884</v>
      </c>
      <c r="Q300" s="2380"/>
      <c r="AE300" s="460"/>
      <c r="AF300" s="460"/>
    </row>
    <row r="301" spans="1:32" s="411" customFormat="1" ht="21.75" customHeight="1">
      <c r="A301" s="141"/>
      <c r="B301" s="468" t="s">
        <v>1696</v>
      </c>
      <c r="C301" s="2710" t="s">
        <v>3674</v>
      </c>
      <c r="D301" s="2710"/>
      <c r="E301" s="2710"/>
      <c r="F301" s="2710"/>
      <c r="G301" s="2710"/>
      <c r="H301" s="2710"/>
      <c r="I301" s="2710"/>
      <c r="J301" s="2710"/>
      <c r="K301" s="2710"/>
      <c r="L301" s="2710"/>
      <c r="M301" s="2710"/>
      <c r="N301" s="2710"/>
      <c r="O301" s="160" t="s">
        <v>1696</v>
      </c>
      <c r="P301" s="2389" t="s">
        <v>2884</v>
      </c>
      <c r="Q301" s="2253"/>
      <c r="AE301" s="460"/>
      <c r="AF301" s="460"/>
    </row>
    <row r="302" spans="1:32" s="94" customFormat="1" ht="12.75" customHeight="1">
      <c r="A302" s="138" t="s">
        <v>1937</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0" t="s">
        <v>3562</v>
      </c>
      <c r="D303" s="2710"/>
      <c r="E303" s="2710"/>
      <c r="F303" s="2710"/>
      <c r="G303" s="2710"/>
      <c r="H303" s="2710"/>
      <c r="I303" s="139"/>
      <c r="J303" s="2740" t="s">
        <v>3601</v>
      </c>
      <c r="K303" s="2902"/>
      <c r="L303" s="2902"/>
      <c r="M303" s="2889" t="s">
        <v>3573</v>
      </c>
      <c r="N303" s="2889"/>
      <c r="AE303" s="461"/>
      <c r="AF303" s="461"/>
    </row>
    <row r="304" spans="1:32" s="293" customFormat="1" ht="10.5" customHeight="1">
      <c r="A304" s="304"/>
      <c r="B304" s="2345"/>
      <c r="C304" s="2710"/>
      <c r="D304" s="2710"/>
      <c r="E304" s="2710"/>
      <c r="F304" s="2710"/>
      <c r="G304" s="2710"/>
      <c r="H304" s="2710"/>
      <c r="I304" s="2356"/>
      <c r="J304" s="2902"/>
      <c r="K304" s="2902"/>
      <c r="L304" s="2902"/>
      <c r="M304" s="36" t="s">
        <v>3574</v>
      </c>
      <c r="N304" s="2398" t="s">
        <v>3600</v>
      </c>
      <c r="P304" s="302"/>
    </row>
    <row r="305" spans="1:33" s="293" customFormat="1" ht="13.35" customHeight="1">
      <c r="A305" s="304"/>
      <c r="B305" s="2345"/>
      <c r="C305" s="2710"/>
      <c r="D305" s="2710"/>
      <c r="E305" s="2710"/>
      <c r="F305" s="2710"/>
      <c r="G305" s="2710"/>
      <c r="H305" s="2710"/>
      <c r="I305" s="52" t="s">
        <v>3800</v>
      </c>
      <c r="K305" s="2272">
        <v>3</v>
      </c>
      <c r="L305" s="974" t="str">
        <f>IF(K305&lt;M305,"Check!!!","")</f>
        <v/>
      </c>
      <c r="M305" s="975">
        <f>ROUNDUP('Part VI-Revenues &amp; Expenses'!$P$67*'Part VIII-Threshold Criteria'!N305,0)</f>
        <v>3</v>
      </c>
      <c r="N305" s="1465">
        <f>'DCA Underwriting Assumptions'!$Q$154</f>
        <v>0.05</v>
      </c>
      <c r="O305" s="455" t="s">
        <v>3470</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0" t="s">
        <v>3563</v>
      </c>
      <c r="D306" s="2710"/>
      <c r="E306" s="2710"/>
      <c r="F306" s="2710"/>
      <c r="G306" s="2710"/>
      <c r="H306" s="2710"/>
      <c r="I306" s="843" t="s">
        <v>3801</v>
      </c>
      <c r="J306" s="293"/>
      <c r="K306" s="2272">
        <v>2</v>
      </c>
      <c r="L306" s="974" t="str">
        <f>IF(K306&lt;M306,"Check!!!","")</f>
        <v/>
      </c>
      <c r="M306" s="975">
        <f>ROUNDUP(K305*'Part VIII-Threshold Criteria'!N306,0)</f>
        <v>2</v>
      </c>
      <c r="N306" s="1465">
        <f>'DCA Underwriting Assumptions'!$Q$155</f>
        <v>0.4</v>
      </c>
      <c r="O306" s="455" t="s">
        <v>2066</v>
      </c>
      <c r="P306" s="2753" t="s">
        <v>2884</v>
      </c>
      <c r="Q306" s="2903"/>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0"/>
      <c r="D307" s="2710"/>
      <c r="E307" s="2710"/>
      <c r="F307" s="2710"/>
      <c r="G307" s="2710"/>
      <c r="H307" s="2710"/>
      <c r="O307" s="40"/>
      <c r="P307" s="2753"/>
      <c r="Q307" s="290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0" t="s">
        <v>3564</v>
      </c>
      <c r="D308" s="2710"/>
      <c r="E308" s="2710"/>
      <c r="F308" s="2710"/>
      <c r="G308" s="2710"/>
      <c r="H308" s="2710"/>
      <c r="I308" s="52" t="s">
        <v>3802</v>
      </c>
      <c r="J308" s="293"/>
      <c r="K308" s="2272">
        <v>1</v>
      </c>
      <c r="L308" s="974" t="str">
        <f>IF(K308&lt;M308,"Check!!!","")</f>
        <v/>
      </c>
      <c r="M308" s="975">
        <f>ROUNDUP('Part VI-Revenues &amp; Expenses'!$P$67*'Part VIII-Threshold Criteria'!N308,0)</f>
        <v>1</v>
      </c>
      <c r="N308" s="1465">
        <f>'DCA Underwriting Assumptions'!$Q$156</f>
        <v>0.02</v>
      </c>
      <c r="O308" s="455" t="s">
        <v>1695</v>
      </c>
      <c r="P308" s="2258"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0"/>
      <c r="D309" s="2710"/>
      <c r="E309" s="2710"/>
      <c r="F309" s="2710"/>
      <c r="G309" s="2710"/>
      <c r="H309" s="2710"/>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0"/>
      <c r="D310" s="2710"/>
      <c r="E310" s="2710"/>
      <c r="F310" s="2710"/>
      <c r="G310" s="2710"/>
      <c r="H310" s="2710"/>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2720" t="s">
        <v>3472</v>
      </c>
      <c r="C312" s="2720"/>
      <c r="D312" s="2720"/>
      <c r="E312" s="2720"/>
      <c r="F312" s="2720"/>
      <c r="G312" s="2720"/>
      <c r="H312" s="2720"/>
      <c r="I312" s="2720"/>
      <c r="J312" s="2720"/>
      <c r="K312" s="2720"/>
      <c r="L312" s="2720"/>
      <c r="M312" s="2720"/>
      <c r="N312" s="2720"/>
      <c r="O312" s="160" t="s">
        <v>731</v>
      </c>
      <c r="P312" s="2271" t="s">
        <v>2884</v>
      </c>
      <c r="Q312" s="1089"/>
      <c r="AE312" s="461"/>
      <c r="AF312" s="461"/>
    </row>
    <row r="313" spans="1:33" s="94" customFormat="1" ht="11.25" customHeight="1">
      <c r="B313" s="389" t="s">
        <v>3473</v>
      </c>
      <c r="D313" s="389"/>
      <c r="E313" s="389"/>
      <c r="F313" s="389"/>
      <c r="G313" s="389"/>
      <c r="H313" s="389"/>
      <c r="I313" s="389" t="s">
        <v>3572</v>
      </c>
      <c r="J313" s="389"/>
      <c r="K313" s="389"/>
      <c r="L313" s="2891" t="s">
        <v>7144</v>
      </c>
      <c r="M313" s="2892"/>
      <c r="N313" s="2892"/>
      <c r="O313" s="2893"/>
      <c r="P313" s="389"/>
      <c r="Q313" s="389"/>
      <c r="R313" s="389"/>
      <c r="AE313" s="461"/>
      <c r="AF313" s="461"/>
    </row>
    <row r="314" spans="1:33" s="411" customFormat="1" ht="44.25" customHeight="1">
      <c r="B314" s="1488" t="s">
        <v>1694</v>
      </c>
      <c r="C314" s="2710" t="s">
        <v>3471</v>
      </c>
      <c r="D314" s="2710"/>
      <c r="E314" s="2710"/>
      <c r="F314" s="2710"/>
      <c r="G314" s="2710"/>
      <c r="H314" s="2710"/>
      <c r="I314" s="2710"/>
      <c r="J314" s="2710"/>
      <c r="K314" s="2710"/>
      <c r="L314" s="2710"/>
      <c r="M314" s="2710"/>
      <c r="N314" s="2710"/>
      <c r="O314" s="160" t="s">
        <v>3476</v>
      </c>
      <c r="P314" s="2268" t="s">
        <v>2884</v>
      </c>
      <c r="Q314" s="1088"/>
      <c r="AE314" s="460"/>
      <c r="AF314" s="460"/>
    </row>
    <row r="315" spans="1:33" s="411" customFormat="1" ht="34.5" customHeight="1">
      <c r="B315" s="1488" t="s">
        <v>1695</v>
      </c>
      <c r="C315" s="2710" t="s">
        <v>4354</v>
      </c>
      <c r="D315" s="2710"/>
      <c r="E315" s="2710"/>
      <c r="F315" s="2710"/>
      <c r="G315" s="2710"/>
      <c r="H315" s="2710"/>
      <c r="I315" s="2710"/>
      <c r="J315" s="2710"/>
      <c r="K315" s="2710"/>
      <c r="L315" s="2710"/>
      <c r="M315" s="2710"/>
      <c r="N315" s="2710"/>
      <c r="O315" s="160" t="s">
        <v>3477</v>
      </c>
      <c r="P315" s="2381" t="s">
        <v>2884</v>
      </c>
      <c r="Q315" s="2380"/>
      <c r="AE315" s="460"/>
      <c r="AF315" s="460"/>
    </row>
    <row r="316" spans="1:33" s="411" customFormat="1" ht="35.25" customHeight="1">
      <c r="B316" s="468" t="s">
        <v>1696</v>
      </c>
      <c r="C316" s="2710" t="s">
        <v>3474</v>
      </c>
      <c r="D316" s="2710"/>
      <c r="E316" s="2710"/>
      <c r="F316" s="2710"/>
      <c r="G316" s="2710"/>
      <c r="H316" s="2710"/>
      <c r="I316" s="2710"/>
      <c r="J316" s="2710"/>
      <c r="K316" s="2710"/>
      <c r="L316" s="2710"/>
      <c r="M316" s="2710"/>
      <c r="N316" s="2710"/>
      <c r="O316" s="160" t="s">
        <v>3478</v>
      </c>
      <c r="P316" s="2381" t="s">
        <v>2884</v>
      </c>
      <c r="Q316" s="2380"/>
      <c r="AE316" s="460"/>
      <c r="AF316" s="460"/>
    </row>
    <row r="317" spans="1:33" s="411" customFormat="1" ht="32.25" customHeight="1">
      <c r="B317" s="468" t="s">
        <v>2304</v>
      </c>
      <c r="C317" s="2710" t="s">
        <v>3475</v>
      </c>
      <c r="D317" s="2710"/>
      <c r="E317" s="2710"/>
      <c r="F317" s="2710"/>
      <c r="G317" s="2710"/>
      <c r="H317" s="2710"/>
      <c r="I317" s="2710"/>
      <c r="J317" s="2710"/>
      <c r="K317" s="2710"/>
      <c r="L317" s="2710"/>
      <c r="M317" s="2710"/>
      <c r="N317" s="2710"/>
      <c r="O317" s="160" t="s">
        <v>3479</v>
      </c>
      <c r="P317" s="2389" t="s">
        <v>2884</v>
      </c>
      <c r="Q317" s="2253"/>
      <c r="AE317" s="460"/>
      <c r="AF317" s="460"/>
    </row>
    <row r="318" spans="1:33" ht="11.25" customHeight="1">
      <c r="B318" s="140" t="s">
        <v>3565</v>
      </c>
      <c r="D318" s="140"/>
      <c r="E318" s="140"/>
      <c r="F318" s="140"/>
      <c r="G318" s="140"/>
      <c r="H318" s="40"/>
      <c r="I318" s="2398"/>
      <c r="J318" s="2398"/>
      <c r="K318" s="2398"/>
      <c r="L318" s="2376"/>
      <c r="M318" s="2376"/>
      <c r="N318" s="2376"/>
      <c r="O318" s="2376"/>
      <c r="P318" s="2376"/>
      <c r="Q318" s="855"/>
    </row>
    <row r="319" spans="1:33" ht="32.25" customHeight="1">
      <c r="A319" s="2707" t="s">
        <v>7060</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8"/>
      <c r="E320" s="2378"/>
      <c r="F320" s="2378"/>
      <c r="G320" s="2378"/>
      <c r="H320" s="2378"/>
      <c r="I320" s="2378"/>
      <c r="J320" s="2378"/>
      <c r="K320" s="2378"/>
      <c r="L320" s="2378"/>
      <c r="M320" s="2378"/>
      <c r="N320" s="2378"/>
      <c r="O320" s="2378"/>
      <c r="P320" s="2378"/>
      <c r="Q320" s="2378"/>
    </row>
    <row r="321" spans="1:256 1523:1523" ht="45.75" customHeight="1">
      <c r="A321" s="2877"/>
      <c r="B321" s="2878"/>
      <c r="C321" s="2878"/>
      <c r="D321" s="2878"/>
      <c r="E321" s="2878"/>
      <c r="F321" s="2878"/>
      <c r="G321" s="2878"/>
      <c r="H321" s="2878"/>
      <c r="I321" s="2878"/>
      <c r="J321" s="2878"/>
      <c r="K321" s="2878"/>
      <c r="L321" s="2878"/>
      <c r="M321" s="2878"/>
      <c r="N321" s="2878"/>
      <c r="O321" s="2878"/>
      <c r="P321" s="2878"/>
      <c r="Q321" s="2879"/>
    </row>
    <row r="322" spans="1:256 1523:1523" ht="14.1" customHeight="1">
      <c r="A322" s="2371" t="s">
        <v>3782</v>
      </c>
      <c r="B322" s="10" t="s">
        <v>2591</v>
      </c>
      <c r="C322" s="10"/>
      <c r="D322" s="10"/>
      <c r="E322" s="10"/>
      <c r="F322" s="10"/>
      <c r="G322" s="10"/>
      <c r="H322" s="2378"/>
      <c r="I322" s="2378"/>
      <c r="J322" s="2378"/>
      <c r="K322" s="2378"/>
      <c r="L322" s="2378"/>
      <c r="M322" s="2378"/>
      <c r="O322" s="131" t="s">
        <v>1820</v>
      </c>
      <c r="P322" s="2880"/>
      <c r="Q322" s="2881"/>
    </row>
    <row r="323" spans="1:256 1523:1523" ht="11.4" customHeight="1">
      <c r="B323" s="144" t="s">
        <v>2194</v>
      </c>
      <c r="P323" s="2256" t="s">
        <v>2887</v>
      </c>
      <c r="Q323" s="518"/>
    </row>
    <row r="324" spans="1:256 1523:1523" ht="12" customHeight="1">
      <c r="B324" s="842" t="s">
        <v>2154</v>
      </c>
      <c r="C324" s="842"/>
      <c r="D324" s="842"/>
      <c r="E324" s="842"/>
      <c r="F324" s="842"/>
      <c r="G324" s="842"/>
      <c r="H324" s="842"/>
      <c r="I324" s="842"/>
      <c r="J324" s="842"/>
      <c r="K324" s="842"/>
      <c r="L324" s="842"/>
      <c r="P324" s="2258"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0" t="s">
        <v>2779</v>
      </c>
      <c r="C326" s="2710"/>
      <c r="D326" s="2710"/>
      <c r="E326" s="2710"/>
      <c r="F326" s="2710"/>
      <c r="G326" s="2710"/>
      <c r="H326" s="2710"/>
      <c r="I326" s="2710"/>
      <c r="J326" s="2710"/>
      <c r="K326" s="2710"/>
      <c r="L326" s="2710"/>
      <c r="M326" s="2710"/>
      <c r="N326" s="2710"/>
      <c r="O326" s="160" t="s">
        <v>1935</v>
      </c>
      <c r="P326" s="2273"/>
      <c r="Q326" s="4130"/>
    </row>
    <row r="327" spans="1:256 1523:1523" ht="12.6" customHeight="1">
      <c r="A327" s="141" t="s">
        <v>1937</v>
      </c>
      <c r="B327" s="213" t="s">
        <v>451</v>
      </c>
      <c r="D327" s="213"/>
      <c r="E327" s="213"/>
      <c r="F327" s="213"/>
      <c r="G327" s="213"/>
      <c r="H327" s="213"/>
      <c r="I327" s="213"/>
      <c r="J327" s="213"/>
      <c r="K327" s="213"/>
      <c r="L327" s="213"/>
      <c r="M327" s="213"/>
      <c r="O327" s="160" t="s">
        <v>1937</v>
      </c>
      <c r="P327" s="2376"/>
      <c r="Q327" s="855"/>
    </row>
    <row r="328" spans="1:256 1523:1523" ht="36" customHeight="1">
      <c r="B328" s="842" t="s">
        <v>1694</v>
      </c>
      <c r="C328" s="139" t="s">
        <v>1109</v>
      </c>
      <c r="E328" s="132"/>
      <c r="F328" s="132"/>
      <c r="G328" s="2922" t="s">
        <v>4362</v>
      </c>
      <c r="H328" s="2923"/>
      <c r="I328" s="2923"/>
      <c r="J328" s="2923"/>
      <c r="K328" s="2923"/>
      <c r="L328" s="2923"/>
      <c r="M328" s="2923"/>
      <c r="N328" s="2924"/>
      <c r="O328" s="215" t="s">
        <v>1694</v>
      </c>
      <c r="P328" s="2268" t="s">
        <v>2884</v>
      </c>
      <c r="Q328" s="1088"/>
      <c r="BFO328" s="147" t="s">
        <v>2643</v>
      </c>
    </row>
    <row r="329" spans="1:256 1523:1523" ht="23.25" customHeight="1">
      <c r="B329" s="842" t="s">
        <v>1695</v>
      </c>
      <c r="C329" s="2710" t="s">
        <v>1110</v>
      </c>
      <c r="D329" s="2710"/>
      <c r="E329" s="2710"/>
      <c r="F329" s="2882"/>
      <c r="G329" s="2734" t="s">
        <v>3575</v>
      </c>
      <c r="H329" s="2894"/>
      <c r="I329" s="2894"/>
      <c r="J329" s="2894"/>
      <c r="K329" s="2894"/>
      <c r="L329" s="2894"/>
      <c r="M329" s="2894"/>
      <c r="N329" s="2895"/>
      <c r="O329" s="215" t="s">
        <v>1695</v>
      </c>
      <c r="P329" s="2389" t="s">
        <v>2884</v>
      </c>
      <c r="Q329" s="2253"/>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762" t="s">
        <v>2595</v>
      </c>
      <c r="C331" s="2762"/>
      <c r="D331" s="2762"/>
      <c r="E331" s="2762"/>
      <c r="F331" s="2762"/>
      <c r="G331" s="2762"/>
      <c r="H331" s="2762"/>
      <c r="I331" s="2762"/>
      <c r="J331" s="2762"/>
      <c r="K331" s="2762"/>
      <c r="L331" s="2762"/>
      <c r="M331" s="2762"/>
      <c r="N331" s="2762"/>
      <c r="O331" s="438" t="s">
        <v>731</v>
      </c>
      <c r="P331" s="2376"/>
      <c r="Q331" s="855"/>
      <c r="AE331" s="458"/>
      <c r="AF331" s="458"/>
    </row>
    <row r="332" spans="1:256 1523:1523" s="132" customFormat="1" ht="11.25" customHeight="1">
      <c r="A332" s="143"/>
      <c r="B332" s="842" t="s">
        <v>1694</v>
      </c>
      <c r="C332" s="2883"/>
      <c r="D332" s="2884"/>
      <c r="E332" s="2884"/>
      <c r="F332" s="2884"/>
      <c r="G332" s="2884"/>
      <c r="H332" s="2884"/>
      <c r="I332" s="2884"/>
      <c r="J332" s="2884"/>
      <c r="K332" s="2884"/>
      <c r="L332" s="2884"/>
      <c r="M332" s="2884"/>
      <c r="N332" s="2885"/>
      <c r="O332" s="215" t="s">
        <v>1694</v>
      </c>
      <c r="P332" s="2268"/>
      <c r="Q332" s="1088"/>
      <c r="AE332" s="458"/>
      <c r="AF332" s="458"/>
    </row>
    <row r="333" spans="1:256 1523:1523" s="132" customFormat="1" ht="11.25" customHeight="1">
      <c r="A333" s="143"/>
      <c r="B333" s="842" t="s">
        <v>1695</v>
      </c>
      <c r="C333" s="2731"/>
      <c r="D333" s="2732"/>
      <c r="E333" s="2732"/>
      <c r="F333" s="2732"/>
      <c r="G333" s="2732"/>
      <c r="H333" s="2732"/>
      <c r="I333" s="2732"/>
      <c r="J333" s="2732"/>
      <c r="K333" s="2732"/>
      <c r="L333" s="2732"/>
      <c r="M333" s="2732"/>
      <c r="N333" s="2733"/>
      <c r="O333" s="215" t="s">
        <v>1695</v>
      </c>
      <c r="P333" s="2389"/>
      <c r="Q333" s="2253"/>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3565</v>
      </c>
      <c r="D335" s="140"/>
      <c r="E335" s="140"/>
      <c r="F335" s="140"/>
      <c r="G335" s="140"/>
      <c r="H335" s="40"/>
      <c r="I335" s="2398"/>
      <c r="J335" s="2398"/>
      <c r="K335" s="2398"/>
      <c r="L335" s="2376"/>
      <c r="M335" s="2376"/>
      <c r="N335" s="2376"/>
      <c r="O335" s="2376"/>
      <c r="P335" s="2376"/>
      <c r="Q335" s="855"/>
    </row>
    <row r="336" spans="1:256 1523:1523" ht="11.4" customHeight="1">
      <c r="A336" s="2707"/>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8"/>
      <c r="E337" s="2378"/>
      <c r="F337" s="2378"/>
      <c r="G337" s="2378"/>
      <c r="H337" s="2378"/>
      <c r="I337" s="2378"/>
      <c r="J337" s="2378"/>
      <c r="K337" s="2378"/>
      <c r="L337" s="2378"/>
      <c r="M337" s="2378"/>
      <c r="N337" s="2378"/>
      <c r="O337" s="2378"/>
      <c r="P337" s="2378"/>
      <c r="Q337" s="2378"/>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1" t="s">
        <v>3785</v>
      </c>
      <c r="B339" s="2371" t="s">
        <v>3806</v>
      </c>
      <c r="C339" s="2371"/>
      <c r="D339" s="2378"/>
      <c r="E339" s="2378"/>
      <c r="F339" s="2378"/>
      <c r="G339" s="2378"/>
      <c r="H339" s="2378"/>
      <c r="O339" s="131" t="s">
        <v>1820</v>
      </c>
      <c r="P339" s="2718"/>
      <c r="Q339" s="2719"/>
    </row>
    <row r="340" spans="1:31" ht="11.4" customHeight="1">
      <c r="A340" s="47" t="s">
        <v>1935</v>
      </c>
      <c r="B340" s="55" t="s">
        <v>4711</v>
      </c>
      <c r="O340" s="160" t="s">
        <v>1935</v>
      </c>
      <c r="P340" s="2256" t="s">
        <v>2884</v>
      </c>
      <c r="Q340" s="518"/>
    </row>
    <row r="341" spans="1:31" ht="11.4" customHeight="1">
      <c r="A341" s="141" t="s">
        <v>1937</v>
      </c>
      <c r="B341" s="55" t="s">
        <v>3773</v>
      </c>
      <c r="O341" s="160" t="s">
        <v>1937</v>
      </c>
      <c r="P341" s="2257" t="s">
        <v>2884</v>
      </c>
      <c r="Q341" s="519"/>
    </row>
    <row r="342" spans="1:31" ht="11.4" customHeight="1">
      <c r="A342" s="141" t="s">
        <v>731</v>
      </c>
      <c r="B342" s="144" t="s">
        <v>2290</v>
      </c>
      <c r="O342" s="160" t="s">
        <v>731</v>
      </c>
      <c r="P342" s="2257" t="s">
        <v>2887</v>
      </c>
      <c r="Q342" s="519"/>
    </row>
    <row r="343" spans="1:31" ht="11.4" customHeight="1">
      <c r="A343" s="47" t="s">
        <v>2064</v>
      </c>
      <c r="B343" s="55" t="s">
        <v>3627</v>
      </c>
      <c r="O343" s="455" t="s">
        <v>2064</v>
      </c>
      <c r="P343" s="2258" t="s">
        <v>2887</v>
      </c>
      <c r="Q343" s="520"/>
    </row>
    <row r="344" spans="1:31" ht="11.4" customHeight="1">
      <c r="A344" s="141" t="s">
        <v>1692</v>
      </c>
      <c r="B344" s="55" t="s">
        <v>2780</v>
      </c>
      <c r="N344" s="160" t="s">
        <v>1692</v>
      </c>
      <c r="O344" s="2886" t="s">
        <v>4734</v>
      </c>
      <c r="P344" s="2887"/>
      <c r="Q344" s="2888"/>
    </row>
    <row r="345" spans="1:31" ht="11.4" customHeight="1">
      <c r="A345" s="141" t="s">
        <v>1693</v>
      </c>
      <c r="B345" s="407" t="s">
        <v>2291</v>
      </c>
      <c r="N345" s="160" t="s">
        <v>1693</v>
      </c>
      <c r="O345" s="4131" t="s">
        <v>2781</v>
      </c>
      <c r="P345" s="4132"/>
      <c r="Q345" s="4133"/>
    </row>
    <row r="346" spans="1:31" ht="11.25" customHeight="1">
      <c r="B346" s="140" t="s">
        <v>3565</v>
      </c>
      <c r="D346" s="140"/>
      <c r="E346" s="140"/>
      <c r="F346" s="140"/>
      <c r="G346" s="140"/>
      <c r="H346" s="40"/>
      <c r="I346" s="2398"/>
      <c r="J346" s="2398"/>
      <c r="K346" s="2398"/>
      <c r="L346" s="2376"/>
      <c r="M346" s="2376"/>
      <c r="N346" s="2376"/>
      <c r="O346" s="2376"/>
      <c r="P346" s="2376"/>
      <c r="Q346" s="855"/>
    </row>
    <row r="347" spans="1:31" ht="27.75" customHeight="1">
      <c r="A347" s="2707" t="s">
        <v>7148</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8"/>
      <c r="E348" s="2378"/>
      <c r="F348" s="2378"/>
      <c r="G348" s="2378"/>
      <c r="H348" s="2378"/>
      <c r="I348" s="2378"/>
      <c r="J348" s="2378"/>
      <c r="K348" s="2378"/>
      <c r="L348" s="2378"/>
      <c r="M348" s="2378"/>
      <c r="N348" s="2378"/>
      <c r="O348" s="2378"/>
      <c r="P348" s="2378"/>
      <c r="Q348" s="2378"/>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6"/>
      <c r="B350" s="2398"/>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3786</v>
      </c>
      <c r="B351" s="4" t="s">
        <v>3764</v>
      </c>
      <c r="C351" s="4"/>
      <c r="D351" s="4"/>
      <c r="E351" s="4"/>
      <c r="F351" s="4"/>
      <c r="G351" s="4"/>
      <c r="H351" s="2378"/>
      <c r="I351" s="2378"/>
      <c r="J351" s="2378"/>
      <c r="K351" s="2378"/>
      <c r="L351" s="2378"/>
      <c r="M351" s="2378"/>
      <c r="O351" s="131" t="s">
        <v>1820</v>
      </c>
      <c r="P351" s="4134"/>
      <c r="Q351" s="2719"/>
    </row>
    <row r="352" spans="1:31" ht="10.5" customHeight="1">
      <c r="A352" s="47" t="s">
        <v>1935</v>
      </c>
      <c r="B352" s="134" t="s">
        <v>3765</v>
      </c>
      <c r="D352" s="149"/>
      <c r="E352" s="149"/>
      <c r="F352" s="149"/>
      <c r="G352" s="149"/>
      <c r="H352" s="455" t="s">
        <v>1935</v>
      </c>
      <c r="I352" s="2698"/>
      <c r="J352" s="2699"/>
      <c r="K352" s="2699"/>
      <c r="L352" s="2699"/>
      <c r="M352" s="2699"/>
      <c r="N352" s="2699"/>
      <c r="O352" s="2699"/>
      <c r="P352" s="2700"/>
      <c r="Q352" s="516"/>
    </row>
    <row r="353" spans="1:32" ht="10.5" customHeight="1">
      <c r="A353" s="141" t="s">
        <v>1937</v>
      </c>
      <c r="B353" s="134" t="s">
        <v>3766</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890" t="s">
        <v>3757</v>
      </c>
      <c r="C354" s="2890"/>
      <c r="D354" s="2890"/>
      <c r="E354" s="2890"/>
      <c r="F354" s="2890"/>
      <c r="G354" s="2890"/>
      <c r="H354" s="2890"/>
      <c r="I354" s="2890"/>
      <c r="J354" s="2890"/>
      <c r="K354" s="2890"/>
      <c r="L354" s="2890"/>
      <c r="M354" s="2890"/>
      <c r="N354" s="2890"/>
      <c r="O354" s="160" t="s">
        <v>731</v>
      </c>
      <c r="P354" s="2274"/>
      <c r="Q354" s="1088"/>
    </row>
    <row r="355" spans="1:32" ht="21.75" customHeight="1">
      <c r="A355" s="141" t="s">
        <v>2064</v>
      </c>
      <c r="B355" s="2710" t="s">
        <v>3758</v>
      </c>
      <c r="C355" s="2710"/>
      <c r="D355" s="2710"/>
      <c r="E355" s="2710"/>
      <c r="F355" s="2710"/>
      <c r="G355" s="2710"/>
      <c r="H355" s="2710"/>
      <c r="I355" s="2710"/>
      <c r="J355" s="2710"/>
      <c r="K355" s="2710"/>
      <c r="L355" s="2710"/>
      <c r="M355" s="2710"/>
      <c r="N355" s="2710"/>
      <c r="O355" s="455" t="s">
        <v>2064</v>
      </c>
      <c r="P355" s="2381"/>
      <c r="Q355" s="2380"/>
    </row>
    <row r="356" spans="1:32" ht="10.5" customHeight="1">
      <c r="A356" s="141" t="s">
        <v>1692</v>
      </c>
      <c r="B356" s="52" t="s">
        <v>3759</v>
      </c>
      <c r="D356" s="52"/>
      <c r="E356" s="52"/>
      <c r="F356" s="52"/>
      <c r="G356" s="52"/>
      <c r="H356" s="52"/>
      <c r="I356" s="52"/>
      <c r="J356" s="52"/>
      <c r="K356" s="52"/>
      <c r="L356" s="52"/>
      <c r="M356" s="52"/>
      <c r="O356" s="160" t="s">
        <v>1692</v>
      </c>
      <c r="P356" s="2257"/>
      <c r="Q356" s="519"/>
    </row>
    <row r="357" spans="1:32" s="132" customFormat="1" ht="21.75" customHeight="1">
      <c r="A357" s="141" t="s">
        <v>1693</v>
      </c>
      <c r="B357" s="2710" t="s">
        <v>3760</v>
      </c>
      <c r="C357" s="2710"/>
      <c r="D357" s="2710"/>
      <c r="E357" s="2710"/>
      <c r="F357" s="2710"/>
      <c r="G357" s="2710"/>
      <c r="H357" s="2710"/>
      <c r="I357" s="2710"/>
      <c r="J357" s="2710"/>
      <c r="K357" s="2710"/>
      <c r="L357" s="2710"/>
      <c r="M357" s="2710"/>
      <c r="N357" s="2710"/>
      <c r="O357" s="160" t="s">
        <v>1693</v>
      </c>
      <c r="P357" s="2275"/>
      <c r="Q357" s="4135"/>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268"/>
      <c r="Q358" s="1088"/>
      <c r="AE358" s="458"/>
      <c r="AF358" s="458"/>
    </row>
    <row r="359" spans="1:32" s="132" customFormat="1" ht="10.5" customHeight="1">
      <c r="C359" s="842" t="s">
        <v>4419</v>
      </c>
      <c r="E359" s="2378"/>
      <c r="F359" s="2378"/>
      <c r="G359" s="2378"/>
      <c r="H359" s="2378"/>
      <c r="I359" s="2378"/>
      <c r="J359" s="2378"/>
      <c r="K359" s="2378"/>
      <c r="L359" s="2378"/>
      <c r="M359" s="2378"/>
      <c r="N359" s="2378"/>
      <c r="P359" s="2389"/>
      <c r="Q359" s="2253"/>
      <c r="AE359" s="458"/>
      <c r="AF359" s="458"/>
    </row>
    <row r="360" spans="1:32" ht="21.75" customHeight="1">
      <c r="A360" s="141" t="s">
        <v>3262</v>
      </c>
      <c r="B360" s="2710" t="s">
        <v>3762</v>
      </c>
      <c r="C360" s="2710"/>
      <c r="D360" s="2710"/>
      <c r="E360" s="2710"/>
      <c r="F360" s="2710"/>
      <c r="G360" s="2710"/>
      <c r="H360" s="2710"/>
      <c r="I360" s="2710"/>
      <c r="J360" s="2710"/>
      <c r="K360" s="2710"/>
      <c r="L360" s="2710"/>
      <c r="M360" s="2710"/>
      <c r="N360" s="2710"/>
      <c r="O360" s="160" t="s">
        <v>3262</v>
      </c>
      <c r="P360" s="2268"/>
      <c r="Q360" s="1088"/>
    </row>
    <row r="361" spans="1:32" ht="33" customHeight="1">
      <c r="A361" s="141" t="s">
        <v>598</v>
      </c>
      <c r="B361" s="2710" t="s">
        <v>3763</v>
      </c>
      <c r="C361" s="2710"/>
      <c r="D361" s="2710"/>
      <c r="E361" s="2710"/>
      <c r="F361" s="2710"/>
      <c r="G361" s="2710"/>
      <c r="H361" s="2710"/>
      <c r="I361" s="2710"/>
      <c r="J361" s="2710"/>
      <c r="K361" s="2710"/>
      <c r="L361" s="2710"/>
      <c r="M361" s="2710"/>
      <c r="N361" s="2710"/>
      <c r="O361" s="160" t="s">
        <v>598</v>
      </c>
      <c r="P361" s="2389"/>
      <c r="Q361" s="2253"/>
    </row>
    <row r="362" spans="1:32" ht="10.5" customHeight="1">
      <c r="B362" s="140" t="s">
        <v>3565</v>
      </c>
      <c r="D362" s="140"/>
      <c r="E362" s="140"/>
      <c r="F362" s="140"/>
      <c r="G362" s="140"/>
      <c r="H362" s="40"/>
      <c r="I362" s="2398"/>
      <c r="J362" s="2398"/>
      <c r="K362" s="2398"/>
      <c r="L362" s="2376"/>
      <c r="M362" s="2376"/>
      <c r="N362" s="2376"/>
      <c r="O362" s="2376"/>
      <c r="P362" s="2376"/>
      <c r="Q362" s="855"/>
    </row>
    <row r="363" spans="1:32" ht="31.5" customHeight="1">
      <c r="A363" s="2707" t="s">
        <v>948</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78"/>
      <c r="E364" s="2378"/>
      <c r="F364" s="2378"/>
      <c r="G364" s="2378"/>
      <c r="H364" s="2378"/>
      <c r="I364" s="2378"/>
      <c r="J364" s="2378"/>
      <c r="K364" s="2378"/>
      <c r="L364" s="2378"/>
      <c r="M364" s="2378"/>
      <c r="N364" s="2378"/>
      <c r="O364" s="2378"/>
      <c r="P364" s="2378"/>
      <c r="Q364" s="2378"/>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6"/>
      <c r="B366" s="2398"/>
      <c r="C366" s="2378"/>
      <c r="D366" s="2378"/>
      <c r="E366" s="2378"/>
      <c r="F366" s="2378"/>
      <c r="G366" s="2378"/>
      <c r="H366" s="2378"/>
      <c r="I366" s="2378"/>
      <c r="J366" s="2378"/>
      <c r="K366" s="2378"/>
      <c r="L366" s="2378"/>
      <c r="M366" s="2378"/>
      <c r="Q366" s="855"/>
    </row>
    <row r="367" spans="1:32" ht="14.1" customHeight="1">
      <c r="A367" s="2371" t="s">
        <v>3789</v>
      </c>
      <c r="B367" s="4" t="s">
        <v>4695</v>
      </c>
      <c r="C367" s="4"/>
      <c r="D367" s="4"/>
      <c r="E367" s="4"/>
      <c r="F367" s="4"/>
      <c r="G367" s="4"/>
      <c r="H367" s="2378"/>
      <c r="I367" s="2378"/>
      <c r="J367" s="2378"/>
      <c r="O367" s="131" t="s">
        <v>1820</v>
      </c>
      <c r="P367" s="2718"/>
      <c r="Q367" s="2719"/>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4" t="s">
        <v>4361</v>
      </c>
      <c r="D369" s="2744"/>
      <c r="E369" s="2744"/>
      <c r="F369" s="2744"/>
      <c r="G369" s="50"/>
      <c r="H369" s="36" t="s">
        <v>599</v>
      </c>
      <c r="J369" s="2915"/>
      <c r="K369" s="2916"/>
      <c r="L369" s="2916"/>
      <c r="M369" s="2917"/>
      <c r="N369" s="2841" t="s">
        <v>3677</v>
      </c>
      <c r="O369" s="2779"/>
      <c r="P369" s="2905"/>
      <c r="Q369" s="2906"/>
      <c r="AE369" s="50"/>
      <c r="AF369" s="50"/>
    </row>
    <row r="370" spans="1:32" s="42" customFormat="1" ht="11.25" customHeight="1">
      <c r="B370" s="40"/>
      <c r="C370" s="2391"/>
      <c r="D370" s="2391"/>
      <c r="E370" s="2391"/>
      <c r="F370" s="2391"/>
      <c r="G370" s="2391"/>
      <c r="H370" s="40" t="s">
        <v>4487</v>
      </c>
      <c r="I370" s="2391"/>
      <c r="J370" s="2698"/>
      <c r="K370" s="2699"/>
      <c r="L370" s="2699"/>
      <c r="M370" s="2699"/>
      <c r="N370" s="2699"/>
      <c r="O370" s="2699"/>
      <c r="P370" s="2699"/>
      <c r="Q370" s="2700"/>
      <c r="AE370" s="50"/>
      <c r="AF370" s="50"/>
    </row>
    <row r="371" spans="1:32" s="42" customFormat="1" ht="11.25" customHeight="1">
      <c r="B371" s="40" t="s">
        <v>1695</v>
      </c>
      <c r="C371" s="52" t="s">
        <v>3679</v>
      </c>
      <c r="J371" s="2909"/>
      <c r="K371" s="2910"/>
      <c r="O371" s="455"/>
      <c r="AE371" s="50"/>
      <c r="AF371" s="50"/>
    </row>
    <row r="372" spans="1:32" s="42" customFormat="1" ht="11.25" customHeight="1">
      <c r="A372" s="47"/>
      <c r="B372" s="40" t="s">
        <v>1696</v>
      </c>
      <c r="C372" s="52" t="s">
        <v>3680</v>
      </c>
      <c r="D372" s="46"/>
      <c r="E372" s="133"/>
      <c r="I372" s="133"/>
      <c r="J372" s="2918" t="str">
        <f>'Part I-Project Information'!K40</f>
        <v>Urban</v>
      </c>
      <c r="K372" s="2919"/>
      <c r="L372" s="2382" t="s">
        <v>3681</v>
      </c>
      <c r="M372" s="133"/>
      <c r="N372" s="133"/>
      <c r="O372" s="455" t="s">
        <v>1696</v>
      </c>
      <c r="P372" s="2259"/>
      <c r="Q372" s="517"/>
      <c r="AE372" s="50"/>
      <c r="AF372" s="50"/>
    </row>
    <row r="373" spans="1:32" s="42" customFormat="1" ht="11.25" customHeight="1">
      <c r="A373" s="47"/>
      <c r="B373" s="40" t="s">
        <v>2304</v>
      </c>
      <c r="C373" s="52" t="s">
        <v>4355</v>
      </c>
      <c r="E373" s="133"/>
      <c r="F373" s="133"/>
      <c r="G373" s="133"/>
      <c r="H373" s="52" t="s">
        <v>4356</v>
      </c>
      <c r="I373" s="133"/>
      <c r="J373" s="2907"/>
      <c r="K373" s="2908"/>
      <c r="L373" s="4136"/>
      <c r="M373" s="4137"/>
      <c r="O373" s="455"/>
      <c r="AE373" s="50"/>
      <c r="AF373" s="50"/>
    </row>
    <row r="374" spans="1:32" s="42" customFormat="1" ht="11.25" customHeight="1">
      <c r="A374" s="47"/>
      <c r="B374" s="40"/>
      <c r="C374" s="52"/>
      <c r="E374" s="133"/>
      <c r="F374" s="133"/>
      <c r="G374" s="133"/>
      <c r="H374" s="52" t="s">
        <v>4357</v>
      </c>
      <c r="I374" s="133"/>
      <c r="J374" s="2711"/>
      <c r="K374" s="2713"/>
      <c r="L374" s="4138"/>
      <c r="M374" s="4139"/>
      <c r="N374" s="52"/>
      <c r="O374" s="455"/>
      <c r="AE374" s="50"/>
      <c r="AF374" s="50"/>
    </row>
    <row r="375" spans="1:32" s="42" customFormat="1" ht="11.25" customHeight="1">
      <c r="A375" s="47"/>
      <c r="B375" s="40" t="s">
        <v>1516</v>
      </c>
      <c r="C375" s="52" t="s">
        <v>3682</v>
      </c>
      <c r="E375" s="52"/>
      <c r="F375" s="2911">
        <f>'Part IV-A-Uses of Funds'!J182</f>
        <v>825000</v>
      </c>
      <c r="G375" s="2912"/>
      <c r="H375" s="52" t="s">
        <v>3683</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4564</v>
      </c>
      <c r="E376" s="52"/>
      <c r="F376" s="52"/>
      <c r="G376" s="52"/>
      <c r="H376" s="52" t="s">
        <v>4358</v>
      </c>
      <c r="I376" s="52"/>
      <c r="J376" s="2920"/>
      <c r="K376" s="2921"/>
      <c r="L376" s="4140"/>
      <c r="M376" s="4141"/>
      <c r="AE376" s="50"/>
      <c r="AF376" s="50"/>
    </row>
    <row r="377" spans="1:32" s="42" customFormat="1" ht="11.25" customHeight="1">
      <c r="B377" s="40" t="s">
        <v>96</v>
      </c>
      <c r="C377" s="52" t="s">
        <v>3684</v>
      </c>
      <c r="E377" s="133"/>
      <c r="F377" s="133"/>
      <c r="G377" s="133"/>
      <c r="H377" s="133"/>
      <c r="I377" s="133"/>
      <c r="J377" s="133"/>
      <c r="K377" s="133"/>
      <c r="L377" s="133"/>
      <c r="O377" s="455" t="s">
        <v>96</v>
      </c>
      <c r="P377" s="2259"/>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4393</v>
      </c>
      <c r="E379" s="2382"/>
      <c r="F379" s="2382"/>
      <c r="G379" s="2382"/>
      <c r="H379" s="2382"/>
      <c r="P379" s="2259"/>
      <c r="Q379" s="517"/>
      <c r="AE379" s="50"/>
      <c r="AF379" s="50"/>
    </row>
    <row r="380" spans="1:32" s="42" customFormat="1" ht="11.25" customHeight="1">
      <c r="B380" s="40"/>
      <c r="C380" s="856"/>
      <c r="E380" s="2382"/>
      <c r="F380" s="2382"/>
      <c r="G380" s="2382"/>
      <c r="H380" s="2382"/>
      <c r="J380" s="2743" t="s">
        <v>3689</v>
      </c>
      <c r="K380" s="2743"/>
      <c r="L380" s="2743"/>
      <c r="M380" s="2743"/>
      <c r="N380" s="2697" t="s">
        <v>3687</v>
      </c>
      <c r="O380" s="2697"/>
      <c r="AE380" s="50"/>
      <c r="AF380" s="50"/>
    </row>
    <row r="381" spans="1:32" s="42" customFormat="1" ht="11.25" customHeight="1">
      <c r="A381" s="1476"/>
      <c r="B381" s="40" t="s">
        <v>1695</v>
      </c>
      <c r="C381" s="856" t="s">
        <v>3686</v>
      </c>
      <c r="E381" s="133"/>
      <c r="F381" s="133"/>
      <c r="G381" s="133"/>
      <c r="H381" s="133"/>
      <c r="I381" s="455" t="s">
        <v>1695</v>
      </c>
      <c r="J381" s="2913"/>
      <c r="K381" s="2914"/>
      <c r="L381" s="4142"/>
      <c r="M381" s="4143"/>
      <c r="N381" s="1056" t="str">
        <f>IF(J381="","",(J381-J373)/J381)</f>
        <v/>
      </c>
      <c r="O381" s="1057" t="str">
        <f>IF(L381="","",(L381-L373)/L381)</f>
        <v/>
      </c>
      <c r="P381" s="2264"/>
      <c r="Q381" s="1553"/>
      <c r="AE381" s="50"/>
      <c r="AF381" s="50"/>
    </row>
    <row r="382" spans="1:32" s="42" customFormat="1" ht="11.25" customHeight="1">
      <c r="A382" s="1476"/>
      <c r="B382" s="40" t="s">
        <v>1696</v>
      </c>
      <c r="C382" s="52" t="s">
        <v>3688</v>
      </c>
      <c r="E382" s="133"/>
      <c r="F382" s="133"/>
      <c r="G382" s="133"/>
      <c r="H382" s="133"/>
      <c r="N382" s="133"/>
      <c r="O382" s="455" t="s">
        <v>1696</v>
      </c>
      <c r="P382" s="2276"/>
      <c r="Q382" s="4144"/>
      <c r="AE382" s="50"/>
      <c r="AF382" s="50"/>
    </row>
    <row r="383" spans="1:32" s="42" customFormat="1" ht="11.25" customHeight="1">
      <c r="B383" s="40" t="s">
        <v>2304</v>
      </c>
      <c r="C383" s="52" t="s">
        <v>3690</v>
      </c>
      <c r="E383" s="133"/>
      <c r="F383" s="133"/>
      <c r="G383" s="133"/>
      <c r="H383" s="133"/>
      <c r="M383" s="133"/>
      <c r="N383" s="133"/>
      <c r="O383" s="455" t="s">
        <v>2304</v>
      </c>
      <c r="P383" s="2258"/>
      <c r="Q383" s="520"/>
      <c r="AE383" s="50"/>
      <c r="AF383" s="50"/>
    </row>
    <row r="384" spans="1:32" ht="10.5" customHeight="1">
      <c r="B384" s="140" t="s">
        <v>3565</v>
      </c>
      <c r="D384" s="140"/>
      <c r="E384" s="140"/>
      <c r="F384" s="140"/>
      <c r="G384" s="140"/>
      <c r="H384" s="40"/>
      <c r="I384" s="2398"/>
      <c r="J384" s="2398"/>
      <c r="K384" s="2398"/>
      <c r="L384" s="2376"/>
      <c r="M384" s="2376"/>
      <c r="N384" s="2376"/>
      <c r="O384" s="2376"/>
      <c r="P384" s="2376"/>
      <c r="Q384" s="855"/>
    </row>
    <row r="385" spans="1:31" ht="31.5" customHeight="1">
      <c r="A385" s="2707" t="s">
        <v>948</v>
      </c>
      <c r="B385" s="2708"/>
      <c r="C385" s="2708"/>
      <c r="D385" s="2708"/>
      <c r="E385" s="2708"/>
      <c r="F385" s="2708"/>
      <c r="G385" s="2708"/>
      <c r="H385" s="2708"/>
      <c r="I385" s="2708"/>
      <c r="J385" s="2708"/>
      <c r="K385" s="2708"/>
      <c r="L385" s="2708"/>
      <c r="M385" s="2708"/>
      <c r="N385" s="2708"/>
      <c r="O385" s="2708"/>
      <c r="P385" s="2708"/>
      <c r="Q385" s="2709"/>
      <c r="U385" s="135"/>
      <c r="V385" s="135"/>
      <c r="W385" s="135"/>
      <c r="X385" s="135"/>
      <c r="Y385" s="135"/>
      <c r="Z385" s="135"/>
      <c r="AA385" s="135"/>
      <c r="AB385" s="135"/>
      <c r="AC385" s="135"/>
      <c r="AD385" s="135"/>
      <c r="AE385" s="457"/>
    </row>
    <row r="386" spans="1:31" ht="11.25" customHeight="1">
      <c r="B386" s="136" t="s">
        <v>1819</v>
      </c>
      <c r="C386" s="137"/>
      <c r="D386" s="2378"/>
      <c r="E386" s="2378"/>
      <c r="F386" s="2378"/>
      <c r="G386" s="2378"/>
      <c r="H386" s="2378"/>
      <c r="I386" s="2378"/>
      <c r="J386" s="2378"/>
      <c r="K386" s="2378"/>
      <c r="L386" s="2378"/>
      <c r="M386" s="2378"/>
      <c r="N386" s="2378"/>
      <c r="O386" s="2378"/>
      <c r="P386" s="2378"/>
      <c r="Q386" s="2378"/>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6"/>
      <c r="B388" s="2398"/>
      <c r="C388" s="2378"/>
      <c r="D388" s="2378"/>
      <c r="E388" s="2378"/>
      <c r="F388" s="2378"/>
      <c r="G388" s="2378"/>
      <c r="H388" s="2378"/>
      <c r="I388" s="2378"/>
      <c r="J388" s="2378"/>
      <c r="K388" s="2378"/>
      <c r="L388" s="2378"/>
      <c r="M388" s="2378"/>
      <c r="Q388" s="855"/>
    </row>
    <row r="389" spans="1:31" ht="3" customHeight="1">
      <c r="A389" s="2376"/>
      <c r="B389" s="2398"/>
      <c r="C389" s="2378"/>
      <c r="D389" s="2378"/>
      <c r="E389" s="2378"/>
      <c r="F389" s="2378"/>
      <c r="G389" s="2378"/>
      <c r="H389" s="2378"/>
      <c r="I389" s="2378"/>
      <c r="J389" s="2378"/>
      <c r="K389" s="2378"/>
      <c r="L389" s="2378"/>
      <c r="M389" s="2378"/>
      <c r="Q389" s="855"/>
    </row>
    <row r="390" spans="1:31" ht="14.1" customHeight="1">
      <c r="A390" s="2371" t="s">
        <v>3790</v>
      </c>
      <c r="B390" s="4" t="s">
        <v>2607</v>
      </c>
      <c r="C390" s="4"/>
      <c r="D390" s="4"/>
      <c r="E390" s="4"/>
      <c r="F390" s="4"/>
      <c r="G390" s="4"/>
      <c r="H390" s="2378"/>
      <c r="I390" s="2378"/>
      <c r="J390" s="2378"/>
      <c r="O390" s="131" t="s">
        <v>1820</v>
      </c>
      <c r="P390" s="2718"/>
      <c r="Q390" s="2719"/>
    </row>
    <row r="391" spans="1:31" ht="11.4" customHeight="1">
      <c r="A391" s="47" t="s">
        <v>1935</v>
      </c>
      <c r="B391" s="117" t="s">
        <v>1012</v>
      </c>
      <c r="E391" s="2774"/>
      <c r="F391" s="2775"/>
      <c r="G391" s="2775"/>
      <c r="H391" s="2775"/>
      <c r="I391" s="2776"/>
      <c r="J391" s="2777" t="s">
        <v>2594</v>
      </c>
      <c r="K391" s="2778"/>
      <c r="L391" s="2779"/>
      <c r="M391" s="2774"/>
      <c r="N391" s="2775"/>
      <c r="O391" s="2775"/>
      <c r="P391" s="2775"/>
      <c r="Q391" s="2776"/>
    </row>
    <row r="392" spans="1:31" ht="11.4" customHeight="1">
      <c r="A392" s="47" t="s">
        <v>1937</v>
      </c>
      <c r="B392" s="52" t="s">
        <v>3345</v>
      </c>
      <c r="D392" s="52"/>
      <c r="E392" s="52"/>
      <c r="F392" s="52"/>
      <c r="G392" s="52"/>
      <c r="H392" s="52"/>
      <c r="I392" s="52"/>
      <c r="J392" s="52"/>
      <c r="K392" s="52"/>
      <c r="L392" s="856"/>
      <c r="M392" s="856"/>
      <c r="O392" s="455" t="s">
        <v>1937</v>
      </c>
      <c r="P392" s="2256"/>
      <c r="Q392" s="518"/>
    </row>
    <row r="393" spans="1:31" ht="22.5" customHeight="1">
      <c r="A393" s="141" t="s">
        <v>731</v>
      </c>
      <c r="B393" s="2710" t="s">
        <v>3354</v>
      </c>
      <c r="C393" s="2710"/>
      <c r="D393" s="2710"/>
      <c r="E393" s="2710"/>
      <c r="F393" s="2710"/>
      <c r="G393" s="2710"/>
      <c r="H393" s="2710"/>
      <c r="I393" s="2710"/>
      <c r="J393" s="2710"/>
      <c r="K393" s="2710"/>
      <c r="L393" s="2710"/>
      <c r="M393" s="2710"/>
      <c r="N393" s="2710"/>
      <c r="O393" s="160" t="s">
        <v>731</v>
      </c>
      <c r="P393" s="2381"/>
      <c r="Q393" s="2380"/>
    </row>
    <row r="394" spans="1:31">
      <c r="A394" s="47" t="s">
        <v>2064</v>
      </c>
      <c r="B394" s="55" t="s">
        <v>3518</v>
      </c>
      <c r="G394" s="2382"/>
      <c r="H394" s="2382"/>
      <c r="I394" s="2382"/>
      <c r="J394" s="856" t="s">
        <v>3519</v>
      </c>
      <c r="L394" s="2382"/>
      <c r="M394" s="2751">
        <f>'Part III-Sources of Funds'!H5</f>
        <v>0</v>
      </c>
      <c r="N394" s="2752"/>
      <c r="O394" s="455" t="s">
        <v>2064</v>
      </c>
      <c r="P394" s="2258"/>
      <c r="Q394" s="520"/>
    </row>
    <row r="395" spans="1:31" ht="11.25" customHeight="1">
      <c r="B395" s="140" t="s">
        <v>3565</v>
      </c>
      <c r="D395" s="140"/>
      <c r="E395" s="140"/>
      <c r="F395" s="140"/>
      <c r="G395" s="140"/>
      <c r="H395" s="40"/>
      <c r="I395" s="2398"/>
      <c r="J395" s="2398"/>
      <c r="K395" s="2398"/>
      <c r="L395" s="2376"/>
      <c r="M395" s="2376"/>
      <c r="N395" s="2376"/>
      <c r="O395" s="2376"/>
      <c r="P395" s="2376"/>
      <c r="Q395" s="855"/>
    </row>
    <row r="396" spans="1:31" ht="11.4" customHeight="1">
      <c r="A396" s="2707" t="s">
        <v>948</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78"/>
      <c r="E397" s="2378"/>
      <c r="F397" s="2378"/>
      <c r="G397" s="2378"/>
      <c r="H397" s="2378"/>
      <c r="I397" s="2378"/>
      <c r="J397" s="2378"/>
      <c r="K397" s="2378"/>
      <c r="L397" s="2378"/>
      <c r="M397" s="2378"/>
      <c r="N397" s="2378"/>
      <c r="O397" s="2378"/>
      <c r="P397" s="2378"/>
      <c r="Q397" s="2378"/>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6"/>
      <c r="B399" s="2398"/>
      <c r="C399" s="2378"/>
      <c r="D399" s="2378"/>
      <c r="E399" s="2378"/>
      <c r="F399" s="2378"/>
      <c r="G399" s="2378"/>
      <c r="H399" s="2378"/>
      <c r="I399" s="2378"/>
      <c r="J399" s="2378"/>
      <c r="K399" s="2378"/>
      <c r="L399" s="2378"/>
      <c r="M399" s="2378"/>
      <c r="Q399" s="855"/>
    </row>
    <row r="400" spans="1:31" ht="14.1" customHeight="1">
      <c r="A400" s="2371" t="s">
        <v>3791</v>
      </c>
      <c r="B400" s="4" t="s">
        <v>2592</v>
      </c>
      <c r="C400" s="4"/>
      <c r="D400" s="4"/>
      <c r="E400" s="2378"/>
      <c r="G400" s="139" t="s">
        <v>683</v>
      </c>
      <c r="H400" s="2378"/>
      <c r="I400" s="2378"/>
      <c r="J400" s="2378"/>
      <c r="K400" s="2378"/>
      <c r="L400" s="2378"/>
      <c r="M400" s="2378"/>
      <c r="O400" s="131" t="s">
        <v>1820</v>
      </c>
      <c r="P400" s="2718"/>
      <c r="Q400" s="4145"/>
    </row>
    <row r="401" spans="1:31" ht="12" customHeight="1">
      <c r="A401" s="47" t="s">
        <v>1935</v>
      </c>
      <c r="B401" s="52" t="s">
        <v>2596</v>
      </c>
      <c r="D401" s="857"/>
      <c r="E401" s="857"/>
      <c r="O401" s="455" t="s">
        <v>1935</v>
      </c>
      <c r="P401" s="2256"/>
      <c r="Q401" s="518"/>
    </row>
    <row r="402" spans="1:31" ht="12" customHeight="1">
      <c r="A402" s="47" t="s">
        <v>1937</v>
      </c>
      <c r="B402" s="52" t="s">
        <v>3442</v>
      </c>
      <c r="D402" s="857"/>
      <c r="E402" s="857"/>
      <c r="O402" s="455" t="s">
        <v>1937</v>
      </c>
      <c r="P402" s="2257"/>
      <c r="Q402" s="519"/>
    </row>
    <row r="403" spans="1:31" ht="12" customHeight="1">
      <c r="A403" s="47" t="s">
        <v>731</v>
      </c>
      <c r="B403" s="52" t="s">
        <v>4712</v>
      </c>
      <c r="D403" s="857"/>
      <c r="E403" s="857"/>
      <c r="O403" s="455" t="s">
        <v>731</v>
      </c>
      <c r="P403" s="2257"/>
      <c r="Q403" s="519"/>
    </row>
    <row r="404" spans="1:31" ht="12" customHeight="1">
      <c r="A404" s="47" t="s">
        <v>2064</v>
      </c>
      <c r="B404" s="52" t="s">
        <v>3443</v>
      </c>
      <c r="E404" s="139"/>
      <c r="O404" s="455" t="s">
        <v>2064</v>
      </c>
      <c r="P404" s="2257"/>
      <c r="Q404" s="519"/>
    </row>
    <row r="405" spans="1:31" ht="12" customHeight="1">
      <c r="A405" s="47" t="s">
        <v>1692</v>
      </c>
      <c r="B405" s="52" t="s">
        <v>2030</v>
      </c>
      <c r="E405" s="139"/>
      <c r="G405" s="455" t="s">
        <v>1692</v>
      </c>
      <c r="H405" s="2745"/>
      <c r="I405" s="2746"/>
      <c r="J405" s="2746"/>
      <c r="K405" s="2746"/>
      <c r="L405" s="2746"/>
      <c r="M405" s="2746"/>
      <c r="N405" s="2746"/>
      <c r="O405" s="2747"/>
      <c r="P405" s="2258"/>
      <c r="Q405" s="520"/>
    </row>
    <row r="406" spans="1:31" ht="11.25" customHeight="1">
      <c r="B406" s="140" t="s">
        <v>3565</v>
      </c>
      <c r="D406" s="140"/>
      <c r="E406" s="140"/>
      <c r="F406" s="140"/>
      <c r="G406" s="140"/>
      <c r="H406" s="40"/>
      <c r="I406" s="2398"/>
      <c r="J406" s="2398"/>
      <c r="K406" s="2398"/>
      <c r="L406" s="2376"/>
      <c r="M406" s="2376"/>
      <c r="N406" s="2376"/>
      <c r="O406" s="2376"/>
      <c r="P406" s="2376"/>
      <c r="Q406" s="855"/>
    </row>
    <row r="407" spans="1:31" ht="11.4" customHeight="1">
      <c r="A407" s="2707" t="s">
        <v>948</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78"/>
      <c r="E408" s="2378"/>
      <c r="F408" s="2378"/>
      <c r="G408" s="2378"/>
      <c r="H408" s="2378"/>
      <c r="I408" s="2378"/>
      <c r="J408" s="2378"/>
      <c r="K408" s="2378"/>
      <c r="L408" s="2378"/>
      <c r="M408" s="2378"/>
      <c r="N408" s="2378"/>
      <c r="O408" s="2378"/>
      <c r="P408" s="2378"/>
      <c r="Q408" s="2378"/>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6"/>
      <c r="B410" s="2398"/>
      <c r="C410" s="2378"/>
      <c r="D410" s="2378"/>
      <c r="E410" s="2378"/>
      <c r="F410" s="2378"/>
      <c r="G410" s="2378"/>
      <c r="H410" s="2378"/>
      <c r="I410" s="2378"/>
      <c r="J410" s="2378"/>
      <c r="K410" s="2378"/>
      <c r="L410" s="2378"/>
      <c r="M410" s="2378"/>
      <c r="N410" s="2378"/>
      <c r="O410" s="2378"/>
      <c r="P410" s="2378"/>
      <c r="Q410" s="2376"/>
    </row>
    <row r="411" spans="1:31" ht="14.1" customHeight="1">
      <c r="A411" s="2371" t="s">
        <v>3792</v>
      </c>
      <c r="B411" s="4" t="s">
        <v>4534</v>
      </c>
      <c r="C411" s="4"/>
      <c r="D411" s="4"/>
      <c r="E411" s="4"/>
      <c r="F411" s="4"/>
      <c r="G411" s="4"/>
      <c r="H411" s="2378"/>
      <c r="I411" s="2378"/>
      <c r="J411" s="2378"/>
      <c r="K411" s="2378"/>
      <c r="L411" s="2378"/>
      <c r="M411" s="2378"/>
      <c r="O411" s="131" t="s">
        <v>1820</v>
      </c>
      <c r="P411" s="4146"/>
      <c r="Q411" s="4147"/>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2887</v>
      </c>
      <c r="Q413" s="518"/>
    </row>
    <row r="414" spans="1:31" ht="12" customHeight="1">
      <c r="C414" s="36" t="s">
        <v>4713</v>
      </c>
      <c r="D414" s="55" t="s">
        <v>4714</v>
      </c>
      <c r="E414" s="42"/>
      <c r="F414" s="42"/>
      <c r="G414" s="42"/>
      <c r="H414" s="42"/>
      <c r="I414" s="42"/>
      <c r="J414" s="42"/>
      <c r="K414" s="42"/>
      <c r="L414" s="42"/>
      <c r="M414" s="42"/>
      <c r="N414" s="42"/>
      <c r="O414" s="455" t="s">
        <v>2371</v>
      </c>
      <c r="P414" s="2257"/>
      <c r="Q414" s="519"/>
    </row>
    <row r="415" spans="1:31" ht="12" customHeight="1">
      <c r="B415" s="52"/>
      <c r="C415" s="52" t="s">
        <v>2372</v>
      </c>
      <c r="D415" s="55" t="s">
        <v>4715</v>
      </c>
      <c r="E415" s="42"/>
      <c r="F415" s="42"/>
      <c r="G415" s="42"/>
      <c r="H415" s="42"/>
      <c r="I415" s="42"/>
      <c r="J415" s="42"/>
      <c r="K415" s="42"/>
      <c r="L415" s="42"/>
      <c r="M415" s="42"/>
      <c r="N415" s="42"/>
      <c r="O415" s="64" t="s">
        <v>2372</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3355</v>
      </c>
      <c r="E417" s="52"/>
      <c r="F417" s="52"/>
      <c r="G417" s="52"/>
      <c r="H417" s="52"/>
      <c r="I417" s="52"/>
      <c r="J417" s="52"/>
      <c r="K417" s="52"/>
      <c r="L417" s="52"/>
      <c r="M417" s="52"/>
      <c r="N417" s="42"/>
      <c r="O417" s="64" t="s">
        <v>2373</v>
      </c>
      <c r="P417" s="2256"/>
      <c r="Q417" s="518"/>
    </row>
    <row r="418" spans="1:32" s="147" customFormat="1" ht="12" customHeight="1">
      <c r="A418" s="47"/>
      <c r="C418" s="64" t="s">
        <v>2374</v>
      </c>
      <c r="D418" s="52" t="s">
        <v>3437</v>
      </c>
      <c r="E418" s="52"/>
      <c r="F418" s="52"/>
      <c r="G418" s="52"/>
      <c r="H418" s="52"/>
      <c r="I418" s="52"/>
      <c r="J418" s="52"/>
      <c r="K418" s="52"/>
      <c r="L418" s="52"/>
      <c r="M418" s="52"/>
      <c r="N418" s="94"/>
      <c r="O418" s="64" t="s">
        <v>2374</v>
      </c>
      <c r="P418" s="2257"/>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57"/>
      <c r="Q419" s="519"/>
    </row>
    <row r="420" spans="1:32" ht="12" customHeight="1">
      <c r="A420" s="47"/>
      <c r="B420" s="1593" t="s">
        <v>2467</v>
      </c>
      <c r="C420" s="2710" t="s">
        <v>2718</v>
      </c>
      <c r="D420" s="2710"/>
      <c r="E420" s="2710"/>
      <c r="F420" s="2710"/>
      <c r="G420" s="134" t="s">
        <v>4542</v>
      </c>
      <c r="J420" s="2277"/>
      <c r="K420" s="4148"/>
      <c r="M420" s="134" t="s">
        <v>4543</v>
      </c>
      <c r="P420" s="2278"/>
      <c r="Q420" s="4149"/>
    </row>
    <row r="421" spans="1:32" ht="12" customHeight="1">
      <c r="A421" s="47"/>
      <c r="C421" s="2710"/>
      <c r="D421" s="2710"/>
      <c r="E421" s="2710"/>
      <c r="F421" s="2710"/>
      <c r="G421" s="134" t="s">
        <v>4544</v>
      </c>
      <c r="J421" s="2278"/>
      <c r="K421" s="4149"/>
      <c r="M421" s="134" t="s">
        <v>4545</v>
      </c>
      <c r="P421" s="2279"/>
      <c r="Q421" s="4150"/>
    </row>
    <row r="422" spans="1:32" ht="12" customHeight="1">
      <c r="A422" s="47"/>
      <c r="C422" s="2710"/>
      <c r="D422" s="2710"/>
      <c r="E422" s="2710"/>
      <c r="F422" s="2710"/>
      <c r="G422" s="134" t="s">
        <v>4546</v>
      </c>
      <c r="J422" s="2279"/>
      <c r="K422" s="4150"/>
      <c r="L422" s="856"/>
      <c r="M422" s="42"/>
      <c r="N422" s="455"/>
    </row>
    <row r="423" spans="1:32" ht="12" customHeight="1">
      <c r="A423" s="47"/>
      <c r="B423" s="1593" t="s">
        <v>1198</v>
      </c>
      <c r="C423" s="856" t="s">
        <v>4367</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6"/>
      <c r="K424" s="518"/>
      <c r="L424" s="856"/>
      <c r="M424" s="427" t="s">
        <v>4540</v>
      </c>
    </row>
    <row r="425" spans="1:32" ht="12" customHeight="1">
      <c r="A425" s="42"/>
      <c r="G425" s="427" t="s">
        <v>4536</v>
      </c>
      <c r="H425" s="856"/>
      <c r="I425" s="856"/>
      <c r="J425" s="2257"/>
      <c r="K425" s="519"/>
      <c r="M425" s="2756"/>
      <c r="N425" s="2757"/>
      <c r="O425" s="2757"/>
      <c r="P425" s="2757"/>
      <c r="Q425" s="2758"/>
    </row>
    <row r="426" spans="1:32" ht="12" customHeight="1">
      <c r="A426" s="42"/>
      <c r="G426" s="427" t="s">
        <v>4537</v>
      </c>
      <c r="H426" s="856"/>
      <c r="J426" s="2258"/>
      <c r="K426" s="520"/>
      <c r="M426" s="2759"/>
      <c r="N426" s="2760"/>
      <c r="O426" s="2760"/>
      <c r="P426" s="2760"/>
      <c r="Q426" s="2761"/>
    </row>
    <row r="427" spans="1:32" ht="12" customHeight="1">
      <c r="A427" s="47"/>
      <c r="B427" s="427"/>
      <c r="C427" s="856" t="s">
        <v>4548</v>
      </c>
      <c r="D427" s="147"/>
      <c r="E427" s="856"/>
      <c r="F427" s="856"/>
      <c r="L427" s="856"/>
      <c r="M427" s="856"/>
      <c r="O427" s="455" t="s">
        <v>1695</v>
      </c>
      <c r="P427" s="2259" t="s">
        <v>1727</v>
      </c>
      <c r="Q427" s="517" t="s">
        <v>1727</v>
      </c>
    </row>
    <row r="428" spans="1:32" ht="12" customHeight="1">
      <c r="A428" s="42"/>
      <c r="B428" s="147"/>
      <c r="D428" s="1438" t="s">
        <v>2394</v>
      </c>
      <c r="E428" s="427" t="s">
        <v>3643</v>
      </c>
      <c r="F428" s="856"/>
      <c r="G428" s="2768"/>
      <c r="H428" s="2769"/>
      <c r="I428" s="2769"/>
      <c r="J428" s="2769"/>
      <c r="K428" s="2770"/>
      <c r="L428" s="1438"/>
    </row>
    <row r="429" spans="1:32" ht="12" customHeight="1">
      <c r="B429" s="147"/>
      <c r="D429" s="1438" t="s">
        <v>4538</v>
      </c>
      <c r="E429" s="427" t="s">
        <v>4539</v>
      </c>
      <c r="F429" s="1438"/>
      <c r="G429" s="2771" t="s">
        <v>3521</v>
      </c>
      <c r="H429" s="2772"/>
      <c r="I429" s="2773"/>
      <c r="J429" s="427" t="s">
        <v>4274</v>
      </c>
      <c r="K429" s="147"/>
      <c r="M429" s="2768"/>
      <c r="N429" s="2769"/>
      <c r="O429" s="2769"/>
      <c r="P429" s="2769"/>
      <c r="Q429" s="2770"/>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2748"/>
      <c r="C431" s="2749"/>
      <c r="D431" s="2749"/>
      <c r="E431" s="2749"/>
      <c r="F431" s="2749"/>
      <c r="G431" s="2749"/>
      <c r="H431" s="2749"/>
      <c r="I431" s="2749"/>
      <c r="J431" s="2749"/>
      <c r="K431" s="2749"/>
      <c r="L431" s="2749"/>
      <c r="M431" s="2749"/>
      <c r="N431" s="2749"/>
      <c r="O431" s="2749"/>
      <c r="P431" s="2749"/>
      <c r="Q431" s="2750"/>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2" t="s">
        <v>4716</v>
      </c>
      <c r="C433" s="2710"/>
      <c r="D433" s="2710"/>
      <c r="E433" s="2710"/>
      <c r="F433" s="2710"/>
      <c r="G433" s="2710"/>
      <c r="H433" s="2710"/>
      <c r="I433" s="2710"/>
      <c r="J433" s="2710"/>
      <c r="K433" s="2710"/>
      <c r="L433" s="2710"/>
      <c r="M433" s="2710"/>
      <c r="N433" s="2710"/>
      <c r="T433" s="459"/>
      <c r="AE433" s="459"/>
      <c r="AF433" s="459"/>
    </row>
    <row r="434" spans="1:32" s="147" customFormat="1" ht="12" customHeight="1">
      <c r="A434" s="141"/>
      <c r="B434" s="842" t="s">
        <v>4549</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2710" t="s">
        <v>4550</v>
      </c>
      <c r="C435" s="2710"/>
      <c r="D435" s="2710"/>
      <c r="E435" s="2710"/>
      <c r="F435" s="2710"/>
      <c r="G435" s="2710"/>
      <c r="H435" s="2710"/>
      <c r="I435" s="2710"/>
      <c r="J435" s="2710"/>
      <c r="K435" s="2710"/>
      <c r="L435" s="2710"/>
      <c r="M435" s="2710"/>
      <c r="N435" s="2710"/>
      <c r="O435" s="160" t="s">
        <v>1937</v>
      </c>
      <c r="P435" s="2280"/>
      <c r="Q435" s="4151"/>
      <c r="T435" s="459"/>
      <c r="AE435" s="459"/>
      <c r="AF435" s="459"/>
    </row>
    <row r="436" spans="1:32" ht="12" customHeight="1">
      <c r="B436" s="140" t="s">
        <v>3565</v>
      </c>
      <c r="D436" s="140"/>
      <c r="E436" s="140"/>
      <c r="F436" s="140"/>
      <c r="G436" s="140"/>
      <c r="H436" s="40"/>
      <c r="I436" s="2398"/>
      <c r="J436" s="2398"/>
      <c r="K436" s="2398"/>
    </row>
    <row r="437" spans="1:32" ht="33.6" customHeight="1">
      <c r="A437" s="2707" t="s">
        <v>948</v>
      </c>
      <c r="B437" s="2708"/>
      <c r="C437" s="2708"/>
      <c r="D437" s="2708"/>
      <c r="E437" s="2708"/>
      <c r="F437" s="2708"/>
      <c r="G437" s="2708"/>
      <c r="H437" s="2708"/>
      <c r="I437" s="2708"/>
      <c r="J437" s="2708"/>
      <c r="K437" s="2708"/>
      <c r="L437" s="2708"/>
      <c r="M437" s="2708"/>
      <c r="N437" s="2708"/>
      <c r="O437" s="2708"/>
      <c r="P437" s="2708"/>
      <c r="Q437" s="2709"/>
      <c r="U437" s="135"/>
      <c r="V437" s="135"/>
      <c r="W437" s="135"/>
      <c r="X437" s="135"/>
      <c r="Y437" s="135"/>
      <c r="Z437" s="135"/>
      <c r="AA437" s="135"/>
      <c r="AB437" s="135"/>
      <c r="AC437" s="135"/>
      <c r="AD437" s="135"/>
      <c r="AE437" s="457"/>
    </row>
    <row r="438" spans="1:32" ht="12" customHeight="1">
      <c r="B438" s="136" t="s">
        <v>1819</v>
      </c>
      <c r="C438" s="137"/>
      <c r="D438" s="2378"/>
      <c r="E438" s="2378"/>
      <c r="F438" s="2378"/>
      <c r="G438" s="2378"/>
      <c r="H438" s="2378"/>
      <c r="I438" s="2378"/>
      <c r="J438" s="2378"/>
      <c r="K438" s="2378"/>
      <c r="L438" s="2378"/>
      <c r="M438" s="2378"/>
      <c r="N438" s="2378"/>
      <c r="O438" s="2378"/>
      <c r="P438" s="2378"/>
      <c r="Q438" s="2378"/>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6"/>
      <c r="B440" s="2398"/>
      <c r="C440" s="2378"/>
      <c r="D440" s="2378"/>
      <c r="E440" s="2378"/>
      <c r="F440" s="2378"/>
      <c r="G440" s="2378"/>
      <c r="H440" s="2378"/>
      <c r="I440" s="2378"/>
      <c r="J440" s="2378"/>
      <c r="K440" s="2378"/>
      <c r="L440" s="2378"/>
      <c r="M440" s="2378"/>
      <c r="Q440" s="855"/>
    </row>
    <row r="441" spans="1:32" ht="14.1" customHeight="1">
      <c r="A441" s="2371" t="s">
        <v>3793</v>
      </c>
      <c r="B441" s="4" t="s">
        <v>2719</v>
      </c>
      <c r="C441" s="4"/>
      <c r="D441" s="86"/>
      <c r="E441" s="2378"/>
      <c r="F441" s="2378"/>
      <c r="G441" s="2378"/>
      <c r="H441" s="2378"/>
      <c r="O441" s="131" t="s">
        <v>1820</v>
      </c>
      <c r="P441" s="2718"/>
      <c r="Q441" s="2719"/>
    </row>
    <row r="442" spans="1:32" ht="14.1" customHeight="1">
      <c r="B442" s="86" t="s">
        <v>4459</v>
      </c>
      <c r="C442" s="4"/>
      <c r="D442" s="86"/>
      <c r="E442" s="2378"/>
      <c r="F442" s="2378"/>
      <c r="G442" s="2378"/>
      <c r="H442" s="2378"/>
    </row>
    <row r="443" spans="1:32" s="132" customFormat="1" ht="21.75" customHeight="1">
      <c r="A443" s="141" t="s">
        <v>1935</v>
      </c>
      <c r="B443" s="2720" t="s">
        <v>3692</v>
      </c>
      <c r="C443" s="2720"/>
      <c r="D443" s="2720"/>
      <c r="E443" s="2720"/>
      <c r="F443" s="2720"/>
      <c r="G443" s="2720"/>
      <c r="H443" s="2720"/>
      <c r="I443" s="2720"/>
      <c r="J443" s="2720"/>
      <c r="K443" s="2720"/>
      <c r="L443" s="2720"/>
      <c r="M443" s="2720"/>
      <c r="N443" s="2720"/>
      <c r="O443" s="160" t="s">
        <v>1935</v>
      </c>
      <c r="P443" s="2268" t="s">
        <v>7043</v>
      </c>
      <c r="Q443" s="1088"/>
      <c r="AE443" s="458"/>
      <c r="AF443" s="458"/>
    </row>
    <row r="444" spans="1:32" s="132" customFormat="1" ht="22.5" customHeight="1">
      <c r="A444" s="141" t="s">
        <v>1937</v>
      </c>
      <c r="B444" s="2720" t="s">
        <v>3691</v>
      </c>
      <c r="C444" s="2720"/>
      <c r="D444" s="2720"/>
      <c r="E444" s="2720"/>
      <c r="F444" s="2720"/>
      <c r="G444" s="2720"/>
      <c r="H444" s="2720"/>
      <c r="I444" s="2720"/>
      <c r="J444" s="2720"/>
      <c r="K444" s="2720"/>
      <c r="L444" s="2720"/>
      <c r="M444" s="2720"/>
      <c r="N444" s="2720"/>
      <c r="O444" s="160" t="s">
        <v>1937</v>
      </c>
      <c r="P444" s="2381" t="s">
        <v>7043</v>
      </c>
      <c r="Q444" s="2380"/>
      <c r="AE444" s="458"/>
      <c r="AF444" s="458"/>
    </row>
    <row r="445" spans="1:32" s="132" customFormat="1" ht="22.5" customHeight="1">
      <c r="B445" s="1488" t="s">
        <v>1694</v>
      </c>
      <c r="C445" s="2720" t="s">
        <v>4415</v>
      </c>
      <c r="D445" s="2720"/>
      <c r="E445" s="2720"/>
      <c r="F445" s="2720"/>
      <c r="G445" s="2720"/>
      <c r="H445" s="2720"/>
      <c r="I445" s="2720"/>
      <c r="J445" s="2720"/>
      <c r="K445" s="2720"/>
      <c r="L445" s="2720"/>
      <c r="M445" s="2720"/>
      <c r="N445" s="2720"/>
      <c r="O445" s="160" t="s">
        <v>1694</v>
      </c>
      <c r="P445" s="2381" t="s">
        <v>7043</v>
      </c>
      <c r="Q445" s="2380"/>
      <c r="AE445" s="458"/>
      <c r="AF445" s="458"/>
    </row>
    <row r="446" spans="1:32" s="42" customFormat="1" ht="12" customHeight="1">
      <c r="B446" s="1488" t="s">
        <v>1695</v>
      </c>
      <c r="C446" s="36" t="s">
        <v>4416</v>
      </c>
      <c r="D446" s="1065"/>
      <c r="E446" s="1065"/>
      <c r="F446" s="1065"/>
      <c r="G446" s="1065"/>
      <c r="H446" s="1065"/>
      <c r="I446" s="1065"/>
      <c r="J446" s="1065"/>
      <c r="K446" s="1065"/>
      <c r="L446" s="1065"/>
      <c r="M446" s="1065"/>
      <c r="N446" s="1065"/>
      <c r="O446" s="455" t="s">
        <v>1695</v>
      </c>
      <c r="P446" s="2257" t="s">
        <v>7043</v>
      </c>
      <c r="Q446" s="519"/>
      <c r="AE446" s="50"/>
      <c r="AF446" s="50"/>
    </row>
    <row r="447" spans="1:32" s="132" customFormat="1" ht="33" customHeight="1">
      <c r="B447" s="468" t="s">
        <v>1696</v>
      </c>
      <c r="C447" s="2720" t="s">
        <v>4417</v>
      </c>
      <c r="D447" s="2720"/>
      <c r="E447" s="2720"/>
      <c r="F447" s="2720"/>
      <c r="G447" s="2720"/>
      <c r="H447" s="2720"/>
      <c r="I447" s="2720"/>
      <c r="J447" s="2720"/>
      <c r="K447" s="2720"/>
      <c r="L447" s="2720"/>
      <c r="M447" s="2720"/>
      <c r="N447" s="2720"/>
      <c r="O447" s="160" t="s">
        <v>1696</v>
      </c>
      <c r="P447" s="2381" t="s">
        <v>7043</v>
      </c>
      <c r="Q447" s="2380"/>
      <c r="AE447" s="458"/>
      <c r="AF447" s="458"/>
    </row>
    <row r="448" spans="1:32" s="132" customFormat="1" ht="22.5" customHeight="1">
      <c r="B448" s="468" t="s">
        <v>2304</v>
      </c>
      <c r="C448" s="2720" t="s">
        <v>4418</v>
      </c>
      <c r="D448" s="2720"/>
      <c r="E448" s="2720"/>
      <c r="F448" s="2720"/>
      <c r="G448" s="2720"/>
      <c r="H448" s="2720"/>
      <c r="I448" s="2720"/>
      <c r="J448" s="2720"/>
      <c r="K448" s="2720"/>
      <c r="L448" s="2720"/>
      <c r="M448" s="2720"/>
      <c r="N448" s="2720"/>
      <c r="O448" s="160" t="s">
        <v>2304</v>
      </c>
      <c r="P448" s="2381" t="s">
        <v>7043</v>
      </c>
      <c r="Q448" s="2380"/>
      <c r="AE448" s="458"/>
      <c r="AF448" s="458"/>
    </row>
    <row r="449" spans="1:32" s="132" customFormat="1" ht="22.5" customHeight="1">
      <c r="A449" s="141" t="s">
        <v>731</v>
      </c>
      <c r="B449" s="2720" t="s">
        <v>3693</v>
      </c>
      <c r="C449" s="2720"/>
      <c r="D449" s="2720"/>
      <c r="E449" s="2720"/>
      <c r="F449" s="2720"/>
      <c r="G449" s="2720"/>
      <c r="H449" s="2720"/>
      <c r="I449" s="2720"/>
      <c r="J449" s="2720"/>
      <c r="K449" s="2720"/>
      <c r="L449" s="2720"/>
      <c r="M449" s="2720"/>
      <c r="N449" s="2720"/>
      <c r="O449" s="160" t="s">
        <v>731</v>
      </c>
      <c r="P449" s="2381" t="s">
        <v>7043</v>
      </c>
      <c r="Q449" s="2380"/>
      <c r="AE449" s="458"/>
      <c r="AF449" s="458"/>
    </row>
    <row r="450" spans="1:32" s="132" customFormat="1" ht="22.5" customHeight="1">
      <c r="A450" s="141" t="s">
        <v>2064</v>
      </c>
      <c r="B450" s="2720" t="s">
        <v>4501</v>
      </c>
      <c r="C450" s="2720"/>
      <c r="D450" s="2720"/>
      <c r="E450" s="2720"/>
      <c r="F450" s="2720"/>
      <c r="G450" s="2720"/>
      <c r="H450" s="2720"/>
      <c r="I450" s="2720"/>
      <c r="J450" s="2720"/>
      <c r="K450" s="2720"/>
      <c r="L450" s="2720"/>
      <c r="M450" s="2720"/>
      <c r="N450" s="2720"/>
      <c r="O450" s="160" t="s">
        <v>2064</v>
      </c>
      <c r="P450" s="2381" t="s">
        <v>7043</v>
      </c>
      <c r="Q450" s="2380"/>
      <c r="AE450" s="458"/>
      <c r="AF450" s="458"/>
    </row>
    <row r="451" spans="1:32" s="132" customFormat="1" ht="21.75" customHeight="1">
      <c r="A451" s="141" t="s">
        <v>1692</v>
      </c>
      <c r="B451" s="2720" t="s">
        <v>4502</v>
      </c>
      <c r="C451" s="2720"/>
      <c r="D451" s="2720"/>
      <c r="E451" s="2720"/>
      <c r="F451" s="2720"/>
      <c r="G451" s="2720"/>
      <c r="H451" s="2720"/>
      <c r="I451" s="2720"/>
      <c r="J451" s="2720"/>
      <c r="K451" s="2720"/>
      <c r="L451" s="2720"/>
      <c r="M451" s="2720"/>
      <c r="N451" s="2720"/>
      <c r="O451" s="160" t="s">
        <v>1692</v>
      </c>
      <c r="P451" s="2381" t="s">
        <v>7043</v>
      </c>
      <c r="Q451" s="2380"/>
      <c r="AE451" s="458"/>
      <c r="AF451" s="458"/>
    </row>
    <row r="452" spans="1:32" s="411" customFormat="1" ht="21.75" customHeight="1">
      <c r="A452" s="141" t="s">
        <v>1693</v>
      </c>
      <c r="B452" s="2720" t="s">
        <v>4565</v>
      </c>
      <c r="C452" s="2720"/>
      <c r="D452" s="2720"/>
      <c r="E452" s="2720"/>
      <c r="F452" s="2720"/>
      <c r="G452" s="2720"/>
      <c r="H452" s="2720"/>
      <c r="I452" s="2720"/>
      <c r="J452" s="2720"/>
      <c r="K452" s="2720"/>
      <c r="L452" s="2720"/>
      <c r="M452" s="2720"/>
      <c r="N452" s="2720"/>
      <c r="O452" s="160" t="s">
        <v>1693</v>
      </c>
      <c r="P452" s="2389" t="s">
        <v>7043</v>
      </c>
      <c r="Q452" s="2253"/>
      <c r="AE452" s="460"/>
      <c r="AF452" s="460"/>
    </row>
    <row r="453" spans="1:32" ht="11.25" customHeight="1">
      <c r="B453" s="140" t="s">
        <v>3565</v>
      </c>
      <c r="D453" s="140"/>
      <c r="E453" s="140"/>
      <c r="F453" s="140"/>
      <c r="G453" s="140"/>
      <c r="H453" s="40"/>
      <c r="I453" s="2398"/>
      <c r="J453" s="2398"/>
      <c r="K453" s="2398"/>
      <c r="L453" s="2376"/>
      <c r="M453" s="2376"/>
      <c r="N453" s="2376"/>
      <c r="O453" s="2376"/>
      <c r="P453" s="2376"/>
      <c r="Q453" s="855"/>
    </row>
    <row r="454" spans="1:32" ht="33.6" customHeight="1">
      <c r="A454" s="2707" t="s">
        <v>7061</v>
      </c>
      <c r="B454" s="2708"/>
      <c r="C454" s="2708"/>
      <c r="D454" s="2708"/>
      <c r="E454" s="2708"/>
      <c r="F454" s="2708"/>
      <c r="G454" s="2708"/>
      <c r="H454" s="2708"/>
      <c r="I454" s="2708"/>
      <c r="J454" s="2708"/>
      <c r="K454" s="2708"/>
      <c r="L454" s="2708"/>
      <c r="M454" s="2708"/>
      <c r="N454" s="2708"/>
      <c r="O454" s="2708"/>
      <c r="P454" s="2708"/>
      <c r="Q454" s="2709"/>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8"/>
      <c r="E455" s="2378"/>
      <c r="F455" s="2378"/>
      <c r="G455" s="2378"/>
      <c r="H455" s="2378"/>
      <c r="I455" s="2378"/>
      <c r="J455" s="2378"/>
      <c r="K455" s="2378"/>
      <c r="L455" s="2378"/>
      <c r="M455" s="2378"/>
      <c r="N455" s="2378"/>
      <c r="O455" s="2378"/>
      <c r="P455" s="2378"/>
      <c r="Q455" s="2378"/>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6"/>
      <c r="B457" s="2398"/>
      <c r="C457" s="2378"/>
      <c r="D457" s="2378"/>
      <c r="E457" s="2378"/>
      <c r="F457" s="2378"/>
      <c r="G457" s="2378"/>
      <c r="H457" s="2378"/>
      <c r="I457" s="2378"/>
      <c r="J457" s="2378"/>
      <c r="K457" s="2378"/>
      <c r="L457" s="2378"/>
      <c r="M457" s="2378"/>
      <c r="Q457" s="855"/>
    </row>
    <row r="458" spans="1:32" s="43" customFormat="1" ht="12.75" customHeight="1" thickBot="1">
      <c r="A458" s="2371" t="s">
        <v>3794</v>
      </c>
      <c r="C458" s="10" t="s">
        <v>2638</v>
      </c>
      <c r="D458" s="58"/>
      <c r="E458" s="52"/>
      <c r="J458" s="61"/>
      <c r="M458" s="2375"/>
      <c r="N458" s="6"/>
      <c r="O458" s="131" t="s">
        <v>1820</v>
      </c>
      <c r="P458" s="2718"/>
      <c r="Q458" s="2719"/>
    </row>
    <row r="459" spans="1:32" s="409" customFormat="1" ht="15" customHeight="1" thickBot="1">
      <c r="A459" s="141" t="s">
        <v>1935</v>
      </c>
      <c r="B459" s="2720" t="s">
        <v>4585</v>
      </c>
      <c r="C459" s="2720"/>
      <c r="D459" s="2720"/>
      <c r="E459" s="2720"/>
      <c r="F459" s="2720"/>
      <c r="G459" s="2720"/>
      <c r="H459" s="2720"/>
      <c r="I459" s="2720"/>
      <c r="J459" s="2740" t="s">
        <v>4455</v>
      </c>
      <c r="K459" s="2741"/>
      <c r="L459" s="1599" t="s">
        <v>4587</v>
      </c>
      <c r="M459" s="1517"/>
      <c r="N459" s="1513">
        <f>ROUNDUP('Part VI-Revenues &amp; Expenses'!$P$63*0.1,0)</f>
        <v>5</v>
      </c>
      <c r="O459" s="388" t="s">
        <v>1935</v>
      </c>
      <c r="P459" s="2755" t="s">
        <v>7043</v>
      </c>
      <c r="Q459" s="4152"/>
      <c r="R459" s="1512"/>
      <c r="S459" s="1512"/>
    </row>
    <row r="460" spans="1:32" s="409" customFormat="1" ht="15" customHeight="1">
      <c r="B460" s="2720"/>
      <c r="C460" s="2720"/>
      <c r="D460" s="2720"/>
      <c r="E460" s="2720"/>
      <c r="F460" s="2720"/>
      <c r="G460" s="2720"/>
      <c r="H460" s="2720"/>
      <c r="I460" s="2720"/>
      <c r="J460" s="2742">
        <f>'Part VI-Revenues &amp; Expenses'!$P$100</f>
        <v>0</v>
      </c>
      <c r="K460" s="2742"/>
      <c r="L460" s="1597" t="s">
        <v>4456</v>
      </c>
      <c r="M460" s="92"/>
      <c r="N460" s="1600">
        <f>'Part VI-Revenues &amp; Expenses'!$P$63</f>
        <v>48</v>
      </c>
      <c r="P460" s="2753"/>
      <c r="Q460" s="2903"/>
      <c r="R460" s="1512"/>
      <c r="S460" s="1512"/>
    </row>
    <row r="461" spans="1:32" s="409" customFormat="1" ht="15" customHeight="1">
      <c r="A461" s="141"/>
      <c r="B461" s="2720"/>
      <c r="C461" s="2720"/>
      <c r="D461" s="2720"/>
      <c r="E461" s="2720"/>
      <c r="F461" s="2720"/>
      <c r="G461" s="2720"/>
      <c r="H461" s="2720"/>
      <c r="I461" s="2720"/>
      <c r="J461" s="563"/>
      <c r="L461" s="856" t="s">
        <v>1749</v>
      </c>
      <c r="M461" s="92"/>
      <c r="N461" s="1602">
        <f>'Part VI-Revenues &amp; Expenses'!$P$67</f>
        <v>48</v>
      </c>
      <c r="P461" s="2753"/>
      <c r="Q461" s="2903"/>
    </row>
    <row r="462" spans="1:32" s="431" customFormat="1" ht="22.5" customHeight="1">
      <c r="A462" s="141" t="s">
        <v>1937</v>
      </c>
      <c r="B462" s="2720" t="s">
        <v>4591</v>
      </c>
      <c r="C462" s="2720"/>
      <c r="D462" s="2720"/>
      <c r="E462" s="2720"/>
      <c r="F462" s="2720"/>
      <c r="G462" s="2720"/>
      <c r="H462" s="2720"/>
      <c r="I462" s="2720"/>
      <c r="J462" s="2766" t="s">
        <v>4586</v>
      </c>
      <c r="K462" s="2697"/>
      <c r="L462" s="2763"/>
      <c r="M462" s="2764"/>
      <c r="N462" s="2765"/>
      <c r="O462" s="388" t="s">
        <v>1937</v>
      </c>
      <c r="P462" s="2381" t="s">
        <v>2884</v>
      </c>
      <c r="Q462" s="2380"/>
    </row>
    <row r="463" spans="1:32" s="431" customFormat="1" ht="12" customHeight="1" thickBot="1">
      <c r="A463" s="141" t="s">
        <v>731</v>
      </c>
      <c r="B463" s="2720" t="s">
        <v>4359</v>
      </c>
      <c r="C463" s="2720"/>
      <c r="D463" s="2720"/>
      <c r="E463" s="2720"/>
      <c r="F463" s="2720"/>
      <c r="G463" s="2720"/>
      <c r="H463" s="2720"/>
      <c r="I463" s="2720"/>
      <c r="J463" s="1065" t="s">
        <v>4278</v>
      </c>
      <c r="K463" s="1467">
        <f>'Part VI-Revenues &amp; Expenses'!$P$115</f>
        <v>48</v>
      </c>
      <c r="L463" s="1598" t="s">
        <v>4277</v>
      </c>
      <c r="M463" s="92"/>
      <c r="N463" s="1601">
        <f>ROUNDUP(N461*0.1,0)</f>
        <v>5</v>
      </c>
      <c r="O463" s="388" t="s">
        <v>731</v>
      </c>
      <c r="P463" s="2753" t="s">
        <v>2884</v>
      </c>
      <c r="Q463" s="2903"/>
      <c r="R463" s="1512"/>
      <c r="S463" s="1512"/>
    </row>
    <row r="464" spans="1:32" s="431" customFormat="1" ht="12" customHeight="1" thickBot="1">
      <c r="B464" s="2720"/>
      <c r="C464" s="2720"/>
      <c r="D464" s="2720"/>
      <c r="E464" s="2720"/>
      <c r="F464" s="2720"/>
      <c r="G464" s="2720"/>
      <c r="H464" s="2720"/>
      <c r="I464" s="2720"/>
      <c r="J464" s="1065" t="s">
        <v>4279</v>
      </c>
      <c r="K464" s="1468">
        <f>IF(N461=0,"",K463/N461)</f>
        <v>1</v>
      </c>
      <c r="L464" s="1515" t="s">
        <v>4454</v>
      </c>
      <c r="M464" s="1516"/>
      <c r="N464" s="1514">
        <f>'Part VI-Revenues &amp; Expenses'!$L$67/'Part VI-Revenues &amp; Expenses'!$P$67</f>
        <v>0.5</v>
      </c>
      <c r="O464" s="388" t="str">
        <f>IF(AND(N464&lt;0.1,P463="Yes"), "Check!","")</f>
        <v/>
      </c>
      <c r="P464" s="2754"/>
      <c r="Q464" s="4153"/>
      <c r="R464" s="1512"/>
      <c r="S464" s="1512"/>
    </row>
    <row r="465" spans="1:32" s="94" customFormat="1" ht="12" customHeight="1">
      <c r="A465" s="47" t="s">
        <v>2064</v>
      </c>
      <c r="B465" s="554" t="s">
        <v>1938</v>
      </c>
      <c r="C465" s="1596" t="s">
        <v>4280</v>
      </c>
      <c r="D465" s="1596"/>
      <c r="E465" s="1596"/>
      <c r="F465" s="1596"/>
      <c r="G465" s="1596"/>
      <c r="H465" s="1596"/>
      <c r="I465" s="1596"/>
      <c r="J465" s="1596"/>
      <c r="K465" s="1596"/>
      <c r="L465" s="1596"/>
      <c r="M465" s="1596"/>
      <c r="N465" s="1596"/>
      <c r="O465" s="1603" t="s">
        <v>4588</v>
      </c>
      <c r="P465" s="2256" t="s">
        <v>2887</v>
      </c>
      <c r="Q465" s="518"/>
      <c r="AE465" s="461"/>
      <c r="AF465" s="461"/>
    </row>
    <row r="466" spans="1:32" s="94" customFormat="1">
      <c r="B466" s="554" t="s">
        <v>1940</v>
      </c>
      <c r="C466" s="1596" t="s">
        <v>4589</v>
      </c>
      <c r="D466" s="1596"/>
      <c r="E466" s="1596"/>
      <c r="F466" s="1596"/>
      <c r="G466" s="1596"/>
      <c r="H466" s="1596"/>
      <c r="I466" s="1596"/>
      <c r="J466" s="1596"/>
      <c r="K466" s="1596"/>
      <c r="L466" s="1596"/>
      <c r="M466" s="1596"/>
      <c r="N466" s="1596"/>
      <c r="O466" s="1603" t="s">
        <v>4590</v>
      </c>
      <c r="P466" s="2258"/>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7"/>
    </row>
    <row r="468" spans="1:32" s="43" customFormat="1" ht="32.25" customHeight="1">
      <c r="A468" s="2707" t="s">
        <v>7085</v>
      </c>
      <c r="B468" s="2708"/>
      <c r="C468" s="2708"/>
      <c r="D468" s="2708"/>
      <c r="E468" s="2708"/>
      <c r="F468" s="2708"/>
      <c r="G468" s="2708"/>
      <c r="H468" s="2708"/>
      <c r="I468" s="2708"/>
      <c r="J468" s="2708"/>
      <c r="K468" s="2708"/>
      <c r="L468" s="2708"/>
      <c r="M468" s="2708"/>
      <c r="N468" s="2708"/>
      <c r="O468" s="2708"/>
      <c r="P468" s="2708"/>
      <c r="Q468" s="2709"/>
      <c r="R468" s="1027" t="s">
        <v>1228</v>
      </c>
    </row>
    <row r="469" spans="1:32" s="43" customFormat="1" ht="10.5" customHeight="1">
      <c r="B469" s="85" t="s">
        <v>1819</v>
      </c>
      <c r="C469" s="98"/>
      <c r="D469" s="85"/>
      <c r="E469" s="99"/>
      <c r="F469" s="2378"/>
      <c r="G469" s="2378"/>
      <c r="H469" s="2378"/>
      <c r="I469" s="2378"/>
      <c r="J469" s="2378"/>
      <c r="K469" s="2378"/>
      <c r="L469" s="2378"/>
      <c r="M469" s="2378"/>
      <c r="N469" s="74"/>
      <c r="O469" s="70"/>
      <c r="P469" s="2375"/>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6"/>
      <c r="B471" s="2398"/>
      <c r="C471" s="2378"/>
      <c r="D471" s="2378"/>
      <c r="E471" s="2378"/>
      <c r="F471" s="2378"/>
      <c r="G471" s="2378"/>
      <c r="H471" s="2378"/>
      <c r="I471" s="2378"/>
      <c r="J471" s="2378"/>
      <c r="K471" s="2378"/>
      <c r="L471" s="2378"/>
      <c r="M471" s="2378"/>
      <c r="N471" s="2378"/>
      <c r="O471" s="2378"/>
      <c r="P471" s="2378"/>
      <c r="Q471" s="2376"/>
    </row>
    <row r="472" spans="1:32" ht="14.1" customHeight="1">
      <c r="A472" s="2371" t="s">
        <v>4275</v>
      </c>
      <c r="B472" s="4"/>
      <c r="C472" s="4" t="s">
        <v>2593</v>
      </c>
      <c r="D472" s="86"/>
      <c r="E472" s="2378"/>
      <c r="F472" s="2378"/>
      <c r="G472" s="2378"/>
      <c r="H472" s="2378"/>
      <c r="J472" s="2378"/>
      <c r="K472" s="2378"/>
      <c r="L472" s="2378"/>
      <c r="M472" s="2378"/>
      <c r="O472" s="131" t="s">
        <v>1820</v>
      </c>
      <c r="P472" s="2718"/>
      <c r="Q472" s="2719"/>
    </row>
    <row r="473" spans="1:32" ht="11.25" customHeight="1">
      <c r="A473" s="2371"/>
      <c r="B473" s="140" t="s">
        <v>3565</v>
      </c>
      <c r="D473" s="140"/>
      <c r="E473" s="140"/>
      <c r="F473" s="140"/>
      <c r="G473" s="140"/>
      <c r="H473" s="40"/>
      <c r="I473" s="2398"/>
      <c r="J473" s="2398"/>
      <c r="K473" s="2398"/>
      <c r="L473" s="2376"/>
      <c r="M473" s="2376"/>
      <c r="N473" s="2376"/>
      <c r="O473" s="2376"/>
      <c r="P473" s="2376"/>
      <c r="Q473" s="855"/>
    </row>
    <row r="474" spans="1:32" ht="22.5" customHeight="1">
      <c r="A474" s="2707" t="s">
        <v>7062</v>
      </c>
      <c r="B474" s="2708"/>
      <c r="C474" s="2708"/>
      <c r="D474" s="2708"/>
      <c r="E474" s="2708"/>
      <c r="F474" s="2708"/>
      <c r="G474" s="2708"/>
      <c r="H474" s="2708"/>
      <c r="I474" s="2708"/>
      <c r="J474" s="2708"/>
      <c r="K474" s="2708"/>
      <c r="L474" s="2708"/>
      <c r="M474" s="2708"/>
      <c r="N474" s="2708"/>
      <c r="O474" s="2708"/>
      <c r="P474" s="2708"/>
      <c r="Q474" s="2709"/>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8"/>
      <c r="E475" s="2378"/>
      <c r="F475" s="2378"/>
      <c r="G475" s="2378"/>
      <c r="H475" s="2378"/>
      <c r="I475" s="2378"/>
      <c r="J475" s="2378"/>
      <c r="K475" s="2378"/>
      <c r="L475" s="2378"/>
      <c r="M475" s="2378"/>
      <c r="N475" s="2378"/>
      <c r="O475" s="2378"/>
      <c r="P475" s="2378"/>
      <c r="Q475" s="2378"/>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6"/>
      <c r="B477" s="2398"/>
      <c r="C477" s="2378"/>
      <c r="D477" s="2378"/>
      <c r="E477" s="2378"/>
      <c r="F477" s="2378"/>
      <c r="G477" s="2378"/>
      <c r="H477" s="2378"/>
      <c r="I477" s="2378"/>
      <c r="J477" s="2378"/>
      <c r="K477" s="2378"/>
      <c r="L477" s="2378"/>
      <c r="M477" s="2378"/>
      <c r="N477" s="2378"/>
      <c r="O477" s="2378"/>
      <c r="P477" s="2378"/>
      <c r="Q477" s="2376"/>
    </row>
    <row r="478" spans="1:32" ht="3" customHeight="1">
      <c r="A478" s="2376"/>
      <c r="B478" s="2398"/>
      <c r="C478" s="2378"/>
      <c r="D478" s="2378"/>
      <c r="E478" s="2378"/>
      <c r="F478" s="2378"/>
      <c r="G478" s="2378"/>
      <c r="H478" s="2378"/>
      <c r="I478" s="2378"/>
      <c r="J478" s="2378"/>
      <c r="K478" s="2378"/>
      <c r="L478" s="2378"/>
      <c r="M478" s="2378"/>
      <c r="N478" s="2378"/>
      <c r="O478" s="2378"/>
      <c r="P478" s="2378"/>
      <c r="Q478" s="2376"/>
    </row>
    <row r="479" spans="1:32" ht="14.1" customHeight="1">
      <c r="A479" s="2371" t="s">
        <v>4276</v>
      </c>
      <c r="B479" s="4"/>
      <c r="C479" s="4" t="s">
        <v>4696</v>
      </c>
      <c r="D479" s="86"/>
      <c r="E479" s="2378"/>
      <c r="F479" s="2378"/>
      <c r="G479" s="2378"/>
      <c r="H479" s="2378"/>
      <c r="I479" s="2378"/>
      <c r="J479" s="2378"/>
      <c r="K479" s="2378"/>
      <c r="L479" s="2378"/>
      <c r="M479" s="2378"/>
      <c r="O479" s="131" t="s">
        <v>1820</v>
      </c>
      <c r="P479" s="2718"/>
      <c r="Q479" s="2719"/>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59"/>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2078</v>
      </c>
      <c r="D490" s="997"/>
      <c r="E490" s="997"/>
      <c r="F490" s="997"/>
      <c r="G490" s="997"/>
      <c r="H490" s="997"/>
      <c r="I490" s="997"/>
      <c r="J490" s="1469" t="s">
        <v>1162</v>
      </c>
      <c r="N490" s="999"/>
      <c r="O490" s="998" t="s">
        <v>3625</v>
      </c>
      <c r="P490" s="1000"/>
      <c r="AE490" s="1721"/>
      <c r="AF490" s="1721"/>
    </row>
    <row r="491" spans="1:32" s="998" customFormat="1" ht="10.199999999999999">
      <c r="C491" s="1001" t="s">
        <v>2079</v>
      </c>
      <c r="J491" s="1469" t="s">
        <v>1682</v>
      </c>
      <c r="N491" s="999"/>
      <c r="O491" s="998" t="s">
        <v>3626</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3580</v>
      </c>
      <c r="K499" s="998"/>
      <c r="L499" s="998"/>
      <c r="M499" s="998"/>
      <c r="AE499" s="1006"/>
      <c r="AF499" s="1006"/>
    </row>
    <row r="500" spans="3:32" s="997" customFormat="1" ht="10.199999999999999">
      <c r="C500" s="997" t="s">
        <v>2477</v>
      </c>
      <c r="D500" s="998"/>
      <c r="E500" s="998"/>
      <c r="F500" s="998"/>
      <c r="G500" s="998"/>
      <c r="I500" s="998"/>
      <c r="J500" s="998" t="s">
        <v>3581</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3575</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4362</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4363</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2040</v>
      </c>
      <c r="M556" s="997" t="s">
        <v>4396</v>
      </c>
      <c r="AE556" s="1006"/>
      <c r="AF556" s="1006"/>
    </row>
    <row r="557" spans="3:32" s="997" customFormat="1" ht="10.199999999999999">
      <c r="C557" s="997" t="s">
        <v>2477</v>
      </c>
      <c r="M557" s="997" t="s">
        <v>4431</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4397</v>
      </c>
      <c r="AE559" s="1006"/>
      <c r="AF559" s="1006"/>
    </row>
    <row r="560" spans="3:32" s="997" customFormat="1" ht="10.199999999999999">
      <c r="C560" s="997" t="s">
        <v>573</v>
      </c>
      <c r="M560" s="1471" t="s">
        <v>4476</v>
      </c>
      <c r="AE560" s="1006"/>
      <c r="AF560" s="1006"/>
    </row>
    <row r="561" spans="3:32" s="997" customFormat="1" ht="10.199999999999999">
      <c r="C561" s="997" t="s">
        <v>2144</v>
      </c>
      <c r="M561" s="1471" t="s">
        <v>4477</v>
      </c>
      <c r="AE561" s="1006"/>
      <c r="AF561" s="1006"/>
    </row>
    <row r="562" spans="3:32" s="997" customFormat="1" ht="10.199999999999999">
      <c r="C562" s="1005" t="s">
        <v>31</v>
      </c>
      <c r="M562" s="997" t="s">
        <v>4398</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huGzYFX0WR3RsV3TvcRl1haXIA3KjWg0GYTlE4kkOm0HOmbMSWVkpf1sVkJxsJOX4cfasQ3oOiYbMWPUeqJv3A==" saltValue="06PFeKmfj3wbAA0zNvppK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90" zoomScaleNormal="90" workbookViewId="0">
      <selection activeCell="A423"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2020-067 Boxwood Heights, Columbus, Muscogee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60" t="s">
        <v>4379</v>
      </c>
      <c r="B3" s="3060"/>
      <c r="C3" s="3060"/>
      <c r="D3" s="3060"/>
      <c r="E3" s="3060"/>
      <c r="F3" s="3060"/>
      <c r="G3" s="3060"/>
      <c r="H3" s="3060"/>
      <c r="I3" s="3060"/>
      <c r="J3" s="3060"/>
      <c r="K3" s="3060"/>
      <c r="L3" s="3060"/>
      <c r="M3" s="1096" t="s">
        <v>2162</v>
      </c>
      <c r="N3" s="73"/>
      <c r="O3" s="83" t="s">
        <v>2161</v>
      </c>
      <c r="P3" s="1097" t="s">
        <v>251</v>
      </c>
      <c r="Q3" s="1485"/>
      <c r="R3" s="1485"/>
      <c r="S3" s="1485"/>
    </row>
    <row r="4" spans="1:22" s="44" customFormat="1" ht="12" customHeight="1">
      <c r="A4" s="3060"/>
      <c r="B4" s="3060"/>
      <c r="C4" s="3060"/>
      <c r="D4" s="3060"/>
      <c r="E4" s="3060"/>
      <c r="F4" s="3060"/>
      <c r="G4" s="3060"/>
      <c r="H4" s="3060"/>
      <c r="I4" s="3060"/>
      <c r="J4" s="3060"/>
      <c r="K4" s="3060"/>
      <c r="L4" s="3060"/>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2" t="str">
        <f>'Part I-Project Information'!$B$6</f>
        <v>May 26, 2020 Version</v>
      </c>
      <c r="C6" s="3082"/>
      <c r="D6" s="3082"/>
      <c r="E6" s="3082"/>
      <c r="F6" s="3082"/>
      <c r="G6" s="461"/>
      <c r="H6" s="42"/>
      <c r="I6" s="42"/>
      <c r="J6" s="42"/>
      <c r="L6" s="69" t="s">
        <v>1200</v>
      </c>
      <c r="M6" s="267">
        <f>M443</f>
        <v>95</v>
      </c>
      <c r="N6" s="9"/>
      <c r="O6" s="1084">
        <f>O443</f>
        <v>54</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4350</v>
      </c>
      <c r="I8" s="66"/>
      <c r="J8" s="66"/>
      <c r="K8" s="66"/>
      <c r="L8" s="66"/>
      <c r="M8" s="1426" t="s">
        <v>4349</v>
      </c>
      <c r="N8" s="66"/>
      <c r="O8" s="2281"/>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79" t="s">
        <v>3824</v>
      </c>
      <c r="G10" s="3079"/>
      <c r="H10" s="3079"/>
      <c r="I10" s="3079"/>
      <c r="J10" s="3079"/>
      <c r="K10" s="3079"/>
      <c r="L10" s="3079"/>
      <c r="M10" s="3079"/>
      <c r="N10" s="3079"/>
      <c r="O10" s="1461" t="s">
        <v>4288</v>
      </c>
      <c r="P10" s="1462">
        <f>SUM(P11:P23)</f>
        <v>0</v>
      </c>
      <c r="Q10" s="3008" t="s">
        <v>4440</v>
      </c>
      <c r="R10" s="3008"/>
      <c r="S10" s="3008"/>
      <c r="T10" s="3008"/>
      <c r="U10" s="3008"/>
      <c r="V10" s="3008"/>
    </row>
    <row r="11" spans="1:22" s="42" customFormat="1" ht="11.25" customHeight="1">
      <c r="A11" s="1113" t="s">
        <v>724</v>
      </c>
      <c r="B11" s="1114" t="s">
        <v>3811</v>
      </c>
      <c r="C11" s="1115"/>
      <c r="D11" s="1116"/>
      <c r="E11" s="1452">
        <f>$O$64</f>
        <v>10</v>
      </c>
      <c r="F11" s="3080" t="str">
        <f>$A$70</f>
        <v>The applicant is eligible for the maximum ten (10) total Desirable Activities points. The proposed site is within a 0.5 mile of a community playground, Ross Dress for Less, Columbus Aquatic Center and  Chattachoochee Valley Library. The proposed site is also within 1.5 miles of McDonalds, Citzens Trust Bank, Publix, St. Francis Urgent Care, Post Office, St. Anne Catholic Church, Walgreens and Rigdon Elementary. There are no undesirables. Please see Tab 28 of the Applcation for the Desirable/Undesirable form and additional information regarding the desirable activities.</v>
      </c>
      <c r="G11" s="3081"/>
      <c r="H11" s="3081"/>
      <c r="I11" s="3081"/>
      <c r="J11" s="3081"/>
      <c r="K11" s="3081"/>
      <c r="L11" s="3081"/>
      <c r="M11" s="3081"/>
      <c r="N11" s="3081"/>
      <c r="O11" s="3081"/>
      <c r="P11" s="4154"/>
      <c r="Q11" s="3008"/>
      <c r="R11" s="3008"/>
      <c r="S11" s="3008"/>
      <c r="T11" s="3008"/>
      <c r="U11" s="3008"/>
      <c r="V11" s="3008"/>
    </row>
    <row r="12" spans="1:22" s="42" customFormat="1" ht="11.25" customHeight="1">
      <c r="A12" s="1117" t="s">
        <v>1748</v>
      </c>
      <c r="B12" s="923" t="s">
        <v>4720</v>
      </c>
      <c r="C12" s="1036"/>
      <c r="D12" s="1118"/>
      <c r="E12" s="1453">
        <f>$O$74</f>
        <v>3</v>
      </c>
      <c r="F12" s="3036" t="str">
        <f>$A$107</f>
        <v>The proposed project is within 0.25 miles (actual distance is 0.1 miles from pedestrian site entrance) of a bus top along route 1of the City of Columbus METRA transit system, The stop is located at 1872 Midtown Dr Road, Columbus, GA 31903. Applicant is elligible for three points in this section.</v>
      </c>
      <c r="G12" s="3037"/>
      <c r="H12" s="3037"/>
      <c r="I12" s="3037"/>
      <c r="J12" s="3037"/>
      <c r="K12" s="3037"/>
      <c r="L12" s="3037"/>
      <c r="M12" s="3037"/>
      <c r="N12" s="3037"/>
      <c r="O12" s="3038"/>
      <c r="P12" s="4155"/>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4721</v>
      </c>
      <c r="C13" s="1036"/>
      <c r="D13" s="1118"/>
      <c r="E13" s="1453">
        <f>$O$112</f>
        <v>4</v>
      </c>
      <c r="F13" s="3036" t="str">
        <f>$A$146</f>
        <v xml:space="preserve">The Applicant has indicated it will provide Preventive Health Care Services to its residents and will perform monthly biometric screenings and health and wellness education to the residents.  The screenings will be offered at no cost to the residents.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The cost for Preventive Healthcare and Healthy Eating Initiative can be found in the Revenues and Expenses Tab. </v>
      </c>
      <c r="G13" s="3037"/>
      <c r="H13" s="3037"/>
      <c r="I13" s="3037"/>
      <c r="J13" s="3037"/>
      <c r="K13" s="3037"/>
      <c r="L13" s="3037"/>
      <c r="M13" s="3037"/>
      <c r="N13" s="3037"/>
      <c r="O13" s="3038"/>
      <c r="P13" s="4155"/>
      <c r="Q13" s="2989"/>
      <c r="R13" s="2990"/>
      <c r="S13" s="2990"/>
    </row>
    <row r="14" spans="1:22" s="42" customFormat="1" ht="11.25" customHeight="1">
      <c r="A14" s="1117" t="s">
        <v>516</v>
      </c>
      <c r="B14" s="923" t="s">
        <v>3812</v>
      </c>
      <c r="C14" s="1036"/>
      <c r="D14" s="1118"/>
      <c r="E14" s="1453">
        <f>$O$150</f>
        <v>0</v>
      </c>
      <c r="F14" s="3036" t="str">
        <f>$A$189</f>
        <v>N/A</v>
      </c>
      <c r="G14" s="3037"/>
      <c r="H14" s="3037"/>
      <c r="I14" s="3037"/>
      <c r="J14" s="3037"/>
      <c r="K14" s="3037"/>
      <c r="L14" s="3037"/>
      <c r="M14" s="3037"/>
      <c r="N14" s="3037"/>
      <c r="O14" s="3038"/>
      <c r="P14" s="4155"/>
      <c r="Q14" s="2989"/>
      <c r="R14" s="2990"/>
      <c r="S14" s="2990"/>
    </row>
    <row r="15" spans="1:22" s="42" customFormat="1" ht="11.25" customHeight="1">
      <c r="A15" s="1117" t="s">
        <v>754</v>
      </c>
      <c r="B15" s="923" t="s">
        <v>3813</v>
      </c>
      <c r="C15" s="1036"/>
      <c r="D15" s="1118"/>
      <c r="E15" s="1454">
        <f>$O$193</f>
        <v>7</v>
      </c>
      <c r="F15" s="3036" t="str">
        <f>$A$228</f>
        <v xml:space="preserve">Applicant is claiming 5 points as the property is located within target area for the MidTown Columbus Redevelopment Plan.  Please see the Redevelopment Plan located in Tab 31 of the Application. The MidTown Columbus Redevelopment Plan, sanctioned by the Columbus Georgia Consolidated Government meets the guidelines and requirements for Redevelopment Plans per the QAP.  The proposed site for Boxwood Heights is located within a 2020 QCT, as shown on a map in Tab 31. In August of 2018, the city of Columbus completed the replacement of the Boxwood Blvd. bridge at a cost of $996,853, representing over 10% of the the TDC and eligibility for an additional 2 points for the Third Party Capital Investment. Information on this 3rd Party Capital Investment can be found in Tab 31. </v>
      </c>
      <c r="G15" s="3037"/>
      <c r="H15" s="3037"/>
      <c r="I15" s="3037"/>
      <c r="J15" s="3037"/>
      <c r="K15" s="3037"/>
      <c r="L15" s="3037"/>
      <c r="M15" s="3037"/>
      <c r="N15" s="3037"/>
      <c r="O15" s="3038"/>
      <c r="P15" s="4155"/>
      <c r="Q15" s="2989"/>
      <c r="R15" s="2990"/>
      <c r="S15" s="2990"/>
    </row>
    <row r="16" spans="1:22" s="42" customFormat="1" ht="11.25" customHeight="1">
      <c r="A16" s="1123" t="s">
        <v>287</v>
      </c>
      <c r="B16" s="1124" t="s">
        <v>3814</v>
      </c>
      <c r="C16" s="1125"/>
      <c r="D16" s="1126"/>
      <c r="E16" s="1455" t="s">
        <v>1690</v>
      </c>
      <c r="F16" s="3044" t="str">
        <f>$A$261</f>
        <v>N/A</v>
      </c>
      <c r="G16" s="3045"/>
      <c r="H16" s="3045"/>
      <c r="I16" s="3045"/>
      <c r="J16" s="3045"/>
      <c r="K16" s="3045"/>
      <c r="L16" s="3045"/>
      <c r="M16" s="3045"/>
      <c r="N16" s="3045"/>
      <c r="O16" s="3046"/>
      <c r="P16" s="4155"/>
      <c r="Q16" s="2989"/>
      <c r="R16" s="2990"/>
      <c r="S16" s="2990"/>
    </row>
    <row r="17" spans="1:19" s="42" customFormat="1" ht="11.25" customHeight="1">
      <c r="A17" s="1117" t="s">
        <v>418</v>
      </c>
      <c r="B17" s="923" t="s">
        <v>4722</v>
      </c>
      <c r="C17" s="1036"/>
      <c r="D17" s="1118"/>
      <c r="E17" s="1453">
        <f>$O$265</f>
        <v>0</v>
      </c>
      <c r="F17" s="3036" t="str">
        <f>$A$281</f>
        <v>N/A</v>
      </c>
      <c r="G17" s="3037"/>
      <c r="H17" s="3037"/>
      <c r="I17" s="3037"/>
      <c r="J17" s="3037"/>
      <c r="K17" s="3037"/>
      <c r="L17" s="3037"/>
      <c r="M17" s="3037"/>
      <c r="N17" s="3037"/>
      <c r="O17" s="3038"/>
      <c r="P17" s="4155"/>
      <c r="Q17" s="2989"/>
      <c r="R17" s="2990"/>
      <c r="S17" s="2990"/>
    </row>
    <row r="18" spans="1:19" s="42" customFormat="1" ht="11.25" customHeight="1">
      <c r="A18" s="1117" t="s">
        <v>4345</v>
      </c>
      <c r="B18" s="923" t="s">
        <v>3597</v>
      </c>
      <c r="C18" s="1036"/>
      <c r="D18" s="1118"/>
      <c r="E18" s="1453">
        <f>$O$293</f>
        <v>0</v>
      </c>
      <c r="F18" s="3036" t="str">
        <f>$A$297</f>
        <v>N/A</v>
      </c>
      <c r="G18" s="3037"/>
      <c r="H18" s="3037"/>
      <c r="I18" s="3037"/>
      <c r="J18" s="3037"/>
      <c r="K18" s="3037"/>
      <c r="L18" s="3037"/>
      <c r="M18" s="3037"/>
      <c r="N18" s="3037"/>
      <c r="O18" s="3038"/>
      <c r="P18" s="4155"/>
      <c r="Q18" s="2989"/>
      <c r="R18" s="2990"/>
      <c r="S18" s="2990"/>
    </row>
    <row r="19" spans="1:19" s="42" customFormat="1" ht="11.25" customHeight="1">
      <c r="A19" s="1117" t="s">
        <v>4724</v>
      </c>
      <c r="B19" s="923" t="s">
        <v>4725</v>
      </c>
      <c r="C19" s="1036"/>
      <c r="D19" s="1118"/>
      <c r="E19" s="1455">
        <f>$O$301</f>
        <v>0</v>
      </c>
      <c r="F19" s="3036" t="str">
        <f>$A$312</f>
        <v>Project is not a phased development.</v>
      </c>
      <c r="G19" s="3037"/>
      <c r="H19" s="3037"/>
      <c r="I19" s="3037"/>
      <c r="J19" s="3037"/>
      <c r="K19" s="3037"/>
      <c r="L19" s="3037"/>
      <c r="M19" s="3037"/>
      <c r="N19" s="3037"/>
      <c r="O19" s="3038"/>
      <c r="P19" s="4155"/>
      <c r="Q19" s="2989"/>
      <c r="R19" s="2990"/>
      <c r="S19" s="2990"/>
    </row>
    <row r="20" spans="1:19" s="42" customFormat="1" ht="11.25" customHeight="1">
      <c r="A20" s="1117" t="s">
        <v>4739</v>
      </c>
      <c r="B20" s="923" t="s">
        <v>4726</v>
      </c>
      <c r="C20" s="1036"/>
      <c r="D20" s="1118"/>
      <c r="E20" s="1453">
        <f>$O$316</f>
        <v>3</v>
      </c>
      <c r="F20" s="3039" t="str">
        <f>$A$329</f>
        <v>The proposed development site is not within a 1-mile buffer (flex pool-specific buffer) of any 9% Credit development and is therefore eligible for three (3) Previous Project points.</v>
      </c>
      <c r="G20" s="3040"/>
      <c r="H20" s="3040"/>
      <c r="I20" s="3040"/>
      <c r="J20" s="3040"/>
      <c r="K20" s="3040"/>
      <c r="L20" s="3040"/>
      <c r="M20" s="3040"/>
      <c r="N20" s="3040"/>
      <c r="O20" s="3041"/>
      <c r="P20" s="4155"/>
      <c r="Q20" s="2989"/>
      <c r="R20" s="2990"/>
      <c r="S20" s="2990"/>
    </row>
    <row r="21" spans="1:19" s="42" customFormat="1" ht="11.25" customHeight="1">
      <c r="A21" s="1123" t="s">
        <v>3783</v>
      </c>
      <c r="B21" s="1124" t="s">
        <v>3815</v>
      </c>
      <c r="C21" s="1125"/>
      <c r="D21" s="1126"/>
      <c r="E21" s="1456">
        <f>$O$364</f>
        <v>0</v>
      </c>
      <c r="F21" s="3036" t="str">
        <f>$A$375</f>
        <v>N/A</v>
      </c>
      <c r="G21" s="3037"/>
      <c r="H21" s="3037"/>
      <c r="I21" s="3037"/>
      <c r="J21" s="3037"/>
      <c r="K21" s="3037"/>
      <c r="L21" s="3037"/>
      <c r="M21" s="3037"/>
      <c r="N21" s="3037"/>
      <c r="O21" s="3038"/>
      <c r="P21" s="4155"/>
      <c r="Q21" s="2989"/>
      <c r="R21" s="2990"/>
      <c r="S21" s="2990"/>
    </row>
    <row r="22" spans="1:19" s="42" customFormat="1" ht="11.25" customHeight="1">
      <c r="A22" s="1117" t="s">
        <v>3784</v>
      </c>
      <c r="B22" s="923" t="s">
        <v>3816</v>
      </c>
      <c r="C22" s="1036"/>
      <c r="D22" s="1118"/>
      <c r="E22" s="1453">
        <f>$O$379</f>
        <v>0</v>
      </c>
      <c r="F22" s="3036" t="str">
        <f>$A$411</f>
        <v>N/A</v>
      </c>
      <c r="G22" s="3037"/>
      <c r="H22" s="3037"/>
      <c r="I22" s="3037"/>
      <c r="J22" s="3037"/>
      <c r="K22" s="3037"/>
      <c r="L22" s="3037"/>
      <c r="M22" s="3037"/>
      <c r="N22" s="3037"/>
      <c r="O22" s="3038"/>
      <c r="P22" s="4155"/>
      <c r="Q22" s="2989"/>
      <c r="R22" s="2990"/>
      <c r="S22" s="2990"/>
    </row>
    <row r="23" spans="1:19" s="42" customFormat="1" ht="11.25" customHeight="1">
      <c r="A23" s="1119" t="s">
        <v>3782</v>
      </c>
      <c r="B23" s="1120" t="s">
        <v>3817</v>
      </c>
      <c r="C23" s="1121"/>
      <c r="D23" s="1122"/>
      <c r="E23" s="1457">
        <f>$O$415</f>
        <v>0</v>
      </c>
      <c r="F23" s="3076" t="str">
        <f>$A$431</f>
        <v>N/A</v>
      </c>
      <c r="G23" s="3077"/>
      <c r="H23" s="3077"/>
      <c r="I23" s="3077"/>
      <c r="J23" s="3077"/>
      <c r="K23" s="3077"/>
      <c r="L23" s="3077"/>
      <c r="M23" s="3077"/>
      <c r="N23" s="3077"/>
      <c r="O23" s="3078"/>
      <c r="P23" s="4156"/>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90"/>
      <c r="H25" s="172" t="s">
        <v>4348</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90"/>
      <c r="M27" s="6"/>
      <c r="N27" s="64" t="s">
        <v>1935</v>
      </c>
    </row>
    <row r="28" spans="1:19" s="43" customFormat="1" ht="11.25" customHeight="1">
      <c r="A28" s="178"/>
      <c r="B28" s="1429" t="s">
        <v>1938</v>
      </c>
      <c r="C28" s="110" t="s">
        <v>4286</v>
      </c>
      <c r="D28" s="48"/>
      <c r="E28" s="48"/>
      <c r="F28" s="2390"/>
      <c r="H28" s="172" t="s">
        <v>3480</v>
      </c>
      <c r="J28" s="49"/>
      <c r="M28" s="6"/>
      <c r="N28" s="388" t="s">
        <v>1938</v>
      </c>
      <c r="O28" s="2282"/>
      <c r="P28" s="1085">
        <f>F36</f>
        <v>0</v>
      </c>
    </row>
    <row r="29" spans="1:19" s="43" customFormat="1" ht="11.25" customHeight="1">
      <c r="A29" s="178"/>
      <c r="B29" s="1429" t="s">
        <v>1940</v>
      </c>
      <c r="C29" s="110" t="s">
        <v>4484</v>
      </c>
      <c r="D29" s="48"/>
      <c r="E29" s="48"/>
      <c r="F29" s="2390"/>
      <c r="H29" s="172" t="s">
        <v>4284</v>
      </c>
      <c r="J29" s="49"/>
      <c r="M29" s="6"/>
      <c r="N29" s="388" t="s">
        <v>1940</v>
      </c>
      <c r="O29" s="2283"/>
      <c r="P29" s="1422">
        <f>J36</f>
        <v>0</v>
      </c>
    </row>
    <row r="30" spans="1:19" s="43" customFormat="1" ht="11.25" customHeight="1">
      <c r="A30" s="178"/>
      <c r="B30" s="1429" t="s">
        <v>2467</v>
      </c>
      <c r="C30" s="110" t="s">
        <v>4285</v>
      </c>
      <c r="D30" s="48"/>
      <c r="E30" s="48"/>
      <c r="F30" s="2390"/>
      <c r="H30" s="172" t="s">
        <v>4289</v>
      </c>
      <c r="J30" s="49"/>
      <c r="M30" s="6"/>
      <c r="N30" s="388" t="s">
        <v>2467</v>
      </c>
      <c r="O30" s="2284"/>
      <c r="P30" s="4157"/>
    </row>
    <row r="31" spans="1:19" s="43" customFormat="1" ht="11.25" customHeight="1">
      <c r="C31" s="4158" t="s">
        <v>4457</v>
      </c>
      <c r="D31" s="4159"/>
      <c r="E31" s="4159"/>
      <c r="F31" s="4159"/>
      <c r="G31" s="4159"/>
      <c r="H31" s="4159"/>
      <c r="I31" s="4159"/>
      <c r="J31" s="4159"/>
      <c r="K31" s="4159"/>
      <c r="L31" s="4159"/>
      <c r="M31" s="4159"/>
      <c r="N31" s="4159"/>
      <c r="O31" s="4159"/>
      <c r="P31" s="416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2" t="s">
        <v>6982</v>
      </c>
      <c r="B35" s="2782"/>
      <c r="C35" s="2782"/>
      <c r="D35" s="2782"/>
      <c r="E35" s="2782"/>
      <c r="F35" s="1420" t="s">
        <v>3808</v>
      </c>
      <c r="G35" s="3068" t="s">
        <v>6984</v>
      </c>
      <c r="H35" s="3068"/>
      <c r="I35" s="3068"/>
      <c r="J35" s="1420" t="s">
        <v>3808</v>
      </c>
      <c r="K35" s="3072" t="s">
        <v>6983</v>
      </c>
      <c r="L35" s="3072"/>
      <c r="M35" s="3072"/>
      <c r="N35" s="3072"/>
      <c r="O35" s="3066" t="s">
        <v>3808</v>
      </c>
      <c r="P35" s="3067"/>
      <c r="R35" s="442"/>
      <c r="S35" s="157"/>
    </row>
    <row r="36" spans="1:20" s="42" customFormat="1" ht="11.25" customHeight="1">
      <c r="A36" s="3065"/>
      <c r="B36" s="3065"/>
      <c r="C36" s="3065"/>
      <c r="D36" s="3065"/>
      <c r="E36" s="3065"/>
      <c r="F36" s="76">
        <f>SUM(F37:F48)</f>
        <v>0</v>
      </c>
      <c r="G36" s="3069"/>
      <c r="H36" s="3070"/>
      <c r="I36" s="3071"/>
      <c r="J36" s="76">
        <f>SUM(J37:J48)</f>
        <v>0</v>
      </c>
      <c r="K36" s="3073"/>
      <c r="L36" s="3074"/>
      <c r="M36" s="3074"/>
      <c r="N36" s="3075"/>
      <c r="O36" s="3061">
        <f>SUM(O37:O48)</f>
        <v>0</v>
      </c>
      <c r="P36" s="3062"/>
      <c r="Q36" s="442"/>
      <c r="R36" s="157"/>
    </row>
    <row r="37" spans="1:20" s="42" customFormat="1" ht="24.75" customHeight="1">
      <c r="A37" s="4161">
        <v>1</v>
      </c>
      <c r="B37" s="4162"/>
      <c r="C37" s="4162"/>
      <c r="D37" s="4162"/>
      <c r="E37" s="4163"/>
      <c r="F37" s="4164"/>
      <c r="G37" s="4161">
        <v>1</v>
      </c>
      <c r="H37" s="4162"/>
      <c r="I37" s="4163"/>
      <c r="J37" s="844" t="s">
        <v>1690</v>
      </c>
      <c r="K37" s="4165">
        <v>1</v>
      </c>
      <c r="L37" s="4166"/>
      <c r="M37" s="4166"/>
      <c r="N37" s="4166"/>
      <c r="O37" s="3063" t="s">
        <v>1690</v>
      </c>
      <c r="P37" s="3064"/>
      <c r="Q37" s="440" t="s">
        <v>1228</v>
      </c>
      <c r="R37" s="157"/>
    </row>
    <row r="38" spans="1:20" s="42" customFormat="1" ht="24.75" customHeight="1">
      <c r="A38" s="4167">
        <v>2</v>
      </c>
      <c r="B38" s="4168"/>
      <c r="C38" s="4168"/>
      <c r="D38" s="4168"/>
      <c r="E38" s="4169"/>
      <c r="F38" s="4170"/>
      <c r="G38" s="4167">
        <v>2</v>
      </c>
      <c r="H38" s="4168"/>
      <c r="I38" s="4169"/>
      <c r="J38" s="4170"/>
      <c r="K38" s="4171">
        <v>2</v>
      </c>
      <c r="L38" s="4172"/>
      <c r="M38" s="4172"/>
      <c r="N38" s="4172"/>
      <c r="O38" s="4173"/>
      <c r="P38" s="4174"/>
      <c r="Q38" s="441"/>
      <c r="R38" s="157"/>
    </row>
    <row r="39" spans="1:20" s="42" customFormat="1" ht="24.75" customHeight="1">
      <c r="A39" s="4167">
        <v>3</v>
      </c>
      <c r="B39" s="4168"/>
      <c r="C39" s="4168"/>
      <c r="D39" s="4168"/>
      <c r="E39" s="4169"/>
      <c r="F39" s="4170"/>
      <c r="G39" s="4167">
        <v>3</v>
      </c>
      <c r="H39" s="4168"/>
      <c r="I39" s="4169"/>
      <c r="J39" s="1127" t="s">
        <v>2800</v>
      </c>
      <c r="K39" s="4171">
        <v>3</v>
      </c>
      <c r="L39" s="4172"/>
      <c r="M39" s="4172"/>
      <c r="N39" s="4172"/>
      <c r="O39" s="3034" t="s">
        <v>2800</v>
      </c>
      <c r="P39" s="3035"/>
      <c r="Q39" s="3148" t="s">
        <v>4287</v>
      </c>
      <c r="R39" s="3149"/>
      <c r="S39" s="1423"/>
      <c r="T39" s="1423"/>
    </row>
    <row r="40" spans="1:20" s="42" customFormat="1" ht="24.75" customHeight="1">
      <c r="A40" s="4167">
        <v>4</v>
      </c>
      <c r="B40" s="4168"/>
      <c r="C40" s="4168"/>
      <c r="D40" s="4168"/>
      <c r="E40" s="4169"/>
      <c r="F40" s="4170"/>
      <c r="G40" s="4167">
        <v>4</v>
      </c>
      <c r="H40" s="4168"/>
      <c r="I40" s="4169"/>
      <c r="J40" s="4170"/>
      <c r="K40" s="4171">
        <v>4</v>
      </c>
      <c r="L40" s="4172"/>
      <c r="M40" s="4172"/>
      <c r="N40" s="4172"/>
      <c r="O40" s="3034" t="s">
        <v>2800</v>
      </c>
      <c r="P40" s="3035"/>
      <c r="Q40" s="3148"/>
      <c r="R40" s="3149"/>
      <c r="S40" s="1423"/>
      <c r="T40" s="1423"/>
    </row>
    <row r="41" spans="1:20" s="42" customFormat="1" ht="24.75" customHeight="1">
      <c r="A41" s="4167">
        <v>5</v>
      </c>
      <c r="B41" s="4168"/>
      <c r="C41" s="4168"/>
      <c r="D41" s="4168"/>
      <c r="E41" s="4169"/>
      <c r="F41" s="4170"/>
      <c r="G41" s="4167">
        <v>5</v>
      </c>
      <c r="H41" s="4168"/>
      <c r="I41" s="4169"/>
      <c r="J41" s="1127" t="s">
        <v>3444</v>
      </c>
      <c r="K41" s="4171">
        <v>5</v>
      </c>
      <c r="L41" s="4172"/>
      <c r="M41" s="4172"/>
      <c r="N41" s="4172"/>
      <c r="O41" s="4173"/>
      <c r="P41" s="4174"/>
      <c r="Q41" s="3148"/>
      <c r="R41" s="3149"/>
      <c r="S41" s="1423"/>
      <c r="T41" s="1423"/>
    </row>
    <row r="42" spans="1:20" s="42" customFormat="1" ht="24" customHeight="1">
      <c r="A42" s="4167">
        <v>6</v>
      </c>
      <c r="B42" s="4168"/>
      <c r="C42" s="4168"/>
      <c r="D42" s="4168"/>
      <c r="E42" s="4169"/>
      <c r="F42" s="4170"/>
      <c r="G42" s="4167">
        <v>6</v>
      </c>
      <c r="H42" s="4168"/>
      <c r="I42" s="4169"/>
      <c r="J42" s="4170"/>
      <c r="K42" s="4171">
        <v>6</v>
      </c>
      <c r="L42" s="4172"/>
      <c r="M42" s="4172"/>
      <c r="N42" s="4172"/>
      <c r="O42" s="4173"/>
      <c r="P42" s="4174"/>
      <c r="Q42" s="3148"/>
      <c r="R42" s="3149"/>
    </row>
    <row r="43" spans="1:20" s="42" customFormat="1" ht="10.5" customHeight="1">
      <c r="A43" s="4167">
        <v>7</v>
      </c>
      <c r="B43" s="4168"/>
      <c r="C43" s="4168"/>
      <c r="D43" s="4168"/>
      <c r="E43" s="4169"/>
      <c r="F43" s="4170"/>
      <c r="G43" s="4167">
        <v>7</v>
      </c>
      <c r="H43" s="4168"/>
      <c r="I43" s="4169"/>
      <c r="J43" s="1127" t="s">
        <v>3445</v>
      </c>
      <c r="K43" s="4171">
        <v>7</v>
      </c>
      <c r="L43" s="4172"/>
      <c r="M43" s="4172"/>
      <c r="N43" s="4172"/>
      <c r="O43" s="4173"/>
      <c r="P43" s="4174"/>
      <c r="Q43" s="157"/>
      <c r="R43" s="157"/>
    </row>
    <row r="44" spans="1:20" s="42" customFormat="1" ht="10.5" customHeight="1">
      <c r="A44" s="4167">
        <v>8</v>
      </c>
      <c r="B44" s="4168"/>
      <c r="C44" s="4168"/>
      <c r="D44" s="4168"/>
      <c r="E44" s="4169"/>
      <c r="F44" s="4170"/>
      <c r="G44" s="4167">
        <v>8</v>
      </c>
      <c r="H44" s="4168"/>
      <c r="I44" s="4169"/>
      <c r="J44" s="4170"/>
      <c r="K44" s="4171">
        <v>8</v>
      </c>
      <c r="L44" s="4172"/>
      <c r="M44" s="4172"/>
      <c r="N44" s="4172"/>
      <c r="O44" s="4173"/>
      <c r="P44" s="4174"/>
      <c r="Q44" s="157"/>
      <c r="R44" s="157"/>
    </row>
    <row r="45" spans="1:20" s="42" customFormat="1" ht="11.25" customHeight="1">
      <c r="A45" s="4167">
        <v>9</v>
      </c>
      <c r="B45" s="4168"/>
      <c r="C45" s="4168"/>
      <c r="D45" s="4168"/>
      <c r="E45" s="4169"/>
      <c r="F45" s="4170"/>
      <c r="G45" s="4167">
        <v>9</v>
      </c>
      <c r="H45" s="4168"/>
      <c r="I45" s="4169"/>
      <c r="J45" s="1127" t="s">
        <v>3446</v>
      </c>
      <c r="K45" s="4171">
        <v>9</v>
      </c>
      <c r="L45" s="4172"/>
      <c r="M45" s="4172"/>
      <c r="N45" s="4172"/>
      <c r="O45" s="4173"/>
      <c r="P45" s="4174"/>
      <c r="Q45" s="157"/>
      <c r="R45" s="157"/>
    </row>
    <row r="46" spans="1:20" s="42" customFormat="1" ht="11.25" customHeight="1">
      <c r="A46" s="4167">
        <v>10</v>
      </c>
      <c r="B46" s="4168"/>
      <c r="C46" s="4168"/>
      <c r="D46" s="4168"/>
      <c r="E46" s="4169"/>
      <c r="F46" s="4170"/>
      <c r="G46" s="4167">
        <v>10</v>
      </c>
      <c r="H46" s="4168"/>
      <c r="I46" s="4169"/>
      <c r="J46" s="4170"/>
      <c r="K46" s="4171">
        <v>10</v>
      </c>
      <c r="L46" s="4172"/>
      <c r="M46" s="4172"/>
      <c r="N46" s="4172"/>
      <c r="O46" s="4173"/>
      <c r="P46" s="4174"/>
      <c r="Q46" s="157"/>
    </row>
    <row r="47" spans="1:20" s="42" customFormat="1" ht="11.25" customHeight="1">
      <c r="A47" s="4167">
        <v>11</v>
      </c>
      <c r="B47" s="4168"/>
      <c r="C47" s="4168"/>
      <c r="D47" s="4168"/>
      <c r="E47" s="4169"/>
      <c r="F47" s="4170"/>
      <c r="G47" s="4167">
        <v>11</v>
      </c>
      <c r="H47" s="4168"/>
      <c r="I47" s="4169"/>
      <c r="J47" s="1127" t="s">
        <v>3447</v>
      </c>
      <c r="K47" s="4167">
        <v>11</v>
      </c>
      <c r="L47" s="4168"/>
      <c r="M47" s="4168"/>
      <c r="N47" s="4169"/>
      <c r="O47" s="4173"/>
      <c r="P47" s="4174"/>
      <c r="Q47" s="157"/>
      <c r="R47" s="157"/>
    </row>
    <row r="48" spans="1:20" s="42" customFormat="1" ht="11.25" customHeight="1">
      <c r="A48" s="4175">
        <v>12</v>
      </c>
      <c r="B48" s="4176"/>
      <c r="C48" s="4176"/>
      <c r="D48" s="4176"/>
      <c r="E48" s="4177"/>
      <c r="F48" s="4178"/>
      <c r="G48" s="4175">
        <v>12</v>
      </c>
      <c r="H48" s="4176"/>
      <c r="I48" s="4177"/>
      <c r="J48" s="4178"/>
      <c r="K48" s="4175">
        <v>12</v>
      </c>
      <c r="L48" s="4176"/>
      <c r="M48" s="4176"/>
      <c r="N48" s="4177"/>
      <c r="O48" s="4179"/>
      <c r="P48" s="4180"/>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4438</v>
      </c>
      <c r="J52" s="1500"/>
      <c r="K52" s="1500" t="str">
        <f>'Part I-Project Information'!$K$94</f>
        <v>Income Averaging</v>
      </c>
      <c r="M52" s="846"/>
      <c r="N52" s="7"/>
      <c r="Q52" s="7"/>
      <c r="R52" s="374"/>
    </row>
    <row r="53" spans="1:18" s="102" customFormat="1" ht="9" customHeight="1">
      <c r="A53" s="138"/>
      <c r="B53" s="3150" t="s">
        <v>4291</v>
      </c>
      <c r="C53" s="3150"/>
      <c r="D53" s="3150"/>
      <c r="E53" s="3150"/>
      <c r="F53" s="3150"/>
      <c r="G53" s="3150"/>
      <c r="H53" s="3150"/>
      <c r="I53" s="3150"/>
      <c r="J53" s="3150"/>
      <c r="K53" s="3150"/>
      <c r="L53" s="3150"/>
      <c r="M53" s="846"/>
      <c r="N53" s="7"/>
      <c r="Q53" s="7"/>
      <c r="R53" s="374"/>
    </row>
    <row r="54" spans="1:18" s="102" customFormat="1" ht="13.5" customHeight="1">
      <c r="B54" s="3150"/>
      <c r="C54" s="3150"/>
      <c r="D54" s="3150"/>
      <c r="E54" s="3150"/>
      <c r="F54" s="3150"/>
      <c r="G54" s="3150"/>
      <c r="H54" s="3150"/>
      <c r="I54" s="3150"/>
      <c r="J54" s="3150"/>
      <c r="K54" s="3150"/>
      <c r="L54" s="3150"/>
      <c r="M54" s="855">
        <v>2</v>
      </c>
      <c r="N54" s="388" t="s">
        <v>1935</v>
      </c>
      <c r="O54" s="869">
        <f>MIN($M54, O55+O56)</f>
        <v>2</v>
      </c>
      <c r="P54" s="869">
        <f>MIN($M54, P55+P56)</f>
        <v>0</v>
      </c>
    </row>
    <row r="55" spans="1:18" s="102" customFormat="1" ht="13.5" customHeight="1">
      <c r="A55" s="138"/>
      <c r="B55" s="1145" t="s">
        <v>1938</v>
      </c>
      <c r="C55" s="1430" t="s">
        <v>4292</v>
      </c>
      <c r="D55" s="52"/>
      <c r="H55" s="52" t="s">
        <v>4293</v>
      </c>
      <c r="I55" s="1427"/>
      <c r="K55" s="1502">
        <f>'Part VI-Revenues &amp; Expenses'!B49</f>
        <v>57.916666666666664</v>
      </c>
      <c r="L55" s="3059" t="str">
        <f>IF(AND(O55&gt;0,O56&gt;0), "CHOOSE EITHER A OR B, NOT BOTH!", "")</f>
        <v/>
      </c>
      <c r="M55" s="995">
        <v>2</v>
      </c>
      <c r="N55" s="174" t="s">
        <v>1938</v>
      </c>
      <c r="O55" s="2286">
        <v>2</v>
      </c>
      <c r="P55" s="4181"/>
      <c r="Q55" s="1477" t="str">
        <f>IF(OR($O55=$M55,$O55=0,$O55=""),"","*CHECK!*")</f>
        <v/>
      </c>
      <c r="R55" s="974" t="s">
        <v>4767</v>
      </c>
    </row>
    <row r="56" spans="1:18" s="102" customFormat="1" ht="13.5" customHeight="1">
      <c r="A56" s="1428" t="s">
        <v>3236</v>
      </c>
      <c r="B56" s="1145" t="s">
        <v>1940</v>
      </c>
      <c r="C56" s="1430" t="s">
        <v>4294</v>
      </c>
      <c r="D56" s="52"/>
      <c r="I56" s="1427"/>
      <c r="K56" s="52"/>
      <c r="L56" s="3059"/>
      <c r="M56" s="995">
        <v>2</v>
      </c>
      <c r="N56" s="174" t="s">
        <v>1940</v>
      </c>
      <c r="O56" s="2287"/>
      <c r="P56" s="4182"/>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3481</v>
      </c>
      <c r="E58" s="423"/>
      <c r="H58" s="3057" t="s">
        <v>4295</v>
      </c>
      <c r="I58" s="3058"/>
      <c r="J58" s="1433" t="s">
        <v>4296</v>
      </c>
      <c r="M58" s="855">
        <v>3</v>
      </c>
      <c r="N58" s="160" t="s">
        <v>1937</v>
      </c>
      <c r="O58" s="869">
        <f>IF(AND(O59="Yes", O60="Yes"),$M$58,0)</f>
        <v>0</v>
      </c>
      <c r="P58" s="869">
        <f>IF(AND(P59="Yes", P60="Yes"),$M$58,0)</f>
        <v>0</v>
      </c>
    </row>
    <row r="59" spans="1:18" s="422" customFormat="1" ht="13.5" customHeight="1">
      <c r="A59" s="421"/>
      <c r="B59" s="1145" t="s">
        <v>1938</v>
      </c>
      <c r="C59" s="1431">
        <v>0.3</v>
      </c>
      <c r="D59" s="923" t="s">
        <v>3482</v>
      </c>
      <c r="E59" s="423"/>
      <c r="F59" s="843"/>
      <c r="H59" s="2288"/>
      <c r="I59" s="4183"/>
      <c r="J59" s="1432">
        <f>'Part VI-Revenues &amp; Expenses'!P65</f>
        <v>48</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3705</v>
      </c>
      <c r="E60" s="899"/>
      <c r="F60" s="843"/>
      <c r="I60" s="867"/>
      <c r="J60" s="867"/>
      <c r="K60" s="867"/>
      <c r="L60" s="867"/>
      <c r="M60" s="867"/>
      <c r="N60" s="388" t="s">
        <v>1940</v>
      </c>
      <c r="O60" s="2258"/>
      <c r="P60" s="520"/>
    </row>
    <row r="61" spans="1:18" s="43" customFormat="1" ht="10.5" customHeight="1">
      <c r="A61" s="42"/>
      <c r="B61" s="97" t="s">
        <v>1819</v>
      </c>
      <c r="C61" s="422"/>
      <c r="D61" s="85"/>
      <c r="E61" s="2378"/>
      <c r="F61" s="2378"/>
      <c r="G61" s="2378"/>
      <c r="H61" s="2378"/>
      <c r="I61" s="2378"/>
      <c r="J61" s="2378"/>
      <c r="K61" s="2378"/>
      <c r="L61" s="2378"/>
      <c r="M61" s="2378"/>
      <c r="N61" s="74"/>
      <c r="O61" s="70"/>
      <c r="P61" s="2375"/>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3579</v>
      </c>
      <c r="J64" s="2550"/>
      <c r="K64" s="2550"/>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3636</v>
      </c>
      <c r="D66" s="33"/>
      <c r="N66" s="455"/>
      <c r="O66" s="2256" t="s">
        <v>2884</v>
      </c>
      <c r="P66" s="518"/>
    </row>
    <row r="67" spans="1:21" s="102" customFormat="1" ht="12" customHeight="1">
      <c r="A67" s="138" t="s">
        <v>1935</v>
      </c>
      <c r="B67" s="165" t="s">
        <v>1826</v>
      </c>
      <c r="C67" s="4"/>
      <c r="D67" s="4"/>
      <c r="F67" s="295"/>
      <c r="H67" s="821" t="s">
        <v>2637</v>
      </c>
      <c r="I67" s="3047" t="s">
        <v>4727</v>
      </c>
      <c r="J67" s="3048"/>
      <c r="K67" s="3048"/>
      <c r="L67" s="3049"/>
      <c r="M67" s="72">
        <v>10</v>
      </c>
      <c r="N67" s="174" t="s">
        <v>1935</v>
      </c>
      <c r="O67" s="2286">
        <v>10</v>
      </c>
      <c r="P67" s="4181"/>
      <c r="Q67" s="1477" t="str">
        <f>IF(OR($O67=$M67,$O67=0,$O67=""),"","*CHECK!*")</f>
        <v/>
      </c>
      <c r="R67" s="974" t="s">
        <v>4767</v>
      </c>
    </row>
    <row r="68" spans="1:21" s="102" customFormat="1" ht="12.6" customHeight="1">
      <c r="A68" s="138" t="s">
        <v>1937</v>
      </c>
      <c r="B68" s="165" t="s">
        <v>3628</v>
      </c>
      <c r="D68" s="1063"/>
      <c r="F68" s="1501"/>
      <c r="H68" s="821" t="s">
        <v>3727</v>
      </c>
      <c r="I68" s="3050"/>
      <c r="J68" s="3051"/>
      <c r="K68" s="3051"/>
      <c r="L68" s="3052"/>
      <c r="M68" s="2398" t="s">
        <v>1212</v>
      </c>
      <c r="N68" s="455" t="s">
        <v>1937</v>
      </c>
      <c r="O68" s="2287"/>
      <c r="P68" s="4182"/>
      <c r="R68" s="974" t="s">
        <v>4767</v>
      </c>
    </row>
    <row r="69" spans="1:21" s="43" customFormat="1" ht="11.25" customHeight="1" thickBot="1">
      <c r="A69" s="42"/>
      <c r="B69" s="1132" t="s">
        <v>3566</v>
      </c>
      <c r="C69" s="42"/>
      <c r="D69" s="48"/>
      <c r="E69" s="48"/>
      <c r="F69" s="48"/>
      <c r="G69" s="48"/>
      <c r="H69" s="36"/>
      <c r="I69" s="3053"/>
      <c r="J69" s="3054"/>
      <c r="K69" s="3054"/>
      <c r="L69" s="3055"/>
      <c r="M69" s="46"/>
      <c r="N69" s="62"/>
      <c r="O69" s="3"/>
      <c r="P69" s="2377"/>
    </row>
    <row r="70" spans="1:21" s="43" customFormat="1" ht="56.25" customHeight="1" thickTop="1" thickBot="1">
      <c r="A70" s="2940" t="s">
        <v>7117</v>
      </c>
      <c r="B70" s="2941"/>
      <c r="C70" s="2941"/>
      <c r="D70" s="2941"/>
      <c r="E70" s="2941"/>
      <c r="F70" s="2941"/>
      <c r="G70" s="2941"/>
      <c r="H70" s="2941"/>
      <c r="I70" s="2941"/>
      <c r="J70" s="2941"/>
      <c r="K70" s="2941"/>
      <c r="L70" s="2941"/>
      <c r="M70" s="2941"/>
      <c r="N70" s="2941"/>
      <c r="O70" s="2941"/>
      <c r="P70" s="2942"/>
      <c r="Q70" s="1027" t="s">
        <v>1228</v>
      </c>
      <c r="R70" s="441"/>
    </row>
    <row r="71" spans="1:21" s="43" customFormat="1" ht="11.4" customHeight="1" thickTop="1">
      <c r="A71" s="42"/>
      <c r="B71" s="66" t="s">
        <v>1819</v>
      </c>
      <c r="C71" s="42"/>
      <c r="D71" s="136"/>
      <c r="E71" s="2378"/>
      <c r="F71" s="2378"/>
      <c r="G71" s="2378"/>
      <c r="H71" s="2378"/>
      <c r="I71" s="2378"/>
      <c r="J71" s="2378"/>
      <c r="K71" s="2378"/>
      <c r="L71" s="2378"/>
      <c r="M71" s="2378"/>
      <c r="N71" s="74"/>
      <c r="O71" s="70"/>
      <c r="P71" s="2375"/>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5">
        <v>6</v>
      </c>
      <c r="N74" s="455"/>
      <c r="O74" s="1041">
        <f>IF($J$75="Flexible",MIN($M74,MAX(O89,O95)),IF(AND($J$75="Rural",O103&gt;0),MIN($M103,O103),0))</f>
        <v>3</v>
      </c>
      <c r="P74" s="1041">
        <f>IF($J$75="Flexible",MIN($M74,MAX(P89,P95)),IF(AND($J$75="Rural",P103&gt;0),MIN($M103,P103),0))</f>
        <v>0</v>
      </c>
      <c r="Q74" s="109" t="s">
        <v>433</v>
      </c>
      <c r="R74" s="3009" t="s">
        <v>4520</v>
      </c>
      <c r="S74" s="3009"/>
      <c r="T74" s="3009"/>
      <c r="U74" s="3009"/>
    </row>
    <row r="75" spans="1:21" s="43" customFormat="1" ht="17.25" customHeight="1">
      <c r="A75" s="152"/>
      <c r="B75" s="110" t="s">
        <v>3706</v>
      </c>
      <c r="D75" s="41"/>
      <c r="H75" s="165" t="s">
        <v>2702</v>
      </c>
      <c r="I75" s="505"/>
      <c r="J75" s="503" t="str">
        <f>'Part I-Project Information'!$H$105</f>
        <v>Flexible</v>
      </c>
      <c r="K75" s="48"/>
      <c r="M75" s="2375"/>
      <c r="N75" s="455"/>
      <c r="O75" s="973" t="s">
        <v>3449</v>
      </c>
      <c r="P75" s="973" t="s">
        <v>3450</v>
      </c>
      <c r="Q75" s="109"/>
      <c r="R75" s="3009"/>
      <c r="S75" s="3009"/>
      <c r="T75" s="3009"/>
      <c r="U75" s="3009"/>
    </row>
    <row r="76" spans="1:21" s="43" customFormat="1" ht="11.25" customHeight="1">
      <c r="A76" s="152"/>
      <c r="B76" s="372" t="s">
        <v>1938</v>
      </c>
      <c r="C76" s="36" t="s">
        <v>4302</v>
      </c>
      <c r="D76" s="1063"/>
      <c r="E76" s="102"/>
      <c r="F76" s="102"/>
      <c r="G76" s="102"/>
      <c r="H76" s="45"/>
      <c r="I76" s="49"/>
      <c r="J76" s="48"/>
      <c r="K76" s="48"/>
      <c r="L76" s="102"/>
      <c r="M76" s="2375"/>
      <c r="N76" s="455"/>
      <c r="O76" s="2256" t="s">
        <v>2884</v>
      </c>
      <c r="P76" s="518"/>
      <c r="Q76" s="109"/>
      <c r="R76" s="3009"/>
      <c r="S76" s="3009"/>
      <c r="T76" s="3009"/>
      <c r="U76" s="3009"/>
    </row>
    <row r="77" spans="1:21" s="43" customFormat="1" ht="11.25" customHeight="1">
      <c r="A77" s="152"/>
      <c r="B77" s="372" t="s">
        <v>1940</v>
      </c>
      <c r="C77" s="36" t="s">
        <v>4303</v>
      </c>
      <c r="D77" s="1063"/>
      <c r="E77" s="102"/>
      <c r="F77" s="102"/>
      <c r="G77" s="102"/>
      <c r="H77" s="45"/>
      <c r="I77" s="49"/>
      <c r="J77" s="48"/>
      <c r="K77" s="48"/>
      <c r="L77" s="102"/>
      <c r="M77" s="102"/>
      <c r="N77" s="455"/>
      <c r="O77" s="2257" t="s">
        <v>2884</v>
      </c>
      <c r="P77" s="519"/>
      <c r="Q77" s="109"/>
      <c r="R77" s="3009"/>
      <c r="S77" s="3009"/>
      <c r="T77" s="3009"/>
      <c r="U77" s="3009"/>
    </row>
    <row r="78" spans="1:21" s="43" customFormat="1" ht="11.25" customHeight="1">
      <c r="A78" s="152"/>
      <c r="B78" s="372" t="s">
        <v>2467</v>
      </c>
      <c r="C78" s="36" t="s">
        <v>4304</v>
      </c>
      <c r="D78" s="1063"/>
      <c r="E78" s="102"/>
      <c r="F78" s="102"/>
      <c r="G78" s="102"/>
      <c r="H78" s="45"/>
      <c r="I78" s="49"/>
      <c r="J78" s="48"/>
      <c r="K78" s="48"/>
      <c r="L78" s="102"/>
      <c r="M78" s="102"/>
      <c r="N78" s="455"/>
      <c r="O78" s="2257" t="s">
        <v>2884</v>
      </c>
      <c r="P78" s="519"/>
      <c r="Q78" s="109"/>
      <c r="R78" s="3009"/>
      <c r="S78" s="3009"/>
      <c r="T78" s="3009"/>
      <c r="U78" s="3009"/>
    </row>
    <row r="79" spans="1:21" s="43" customFormat="1" ht="11.25" customHeight="1">
      <c r="A79" s="152"/>
      <c r="B79" s="372" t="s">
        <v>1198</v>
      </c>
      <c r="C79" s="36" t="s">
        <v>4298</v>
      </c>
      <c r="D79" s="1063"/>
      <c r="E79" s="102"/>
      <c r="F79" s="102"/>
      <c r="G79" s="102"/>
      <c r="H79" s="45"/>
      <c r="I79" s="49"/>
      <c r="J79" s="48"/>
      <c r="K79" s="48"/>
      <c r="L79" s="102"/>
      <c r="M79" s="102"/>
      <c r="N79" s="455"/>
      <c r="O79" s="2258" t="s">
        <v>6996</v>
      </c>
      <c r="P79" s="520"/>
      <c r="Q79" s="109"/>
      <c r="R79" s="3009"/>
      <c r="S79" s="3009"/>
      <c r="T79" s="3009"/>
      <c r="U79" s="3009"/>
    </row>
    <row r="80" spans="1:21" s="43" customFormat="1" ht="3" customHeight="1">
      <c r="A80" s="152"/>
      <c r="B80" s="105"/>
      <c r="D80" s="41"/>
      <c r="H80" s="45"/>
      <c r="I80" s="49"/>
      <c r="J80" s="48"/>
      <c r="K80" s="48"/>
      <c r="M80" s="2375"/>
      <c r="N80" s="455"/>
      <c r="O80" s="3"/>
      <c r="P80" s="3"/>
      <c r="Q80" s="109"/>
      <c r="R80" s="3009"/>
      <c r="S80" s="3009"/>
      <c r="T80" s="3009"/>
      <c r="U80" s="3009"/>
    </row>
    <row r="81" spans="1:21" s="43" customFormat="1" ht="13.5" customHeight="1">
      <c r="A81" s="152"/>
      <c r="B81" s="110" t="s">
        <v>3712</v>
      </c>
      <c r="D81" s="41"/>
      <c r="F81" s="3029" t="s">
        <v>3535</v>
      </c>
      <c r="G81" s="3029"/>
      <c r="H81" s="3029"/>
      <c r="I81" s="3029"/>
      <c r="J81" s="3029" t="s">
        <v>3536</v>
      </c>
      <c r="K81" s="3029"/>
      <c r="L81" s="3029"/>
      <c r="M81" s="3029"/>
      <c r="N81" s="455"/>
      <c r="O81" s="3032" t="s">
        <v>4439</v>
      </c>
      <c r="P81" s="3033"/>
      <c r="Q81" s="109"/>
      <c r="R81" s="3009"/>
      <c r="S81" s="3009"/>
      <c r="T81" s="3009"/>
      <c r="U81" s="3009"/>
    </row>
    <row r="82" spans="1:21" s="43" customFormat="1" ht="12.75" customHeight="1">
      <c r="A82" s="152"/>
      <c r="C82" s="480" t="s">
        <v>3711</v>
      </c>
      <c r="D82" s="582"/>
      <c r="E82" s="268"/>
      <c r="F82" s="3010">
        <v>32.477728999999997</v>
      </c>
      <c r="G82" s="3011"/>
      <c r="H82" s="4184"/>
      <c r="I82" s="4185"/>
      <c r="J82" s="3010">
        <v>-84.939828000000006</v>
      </c>
      <c r="K82" s="3011"/>
      <c r="L82" s="4184"/>
      <c r="M82" s="4185"/>
      <c r="N82" s="455"/>
      <c r="Q82" s="109"/>
      <c r="R82" s="3009"/>
      <c r="S82" s="3009"/>
      <c r="T82" s="3009"/>
      <c r="U82" s="3009"/>
    </row>
    <row r="83" spans="1:21" s="43" customFormat="1" ht="12.75" customHeight="1">
      <c r="A83" s="3119" t="s">
        <v>3807</v>
      </c>
      <c r="B83" s="3119"/>
      <c r="D83" s="1099" t="s">
        <v>3713</v>
      </c>
      <c r="E83" s="268"/>
      <c r="F83" s="3122">
        <v>32.477947999999998</v>
      </c>
      <c r="G83" s="3123"/>
      <c r="H83" s="4186"/>
      <c r="I83" s="4187"/>
      <c r="J83" s="3122">
        <v>-84.941370000000006</v>
      </c>
      <c r="K83" s="3123"/>
      <c r="L83" s="4186"/>
      <c r="M83" s="4187"/>
      <c r="N83" s="455"/>
      <c r="O83" s="2289">
        <v>0.1</v>
      </c>
      <c r="P83" s="4188"/>
      <c r="Q83" s="109"/>
      <c r="R83" s="3009"/>
      <c r="S83" s="3009"/>
      <c r="T83" s="3009"/>
      <c r="U83" s="3009"/>
    </row>
    <row r="84" spans="1:21" s="43" customFormat="1" ht="12.75" customHeight="1">
      <c r="A84" s="3119"/>
      <c r="B84" s="3119"/>
      <c r="C84" s="480" t="s">
        <v>3777</v>
      </c>
      <c r="D84" s="582"/>
      <c r="E84" s="268"/>
      <c r="F84" s="3024"/>
      <c r="G84" s="3025"/>
      <c r="H84" s="4189"/>
      <c r="I84" s="4190"/>
      <c r="J84" s="3024"/>
      <c r="K84" s="3025"/>
      <c r="L84" s="4189"/>
      <c r="M84" s="4190"/>
      <c r="N84" s="455"/>
      <c r="O84" s="455"/>
      <c r="P84" s="455"/>
      <c r="Q84" s="109"/>
      <c r="R84" s="3009"/>
      <c r="S84" s="3009"/>
      <c r="T84" s="3009"/>
      <c r="U84" s="3009"/>
    </row>
    <row r="85" spans="1:21" s="43" customFormat="1" ht="12.75" customHeight="1">
      <c r="A85" s="3119"/>
      <c r="B85" s="3119"/>
      <c r="E85" s="1410" t="s">
        <v>3776</v>
      </c>
      <c r="F85" s="3030"/>
      <c r="G85" s="3031"/>
      <c r="H85" s="4191"/>
      <c r="I85" s="4192"/>
      <c r="J85" s="3030"/>
      <c r="K85" s="3031"/>
      <c r="L85" s="4191"/>
      <c r="M85" s="4192"/>
      <c r="N85" s="455"/>
      <c r="O85" s="2289"/>
      <c r="P85" s="4188"/>
      <c r="Q85" s="109"/>
      <c r="R85" s="3009"/>
      <c r="S85" s="3009"/>
      <c r="T85" s="3009"/>
      <c r="U85" s="3009"/>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2693</v>
      </c>
      <c r="B87" s="105"/>
      <c r="D87" s="41"/>
      <c r="F87" s="61" t="s">
        <v>3567</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1935</v>
      </c>
      <c r="B89" s="165" t="s">
        <v>3559</v>
      </c>
      <c r="D89" s="41"/>
      <c r="F89" s="45" t="s">
        <v>3638</v>
      </c>
      <c r="M89" s="2375">
        <v>6</v>
      </c>
      <c r="N89" s="388" t="s">
        <v>1935</v>
      </c>
      <c r="O89" s="976">
        <f>IF($J$75="Flexible",MIN($M89,O90+O91+O92),0)</f>
        <v>0</v>
      </c>
      <c r="P89" s="976">
        <f>IF($J$75="Flexible",MIN($M89,P90+P91+P92),0)</f>
        <v>0</v>
      </c>
      <c r="Q89" s="109"/>
    </row>
    <row r="90" spans="1:21" s="409" customFormat="1" ht="23.25" customHeight="1">
      <c r="B90" s="435" t="s">
        <v>1938</v>
      </c>
      <c r="C90" s="2720" t="s">
        <v>4299</v>
      </c>
      <c r="D90" s="2720"/>
      <c r="E90" s="2720"/>
      <c r="F90" s="2720"/>
      <c r="G90" s="2720"/>
      <c r="H90" s="2720"/>
      <c r="I90" s="3124" t="s">
        <v>3774</v>
      </c>
      <c r="J90" s="3125"/>
      <c r="K90" s="3125"/>
      <c r="L90" s="3126"/>
      <c r="M90" s="500">
        <v>5</v>
      </c>
      <c r="N90" s="469" t="s">
        <v>1938</v>
      </c>
      <c r="O90" s="2290"/>
      <c r="P90" s="4193"/>
      <c r="Q90" s="1477" t="str">
        <f>IF(OR($O90=$M90,$O90=0,$O90=""),"","*CHECK!*")</f>
        <v/>
      </c>
      <c r="R90" s="974" t="s">
        <v>4767</v>
      </c>
    </row>
    <row r="91" spans="1:21" s="409" customFormat="1" ht="12" customHeight="1">
      <c r="A91" s="560" t="s">
        <v>1326</v>
      </c>
      <c r="B91" s="435" t="s">
        <v>1940</v>
      </c>
      <c r="C91" s="389" t="s">
        <v>3707</v>
      </c>
      <c r="D91" s="389"/>
      <c r="E91" s="389"/>
      <c r="F91" s="389"/>
      <c r="G91" s="389"/>
      <c r="H91" s="2398" t="str">
        <f>IF(AND(O91&gt;0,O90&gt;0),"Pick A1 or A2!","")</f>
        <v/>
      </c>
      <c r="I91" s="3127"/>
      <c r="J91" s="3128"/>
      <c r="K91" s="3128"/>
      <c r="L91" s="3129"/>
      <c r="M91" s="72">
        <v>4</v>
      </c>
      <c r="N91" s="430" t="s">
        <v>1940</v>
      </c>
      <c r="O91" s="2286"/>
      <c r="P91" s="4181"/>
      <c r="Q91" s="1477" t="str">
        <f>IF(OR($O91=$M91,$O91=0,$O91=""),"","*CHECK!*")</f>
        <v/>
      </c>
      <c r="R91" s="974" t="s">
        <v>4767</v>
      </c>
    </row>
    <row r="92" spans="1:21" s="409" customFormat="1" ht="12" customHeight="1">
      <c r="B92" s="435" t="s">
        <v>2467</v>
      </c>
      <c r="C92" s="389" t="s">
        <v>3560</v>
      </c>
      <c r="D92" s="389"/>
      <c r="E92" s="389"/>
      <c r="F92" s="389"/>
      <c r="I92" s="3127"/>
      <c r="J92" s="3128"/>
      <c r="K92" s="3128"/>
      <c r="L92" s="3129"/>
      <c r="M92" s="72">
        <v>1</v>
      </c>
      <c r="N92" s="430" t="s">
        <v>2467</v>
      </c>
      <c r="O92" s="2287"/>
      <c r="P92" s="4182"/>
      <c r="Q92" s="1477" t="str">
        <f>IF(OR($O92=$M92,$O92=0,$O92=""),"","*CHECK!*")</f>
        <v/>
      </c>
      <c r="R92" s="974" t="s">
        <v>4767</v>
      </c>
    </row>
    <row r="93" spans="1:21" s="409" customFormat="1" ht="12" customHeight="1">
      <c r="B93" s="435"/>
      <c r="C93" s="821" t="s">
        <v>3775</v>
      </c>
      <c r="D93" s="389"/>
      <c r="E93" s="389"/>
      <c r="F93" s="1434" t="str">
        <f>'Part I-Project Information'!$H$82</f>
        <v>HFOP</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1937</v>
      </c>
      <c r="B95" s="1078" t="s">
        <v>3561</v>
      </c>
      <c r="C95" s="603"/>
      <c r="D95" s="603"/>
      <c r="E95" s="603"/>
      <c r="F95" s="1060" t="s">
        <v>3637</v>
      </c>
      <c r="I95" s="3133" t="s">
        <v>7063</v>
      </c>
      <c r="J95" s="3134"/>
      <c r="K95" s="3134"/>
      <c r="L95" s="3042">
        <v>7062254673</v>
      </c>
      <c r="M95" s="2375">
        <v>3</v>
      </c>
      <c r="N95" s="455" t="s">
        <v>1937</v>
      </c>
      <c r="O95" s="976">
        <f>IF($J$75="Flexible",MIN($M95,O98+O99+O100),0)</f>
        <v>3</v>
      </c>
      <c r="P95" s="976">
        <f>IF($J$75="Flexible",MIN($M95,P98+P99+P100),0)</f>
        <v>0</v>
      </c>
      <c r="Q95" s="501"/>
      <c r="R95" s="387"/>
    </row>
    <row r="96" spans="1:21" s="43" customFormat="1" ht="11.25" customHeight="1">
      <c r="A96" s="152"/>
      <c r="B96" s="385" t="s">
        <v>3589</v>
      </c>
      <c r="C96" s="172" t="s">
        <v>4301</v>
      </c>
      <c r="D96" s="1063"/>
      <c r="E96" s="102"/>
      <c r="F96" s="102"/>
      <c r="G96" s="102"/>
      <c r="H96" s="45"/>
      <c r="I96" s="3135"/>
      <c r="J96" s="3136"/>
      <c r="K96" s="3136"/>
      <c r="L96" s="3043"/>
      <c r="M96" s="102"/>
      <c r="N96" s="385" t="s">
        <v>3589</v>
      </c>
      <c r="O96" s="2266"/>
      <c r="P96" s="898"/>
      <c r="Q96" s="109"/>
      <c r="R96" s="387"/>
      <c r="S96" s="409"/>
      <c r="T96" s="409"/>
      <c r="U96" s="409"/>
    </row>
    <row r="97" spans="1:21" s="43" customFormat="1" ht="11.25" customHeight="1">
      <c r="A97" s="152"/>
      <c r="B97" s="385" t="s">
        <v>3590</v>
      </c>
      <c r="C97" s="172" t="s">
        <v>4300</v>
      </c>
      <c r="D97" s="1063"/>
      <c r="E97" s="102"/>
      <c r="F97" s="102"/>
      <c r="G97" s="102"/>
      <c r="H97" s="45"/>
      <c r="I97" s="3026" t="s">
        <v>7064</v>
      </c>
      <c r="J97" s="3027"/>
      <c r="K97" s="3027"/>
      <c r="L97" s="3028"/>
      <c r="M97" s="102"/>
      <c r="N97" s="385" t="s">
        <v>3590</v>
      </c>
      <c r="O97" s="2258"/>
      <c r="P97" s="520"/>
      <c r="Q97" s="109"/>
      <c r="R97" s="387"/>
      <c r="S97" s="409"/>
      <c r="T97" s="409"/>
      <c r="U97" s="409"/>
    </row>
    <row r="98" spans="1:21" s="409" customFormat="1" ht="12" customHeight="1">
      <c r="A98" s="138"/>
      <c r="B98" s="1503" t="s">
        <v>1938</v>
      </c>
      <c r="C98" s="2723" t="s">
        <v>3708</v>
      </c>
      <c r="D98" s="2723"/>
      <c r="E98" s="2723"/>
      <c r="F98" s="2723"/>
      <c r="G98" s="2723"/>
      <c r="H98" s="3023"/>
      <c r="I98" s="3020"/>
      <c r="J98" s="3021"/>
      <c r="K98" s="3021"/>
      <c r="L98" s="3022"/>
      <c r="M98" s="72">
        <v>3</v>
      </c>
      <c r="N98" s="430" t="s">
        <v>1938</v>
      </c>
      <c r="O98" s="2286">
        <v>3</v>
      </c>
      <c r="P98" s="4194"/>
      <c r="Q98" s="978" t="str">
        <f>IF(OR($O98=$M98,$O98=0,$O98=""),"","*CHECK!*")</f>
        <v/>
      </c>
      <c r="R98" s="974" t="s">
        <v>4767</v>
      </c>
    </row>
    <row r="99" spans="1:21" s="43" customFormat="1" ht="12" customHeight="1">
      <c r="A99" s="560" t="s">
        <v>1326</v>
      </c>
      <c r="B99" s="1503" t="s">
        <v>1940</v>
      </c>
      <c r="C99" s="2723" t="s">
        <v>3709</v>
      </c>
      <c r="D99" s="2723"/>
      <c r="E99" s="2723"/>
      <c r="F99" s="2723"/>
      <c r="G99" s="2723"/>
      <c r="H99" s="3023"/>
      <c r="I99" s="3026" t="s">
        <v>7070</v>
      </c>
      <c r="J99" s="3027"/>
      <c r="K99" s="3027"/>
      <c r="L99" s="3028"/>
      <c r="M99" s="72">
        <v>2</v>
      </c>
      <c r="N99" s="430" t="s">
        <v>1940</v>
      </c>
      <c r="O99" s="2286"/>
      <c r="P99" s="4181"/>
      <c r="Q99" s="978" t="str">
        <f>IF(OR($O99=$M99,$O99=0,$O99=""),"","*CHECK!*")</f>
        <v/>
      </c>
      <c r="R99" s="974" t="s">
        <v>4767</v>
      </c>
    </row>
    <row r="100" spans="1:21" s="43" customFormat="1" ht="14.4">
      <c r="A100" s="560" t="s">
        <v>1326</v>
      </c>
      <c r="B100" s="1503" t="s">
        <v>2467</v>
      </c>
      <c r="C100" s="2723" t="s">
        <v>3710</v>
      </c>
      <c r="D100" s="2723"/>
      <c r="E100" s="2723"/>
      <c r="F100" s="2723"/>
      <c r="G100" s="2723"/>
      <c r="H100" s="3023"/>
      <c r="I100" s="3020"/>
      <c r="J100" s="3021"/>
      <c r="K100" s="3021"/>
      <c r="L100" s="3022"/>
      <c r="M100" s="72">
        <v>1</v>
      </c>
      <c r="N100" s="430" t="s">
        <v>2467</v>
      </c>
      <c r="O100" s="2287"/>
      <c r="P100" s="4182"/>
      <c r="Q100" s="978" t="str">
        <f>IF(OR($O100=$M100,$O100=0,$O100=""),"","*CHECK!*")</f>
        <v/>
      </c>
      <c r="R100" s="974" t="s">
        <v>4767</v>
      </c>
    </row>
    <row r="101" spans="1:21" s="43" customFormat="1" ht="14.25" customHeight="1">
      <c r="A101" s="1061"/>
      <c r="B101" s="1421"/>
      <c r="C101" s="2384"/>
      <c r="D101" s="2384"/>
      <c r="E101" s="2384"/>
      <c r="F101" s="3120" t="str">
        <f>IF(OR(AND(O98&gt;0,O99&gt;0,O100&gt;0),AND(O98&gt;0,O99&gt;0),AND(O98&gt;0,O100&gt;0),AND(O99&gt;0,O100&gt;0)),"Choose only one option: B1 or B2 or B3!","")</f>
        <v/>
      </c>
      <c r="G101" s="3120"/>
      <c r="H101" s="3121"/>
      <c r="I101" s="3026" t="s">
        <v>7070</v>
      </c>
      <c r="J101" s="3027"/>
      <c r="K101" s="3027"/>
      <c r="L101" s="3028"/>
      <c r="M101" s="102"/>
      <c r="N101" s="102"/>
      <c r="O101" s="102"/>
      <c r="P101" s="102"/>
      <c r="Q101" s="978"/>
      <c r="R101" s="1079"/>
    </row>
    <row r="102" spans="1:21" s="43" customFormat="1" ht="12.6" customHeight="1">
      <c r="A102" s="504" t="s">
        <v>2695</v>
      </c>
      <c r="B102" s="165"/>
      <c r="E102" s="41"/>
      <c r="I102" s="3141"/>
      <c r="J102" s="3142"/>
      <c r="K102" s="3142"/>
      <c r="L102" s="3143"/>
      <c r="M102" s="72"/>
      <c r="N102" s="72"/>
      <c r="O102" s="72"/>
      <c r="P102" s="72"/>
      <c r="Q102" s="374"/>
      <c r="R102" s="374"/>
    </row>
    <row r="103" spans="1:21" s="102" customFormat="1" ht="12" customHeight="1">
      <c r="A103" s="138"/>
      <c r="B103" s="435" t="s">
        <v>1198</v>
      </c>
      <c r="C103" s="3056" t="s">
        <v>4366</v>
      </c>
      <c r="D103" s="3056"/>
      <c r="E103" s="3056"/>
      <c r="F103" s="3056"/>
      <c r="G103" s="3056"/>
      <c r="H103" s="3056"/>
      <c r="I103" s="165"/>
      <c r="J103" s="165"/>
      <c r="K103" s="165"/>
      <c r="L103" s="165"/>
      <c r="M103" s="72">
        <v>1</v>
      </c>
      <c r="N103" s="430" t="s">
        <v>1198</v>
      </c>
      <c r="O103" s="2291"/>
      <c r="P103" s="4195"/>
      <c r="Q103" s="978" t="str">
        <f>IF(OR($O103=$M103,$O103=0,$O103=""),"","*CHECK!*")</f>
        <v/>
      </c>
      <c r="R103" s="974" t="s">
        <v>4767</v>
      </c>
    </row>
    <row r="104" spans="1:21" s="102" customFormat="1" ht="12" customHeight="1">
      <c r="A104" s="138"/>
      <c r="B104" s="435"/>
      <c r="C104" s="3056"/>
      <c r="D104" s="3056"/>
      <c r="E104" s="3056"/>
      <c r="F104" s="3056"/>
      <c r="G104" s="3056"/>
      <c r="H104" s="3056"/>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7"/>
    </row>
    <row r="107" spans="1:21" s="43" customFormat="1" ht="29.25" customHeight="1" thickTop="1" thickBot="1">
      <c r="A107" s="2940" t="s">
        <v>7071</v>
      </c>
      <c r="B107" s="2941"/>
      <c r="C107" s="2941"/>
      <c r="D107" s="2941"/>
      <c r="E107" s="2941"/>
      <c r="F107" s="2941"/>
      <c r="G107" s="2941"/>
      <c r="H107" s="2941"/>
      <c r="I107" s="2941"/>
      <c r="J107" s="2941"/>
      <c r="K107" s="2941"/>
      <c r="L107" s="2941"/>
      <c r="M107" s="2941"/>
      <c r="N107" s="2941"/>
      <c r="O107" s="2941"/>
      <c r="P107" s="2942"/>
      <c r="Q107" s="1027" t="s">
        <v>1228</v>
      </c>
      <c r="R107" s="441"/>
    </row>
    <row r="108" spans="1:21" s="102" customFormat="1" ht="11.4" customHeight="1" thickTop="1">
      <c r="A108" s="42"/>
      <c r="B108" s="97" t="s">
        <v>1819</v>
      </c>
      <c r="C108" s="42"/>
      <c r="D108" s="97"/>
      <c r="E108" s="2382"/>
      <c r="F108" s="2382"/>
      <c r="G108" s="2382"/>
      <c r="H108" s="2382"/>
      <c r="I108" s="2382"/>
      <c r="J108" s="2382"/>
      <c r="K108" s="2382"/>
      <c r="L108" s="2382"/>
      <c r="M108" s="2382"/>
      <c r="N108" s="93"/>
      <c r="O108" s="836"/>
      <c r="P108" s="2375"/>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3725</v>
      </c>
      <c r="D112" s="39"/>
      <c r="E112" s="36"/>
      <c r="F112" s="846"/>
      <c r="G112" s="846"/>
      <c r="H112" s="846"/>
      <c r="I112" s="61" t="s">
        <v>3567</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1935</v>
      </c>
      <c r="B114" s="833" t="s">
        <v>3726</v>
      </c>
      <c r="C114" s="92"/>
      <c r="D114" s="1038"/>
      <c r="E114" s="52" t="s">
        <v>3781</v>
      </c>
      <c r="G114" s="113"/>
      <c r="I114" s="455" t="s">
        <v>3775</v>
      </c>
      <c r="J114" s="1105" t="str">
        <f>'Part I-Project Information'!$H$82</f>
        <v>HFOP</v>
      </c>
      <c r="K114" s="1063"/>
      <c r="L114" s="374" t="str">
        <f>IF(OR($O114=$M114,$O114=0,$O114=""),"","* * Check Score! * *")</f>
        <v/>
      </c>
      <c r="M114" s="72">
        <v>3</v>
      </c>
      <c r="N114" s="455" t="s">
        <v>1935</v>
      </c>
      <c r="O114" s="2292"/>
      <c r="P114" s="4196"/>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3"/>
      <c r="P115" s="4197"/>
    </row>
    <row r="116" spans="1:20" s="36" customFormat="1" ht="21.6" customHeight="1">
      <c r="A116" s="63"/>
      <c r="B116" s="2720" t="s">
        <v>4728</v>
      </c>
      <c r="C116" s="2720"/>
      <c r="D116" s="3145"/>
      <c r="E116" s="3145"/>
      <c r="F116" s="3145"/>
      <c r="G116" s="3145"/>
      <c r="H116" s="3145"/>
      <c r="I116" s="3145"/>
      <c r="J116" s="3145"/>
      <c r="K116" s="3145"/>
      <c r="L116" s="3145"/>
      <c r="M116" s="3145"/>
      <c r="N116" s="3145"/>
      <c r="O116" s="3145"/>
      <c r="P116" s="3145"/>
      <c r="Q116" s="1023"/>
      <c r="R116" s="1023"/>
      <c r="S116" s="1023"/>
      <c r="T116" s="1023"/>
    </row>
    <row r="117" spans="1:20" s="102" customFormat="1" ht="21.6" customHeight="1">
      <c r="A117" s="178"/>
      <c r="B117" s="2710" t="s">
        <v>4305</v>
      </c>
      <c r="C117" s="2710"/>
      <c r="D117" s="2710"/>
      <c r="E117" s="3146"/>
      <c r="F117" s="3146"/>
      <c r="G117" s="3146"/>
      <c r="H117" s="3146"/>
      <c r="I117" s="3146"/>
      <c r="J117" s="3146"/>
      <c r="K117" s="3146"/>
      <c r="L117" s="3146"/>
      <c r="M117" s="3146"/>
      <c r="N117" s="3146"/>
      <c r="O117" s="3146"/>
      <c r="P117" s="314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92">
        <v>3</v>
      </c>
      <c r="P119" s="4196"/>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87" t="s">
        <v>2884</v>
      </c>
      <c r="P120" s="2393"/>
      <c r="Q120" s="1023"/>
      <c r="R120" s="1023"/>
      <c r="S120" s="1023"/>
      <c r="T120" s="1023"/>
    </row>
    <row r="121" spans="1:20" s="409" customFormat="1" ht="21" customHeight="1">
      <c r="A121" s="1780"/>
      <c r="B121" s="1421" t="s">
        <v>1938</v>
      </c>
      <c r="C121" s="136" t="s">
        <v>4612</v>
      </c>
      <c r="D121" s="3147" t="s">
        <v>4305</v>
      </c>
      <c r="E121" s="3147"/>
      <c r="F121" s="3147"/>
      <c r="G121" s="3145" t="s">
        <v>7149</v>
      </c>
      <c r="H121" s="3145"/>
      <c r="I121" s="3145"/>
      <c r="J121" s="3145"/>
      <c r="K121" s="3145"/>
      <c r="L121" s="3145"/>
      <c r="M121" s="3145"/>
      <c r="N121" s="3145"/>
      <c r="O121" s="3145"/>
      <c r="P121" s="3145"/>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6" t="s">
        <v>2884</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90"/>
      <c r="N123" s="385" t="s">
        <v>2372</v>
      </c>
      <c r="O123" s="2257" t="s">
        <v>2884</v>
      </c>
      <c r="P123" s="519"/>
      <c r="Q123" s="1023"/>
      <c r="R123" s="1023"/>
      <c r="S123" s="1023"/>
      <c r="T123" s="1023"/>
    </row>
    <row r="124" spans="1:20" s="55" customFormat="1" ht="10.5" customHeight="1">
      <c r="A124" s="63"/>
      <c r="C124" s="55" t="s">
        <v>3803</v>
      </c>
      <c r="D124" s="412"/>
      <c r="E124" s="52"/>
      <c r="F124" s="52"/>
      <c r="G124" s="52"/>
      <c r="H124" s="412"/>
      <c r="J124" s="412"/>
      <c r="L124" s="2902" t="s">
        <v>3616</v>
      </c>
      <c r="M124" s="2902"/>
      <c r="N124" s="2902"/>
      <c r="O124" s="3140" t="s">
        <v>3615</v>
      </c>
      <c r="P124" s="3140"/>
      <c r="Q124" s="52"/>
    </row>
    <row r="125" spans="1:20" s="55" customFormat="1" ht="10.95" customHeight="1">
      <c r="A125" s="63"/>
      <c r="B125" s="373"/>
      <c r="C125" s="3014" t="s">
        <v>7066</v>
      </c>
      <c r="D125" s="3015"/>
      <c r="E125" s="3015"/>
      <c r="F125" s="3015"/>
      <c r="G125" s="3015"/>
      <c r="H125" s="3015"/>
      <c r="I125" s="3015"/>
      <c r="J125" s="3015"/>
      <c r="K125" s="3016"/>
      <c r="L125" s="3017" t="s">
        <v>7065</v>
      </c>
      <c r="M125" s="3017"/>
      <c r="N125" s="3017"/>
      <c r="O125" s="3018">
        <v>0</v>
      </c>
      <c r="P125" s="3018"/>
      <c r="Q125" s="1055" t="str">
        <f>IF(O125&gt;15, "Too much!","")</f>
        <v/>
      </c>
    </row>
    <row r="126" spans="1:20" s="55" customFormat="1" ht="10.95" customHeight="1">
      <c r="A126" s="63"/>
      <c r="B126" s="386"/>
      <c r="C126" s="3020" t="s">
        <v>7067</v>
      </c>
      <c r="D126" s="3021"/>
      <c r="E126" s="3021"/>
      <c r="F126" s="3021"/>
      <c r="G126" s="3021"/>
      <c r="H126" s="3021"/>
      <c r="I126" s="3021"/>
      <c r="J126" s="3021"/>
      <c r="K126" s="3022"/>
      <c r="L126" s="3012" t="s">
        <v>7065</v>
      </c>
      <c r="M126" s="3012"/>
      <c r="N126" s="3012"/>
      <c r="O126" s="3019">
        <v>0</v>
      </c>
      <c r="P126" s="3019"/>
      <c r="Q126" s="1055" t="str">
        <f>IF(O126&gt;15, "Too much!","")</f>
        <v/>
      </c>
    </row>
    <row r="127" spans="1:20" s="55" customFormat="1" ht="10.95" customHeight="1">
      <c r="A127" s="63"/>
      <c r="B127" s="373"/>
      <c r="C127" s="3020" t="s">
        <v>7141</v>
      </c>
      <c r="D127" s="3021"/>
      <c r="E127" s="3021"/>
      <c r="F127" s="3021"/>
      <c r="G127" s="3021"/>
      <c r="H127" s="3021"/>
      <c r="I127" s="3021"/>
      <c r="J127" s="3021"/>
      <c r="K127" s="3022"/>
      <c r="L127" s="3012" t="s">
        <v>7065</v>
      </c>
      <c r="M127" s="3012"/>
      <c r="N127" s="3012"/>
      <c r="O127" s="3019">
        <v>0</v>
      </c>
      <c r="P127" s="3019"/>
      <c r="Q127" s="1055" t="str">
        <f>IF(O127&gt;15, "Too much!","")</f>
        <v/>
      </c>
    </row>
    <row r="128" spans="1:20" s="55" customFormat="1" ht="10.95" customHeight="1">
      <c r="A128" s="63"/>
      <c r="B128" s="385"/>
      <c r="C128" s="3141" t="s">
        <v>7068</v>
      </c>
      <c r="D128" s="3142"/>
      <c r="E128" s="3142"/>
      <c r="F128" s="3142"/>
      <c r="G128" s="3142"/>
      <c r="H128" s="3142"/>
      <c r="I128" s="3142"/>
      <c r="J128" s="3142"/>
      <c r="K128" s="3143"/>
      <c r="L128" s="3144" t="s">
        <v>7065</v>
      </c>
      <c r="M128" s="3144"/>
      <c r="N128" s="3144"/>
      <c r="O128" s="3013">
        <v>0</v>
      </c>
      <c r="P128" s="3013"/>
      <c r="Q128" s="1055" t="str">
        <f>IF(O128&gt;15, "Too much!","")</f>
        <v/>
      </c>
    </row>
    <row r="129" spans="1:21" s="102" customFormat="1" ht="10.5" customHeight="1">
      <c r="B129" s="1503" t="s">
        <v>1940</v>
      </c>
      <c r="C129" s="66" t="s">
        <v>4613</v>
      </c>
      <c r="D129" s="36" t="s">
        <v>4618</v>
      </c>
      <c r="E129" s="52"/>
      <c r="F129" s="52"/>
      <c r="G129" s="52"/>
      <c r="H129" s="92"/>
      <c r="I129" s="92"/>
      <c r="J129" s="92"/>
      <c r="K129" s="92"/>
      <c r="L129" s="92"/>
      <c r="M129" s="92"/>
      <c r="N129" s="986" t="s">
        <v>4809</v>
      </c>
      <c r="O129" s="2256" t="s">
        <v>2884</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2258" t="s">
        <v>2884</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92">
        <v>1</v>
      </c>
      <c r="P131" s="4196"/>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90"/>
      <c r="N132" s="52"/>
      <c r="O132" s="2387" t="s">
        <v>7043</v>
      </c>
      <c r="P132" s="2393"/>
      <c r="Q132" s="52"/>
      <c r="R132" s="1023"/>
      <c r="S132" s="1023"/>
      <c r="T132" s="1023"/>
      <c r="U132" s="1023"/>
    </row>
    <row r="133" spans="1:21" s="36" customFormat="1" ht="10.5" customHeight="1">
      <c r="A133" s="63"/>
      <c r="B133" s="1503" t="s">
        <v>1938</v>
      </c>
      <c r="C133" s="2710" t="s">
        <v>4614</v>
      </c>
      <c r="D133" s="2710"/>
      <c r="E133" s="2710"/>
      <c r="F133" s="1135"/>
      <c r="G133" s="856" t="s">
        <v>4813</v>
      </c>
      <c r="I133" s="1135"/>
      <c r="J133" s="1135"/>
      <c r="K133" s="1135"/>
      <c r="L133" s="1135"/>
      <c r="M133" s="64"/>
      <c r="N133" s="986" t="s">
        <v>4808</v>
      </c>
      <c r="O133" s="2266" t="s">
        <v>2884</v>
      </c>
      <c r="P133" s="898"/>
      <c r="Q133" s="52"/>
      <c r="R133" s="1023"/>
      <c r="S133" s="1023"/>
      <c r="T133" s="1023"/>
      <c r="U133" s="1023"/>
    </row>
    <row r="134" spans="1:21" s="36" customFormat="1" ht="10.5" customHeight="1">
      <c r="A134" s="63"/>
      <c r="B134" s="372"/>
      <c r="C134" s="2710"/>
      <c r="D134" s="2710"/>
      <c r="E134" s="2710"/>
      <c r="F134" s="1135"/>
      <c r="G134" s="856" t="s">
        <v>4810</v>
      </c>
      <c r="I134" s="1135"/>
      <c r="J134" s="1135"/>
      <c r="K134" s="1135"/>
      <c r="L134" s="1135"/>
      <c r="M134" s="2390"/>
      <c r="N134" s="385" t="s">
        <v>2372</v>
      </c>
      <c r="O134" s="2257" t="s">
        <v>2884</v>
      </c>
      <c r="P134" s="519"/>
      <c r="Q134" s="52"/>
      <c r="R134" s="1023"/>
      <c r="S134" s="1023"/>
      <c r="T134" s="1023"/>
      <c r="U134" s="1023"/>
    </row>
    <row r="135" spans="1:21" s="36" customFormat="1" ht="10.5" customHeight="1">
      <c r="A135" s="64"/>
      <c r="B135" s="372"/>
      <c r="C135" s="2710"/>
      <c r="D135" s="2710"/>
      <c r="E135" s="2710"/>
      <c r="F135" s="1135"/>
      <c r="G135" s="856" t="s">
        <v>4811</v>
      </c>
      <c r="I135" s="1135"/>
      <c r="J135" s="1135"/>
      <c r="K135" s="1135"/>
      <c r="L135" s="1135"/>
      <c r="M135" s="2390"/>
      <c r="N135" s="385" t="s">
        <v>2373</v>
      </c>
      <c r="O135" s="2257" t="s">
        <v>2884</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90"/>
      <c r="N136" s="385" t="s">
        <v>2374</v>
      </c>
      <c r="O136" s="2257" t="s">
        <v>2884</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90"/>
      <c r="N137" s="385" t="s">
        <v>2375</v>
      </c>
      <c r="O137" s="2258" t="s">
        <v>2884</v>
      </c>
      <c r="P137" s="520"/>
      <c r="Q137" s="52"/>
    </row>
    <row r="138" spans="1:21" s="36" customFormat="1" ht="10.5" customHeight="1">
      <c r="A138" s="63"/>
      <c r="C138" s="52" t="s">
        <v>4815</v>
      </c>
      <c r="D138" s="1135"/>
      <c r="E138" s="1135"/>
      <c r="F138" s="1135"/>
      <c r="G138" s="1135"/>
      <c r="H138" s="1135"/>
      <c r="I138" s="1135"/>
      <c r="J138" s="1135"/>
      <c r="K138" s="1135"/>
      <c r="L138" s="1135"/>
      <c r="M138" s="2390"/>
      <c r="N138" s="52"/>
      <c r="O138" s="2387" t="s">
        <v>7043</v>
      </c>
      <c r="P138" s="2393"/>
      <c r="Q138" s="52"/>
      <c r="R138" s="1023"/>
      <c r="S138" s="1023"/>
      <c r="T138" s="1023"/>
      <c r="U138" s="1023"/>
    </row>
    <row r="139" spans="1:21" s="36" customFormat="1" ht="10.5" customHeight="1">
      <c r="A139" s="63"/>
      <c r="B139" s="1503" t="s">
        <v>1940</v>
      </c>
      <c r="C139" s="856" t="s">
        <v>4615</v>
      </c>
      <c r="D139" s="1135"/>
      <c r="E139" s="1135"/>
      <c r="F139" s="1135"/>
      <c r="G139" s="1135"/>
      <c r="H139" s="1135"/>
      <c r="I139" s="1135"/>
      <c r="J139" s="1135"/>
      <c r="K139" s="1135"/>
      <c r="L139" s="1135"/>
      <c r="M139" s="64"/>
      <c r="N139" s="1037" t="s">
        <v>1940</v>
      </c>
      <c r="O139" s="2259" t="s">
        <v>2884</v>
      </c>
      <c r="P139" s="517"/>
      <c r="Q139" s="52"/>
    </row>
    <row r="140" spans="1:21" s="55" customFormat="1" ht="10.5" customHeight="1">
      <c r="A140" s="63"/>
      <c r="B140" s="435"/>
      <c r="C140" s="55" t="s">
        <v>3624</v>
      </c>
      <c r="D140" s="412"/>
      <c r="E140" s="52"/>
      <c r="F140" s="52"/>
      <c r="G140" s="55" t="s">
        <v>3805</v>
      </c>
      <c r="H140" s="412"/>
      <c r="M140" s="58"/>
      <c r="N140" s="58"/>
      <c r="O140" s="58"/>
      <c r="P140" s="58"/>
      <c r="Q140" s="52"/>
    </row>
    <row r="141" spans="1:21" s="55" customFormat="1" ht="21" customHeight="1">
      <c r="B141" s="373"/>
      <c r="C141" s="3014" t="s">
        <v>7118</v>
      </c>
      <c r="D141" s="3015"/>
      <c r="E141" s="3015"/>
      <c r="F141" s="3016"/>
      <c r="G141" s="3137" t="s">
        <v>7122</v>
      </c>
      <c r="H141" s="3138"/>
      <c r="I141" s="3138"/>
      <c r="J141" s="3138"/>
      <c r="K141" s="3138"/>
      <c r="L141" s="3138"/>
      <c r="M141" s="3138"/>
      <c r="N141" s="3138"/>
      <c r="O141" s="3138"/>
      <c r="P141" s="3139"/>
      <c r="Q141" s="52"/>
    </row>
    <row r="142" spans="1:21" s="55" customFormat="1" ht="21" customHeight="1">
      <c r="A142" s="63"/>
      <c r="B142" s="386"/>
      <c r="C142" s="3020" t="s">
        <v>7119</v>
      </c>
      <c r="D142" s="3021"/>
      <c r="E142" s="3021"/>
      <c r="F142" s="3022"/>
      <c r="G142" s="3020" t="s">
        <v>7123</v>
      </c>
      <c r="H142" s="3021"/>
      <c r="I142" s="3021"/>
      <c r="J142" s="3021"/>
      <c r="K142" s="3021"/>
      <c r="L142" s="3021"/>
      <c r="M142" s="3021"/>
      <c r="N142" s="3021"/>
      <c r="O142" s="3021"/>
      <c r="P142" s="3022"/>
      <c r="Q142" s="52"/>
    </row>
    <row r="143" spans="1:21" s="55" customFormat="1" ht="21" customHeight="1">
      <c r="B143" s="1604"/>
      <c r="C143" s="3020" t="s">
        <v>7120</v>
      </c>
      <c r="D143" s="3021"/>
      <c r="E143" s="3021"/>
      <c r="F143" s="3022"/>
      <c r="G143" s="3020" t="s">
        <v>7124</v>
      </c>
      <c r="H143" s="3021"/>
      <c r="I143" s="3021"/>
      <c r="J143" s="3021"/>
      <c r="K143" s="3021"/>
      <c r="L143" s="3021"/>
      <c r="M143" s="3021"/>
      <c r="N143" s="3021"/>
      <c r="O143" s="3021"/>
      <c r="P143" s="3022"/>
      <c r="Q143" s="52"/>
    </row>
    <row r="144" spans="1:21" s="55" customFormat="1" ht="21" customHeight="1">
      <c r="A144" s="1604"/>
      <c r="B144" s="1604"/>
      <c r="C144" s="3141" t="s">
        <v>7121</v>
      </c>
      <c r="D144" s="3142"/>
      <c r="E144" s="3142"/>
      <c r="F144" s="3143"/>
      <c r="G144" s="3141" t="s">
        <v>7125</v>
      </c>
      <c r="H144" s="3142"/>
      <c r="I144" s="3142"/>
      <c r="J144" s="3142"/>
      <c r="K144" s="3142"/>
      <c r="L144" s="3142"/>
      <c r="M144" s="3142"/>
      <c r="N144" s="3142"/>
      <c r="O144" s="3142"/>
      <c r="P144" s="3143"/>
      <c r="Q144" s="52"/>
    </row>
    <row r="145" spans="1:27" s="43" customFormat="1" ht="11.25" customHeight="1" thickBot="1">
      <c r="A145" s="42"/>
      <c r="B145" s="1132" t="s">
        <v>3566</v>
      </c>
      <c r="C145" s="42"/>
      <c r="D145" s="48"/>
      <c r="E145" s="48"/>
      <c r="F145" s="48"/>
      <c r="G145" s="48"/>
      <c r="H145" s="36"/>
      <c r="K145" s="48"/>
      <c r="M145" s="46"/>
      <c r="N145" s="62"/>
      <c r="O145" s="3"/>
      <c r="P145" s="2377"/>
    </row>
    <row r="146" spans="1:27" s="43" customFormat="1" ht="49.5" customHeight="1" thickTop="1" thickBot="1">
      <c r="A146" s="2940" t="s">
        <v>7142</v>
      </c>
      <c r="B146" s="2941"/>
      <c r="C146" s="2941"/>
      <c r="D146" s="2941"/>
      <c r="E146" s="2941"/>
      <c r="F146" s="2941"/>
      <c r="G146" s="2941"/>
      <c r="H146" s="2941"/>
      <c r="I146" s="2941"/>
      <c r="J146" s="2941"/>
      <c r="K146" s="2941"/>
      <c r="L146" s="2941"/>
      <c r="M146" s="2941"/>
      <c r="N146" s="2941"/>
      <c r="O146" s="2941"/>
      <c r="P146" s="2942"/>
      <c r="Q146" s="1027" t="s">
        <v>1228</v>
      </c>
      <c r="R146" s="441"/>
    </row>
    <row r="147" spans="1:27" s="43" customFormat="1" ht="10.199999999999999" customHeight="1" thickTop="1">
      <c r="B147" s="1605" t="s">
        <v>3818</v>
      </c>
      <c r="C147" s="98"/>
      <c r="D147" s="85"/>
      <c r="E147" s="99"/>
      <c r="F147" s="2378"/>
      <c r="G147" s="2378"/>
      <c r="H147" s="2378"/>
      <c r="I147" s="2378"/>
      <c r="J147" s="2378"/>
      <c r="K147" s="2378"/>
      <c r="L147" s="2378"/>
      <c r="M147" s="2378"/>
      <c r="N147" s="74"/>
      <c r="O147" s="70"/>
      <c r="P147" s="2375"/>
      <c r="Q147" s="422"/>
    </row>
    <row r="148" spans="1:27" s="43" customFormat="1" ht="11.25" customHeight="1">
      <c r="A148" s="2877"/>
      <c r="B148" s="2878"/>
      <c r="C148" s="2878"/>
      <c r="D148" s="2878"/>
      <c r="E148" s="2878"/>
      <c r="F148" s="2878"/>
      <c r="G148" s="2878"/>
      <c r="H148" s="2878"/>
      <c r="I148" s="2878"/>
      <c r="J148" s="2878"/>
      <c r="K148" s="2878"/>
      <c r="L148" s="2878"/>
      <c r="M148" s="2878"/>
      <c r="N148" s="2878"/>
      <c r="O148" s="2878"/>
      <c r="P148" s="2879"/>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3714</v>
      </c>
      <c r="C150" s="2378"/>
      <c r="D150" s="2378"/>
      <c r="E150" s="2378"/>
      <c r="F150" s="2378"/>
      <c r="G150" s="2378"/>
      <c r="H150" s="2378"/>
      <c r="I150" s="2378"/>
      <c r="J150" s="2378"/>
      <c r="K150" s="2378"/>
      <c r="L150" s="2378"/>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94"/>
      <c r="P152" s="4198"/>
      <c r="Q152" s="1477" t="str">
        <f>IF(OR($O152=$M152,$O152=0,$O152=""),"","*CHECK!*")</f>
        <v/>
      </c>
      <c r="R152" s="974" t="s">
        <v>4767</v>
      </c>
    </row>
    <row r="153" spans="1:27" s="43" customFormat="1" ht="12" customHeight="1">
      <c r="B153" s="40" t="s">
        <v>3620</v>
      </c>
      <c r="C153" s="424"/>
      <c r="D153" s="424"/>
      <c r="E153" s="424"/>
      <c r="F153" s="424"/>
      <c r="G153" s="424"/>
      <c r="H153" s="424"/>
      <c r="I153" s="424"/>
      <c r="J153" s="424"/>
      <c r="K153" s="424"/>
      <c r="L153" s="424"/>
      <c r="M153" s="424"/>
      <c r="N153" s="424"/>
      <c r="O153" s="2254"/>
      <c r="P153" s="516"/>
      <c r="Q153" s="3181" t="s">
        <v>4593</v>
      </c>
      <c r="R153" s="3181"/>
      <c r="S153" s="3181"/>
      <c r="T153" s="3181"/>
      <c r="U153" s="3181"/>
      <c r="V153" s="3181"/>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1"/>
      <c r="R154" s="3181"/>
      <c r="S154" s="3181"/>
      <c r="T154" s="3181"/>
      <c r="U154" s="3181"/>
      <c r="V154" s="3181"/>
      <c r="W154" s="1731"/>
    </row>
    <row r="155" spans="1:27" s="43" customFormat="1" ht="11.25" customHeight="1">
      <c r="A155" s="138"/>
      <c r="B155" s="3096" t="s">
        <v>4504</v>
      </c>
      <c r="C155" s="3096"/>
      <c r="D155" s="3096"/>
      <c r="E155" s="52" t="s">
        <v>3619</v>
      </c>
      <c r="F155" s="102"/>
      <c r="G155" s="52"/>
      <c r="H155" s="102"/>
      <c r="I155" s="2763"/>
      <c r="J155" s="2764"/>
      <c r="K155" s="2764"/>
      <c r="L155" s="2765"/>
      <c r="Q155" s="3181"/>
      <c r="R155" s="3181"/>
      <c r="S155" s="3181"/>
      <c r="T155" s="3181"/>
      <c r="U155" s="3181"/>
      <c r="V155" s="3181"/>
      <c r="W155" s="1731"/>
    </row>
    <row r="156" spans="1:27" s="43" customFormat="1" ht="11.25" customHeight="1">
      <c r="A156" s="138"/>
      <c r="B156" s="3096"/>
      <c r="C156" s="3096"/>
      <c r="D156" s="3096"/>
      <c r="E156" s="40" t="s">
        <v>4307</v>
      </c>
      <c r="F156" s="374"/>
      <c r="G156" s="102"/>
      <c r="H156" s="102"/>
      <c r="I156" s="40"/>
      <c r="J156" s="2392"/>
      <c r="K156" s="2392"/>
      <c r="L156" s="2392"/>
      <c r="M156" s="102"/>
      <c r="N156" s="1065"/>
      <c r="O156" s="2254"/>
      <c r="P156" s="516"/>
      <c r="Q156" s="3181"/>
      <c r="R156" s="3181"/>
      <c r="S156" s="3181"/>
      <c r="T156" s="3181"/>
      <c r="U156" s="3181"/>
      <c r="V156" s="3181"/>
      <c r="W156" s="1731"/>
    </row>
    <row r="157" spans="1:27" s="43" customFormat="1" ht="12" customHeight="1">
      <c r="A157" s="42"/>
      <c r="C157" s="2378"/>
      <c r="D157" s="2378"/>
      <c r="E157" s="52" t="s">
        <v>4308</v>
      </c>
      <c r="F157" s="1506" t="str">
        <f>'Part I-Project Information'!$H$82</f>
        <v>HFOP</v>
      </c>
      <c r="H157" s="1505"/>
      <c r="I157" s="2378"/>
      <c r="J157" s="2378"/>
      <c r="M157" s="2378"/>
      <c r="N157" s="74"/>
      <c r="O157" s="3153" t="s">
        <v>4762</v>
      </c>
      <c r="P157" s="3153"/>
      <c r="Q157" s="3181"/>
      <c r="R157" s="3181"/>
      <c r="S157" s="3181"/>
      <c r="T157" s="3181"/>
      <c r="U157" s="3181"/>
      <c r="V157" s="3181"/>
      <c r="W157" s="1731"/>
    </row>
    <row r="158" spans="1:27" s="55" customFormat="1" ht="3" customHeight="1">
      <c r="A158" s="861"/>
      <c r="B158" s="424"/>
      <c r="O158" s="3154"/>
      <c r="P158" s="3154"/>
      <c r="Q158" s="3181"/>
      <c r="R158" s="3181"/>
      <c r="S158" s="3181"/>
      <c r="T158" s="3181"/>
      <c r="U158" s="3181"/>
      <c r="V158" s="3181"/>
      <c r="W158" s="1731"/>
    </row>
    <row r="159" spans="1:27" s="43" customFormat="1" ht="12" customHeight="1">
      <c r="A159" s="373" t="s">
        <v>2371</v>
      </c>
      <c r="B159" s="110" t="s">
        <v>4505</v>
      </c>
      <c r="C159" s="2378"/>
      <c r="D159" s="2378"/>
      <c r="E159" s="52"/>
      <c r="F159" s="1419"/>
      <c r="G159" s="1419"/>
      <c r="I159" s="2378"/>
      <c r="J159" s="2378"/>
      <c r="K159" s="2378"/>
      <c r="L159" s="2378"/>
      <c r="M159" s="3166" t="s">
        <v>4306</v>
      </c>
      <c r="N159" s="74"/>
      <c r="O159" s="3154"/>
      <c r="P159" s="3154"/>
      <c r="Q159" s="3181"/>
      <c r="R159" s="3181"/>
      <c r="S159" s="3181"/>
      <c r="T159" s="3181"/>
      <c r="U159" s="3181"/>
      <c r="V159" s="3181"/>
      <c r="Y159" s="3180" t="s">
        <v>4783</v>
      </c>
      <c r="Z159" s="3180"/>
      <c r="AA159" s="3180"/>
    </row>
    <row r="160" spans="1:27" s="55" customFormat="1" ht="3" customHeight="1">
      <c r="A160" s="861"/>
      <c r="B160" s="424"/>
      <c r="M160" s="3166"/>
      <c r="O160" s="3154"/>
      <c r="P160" s="3154"/>
      <c r="R160" s="1730"/>
      <c r="S160" s="412"/>
      <c r="T160" s="1730"/>
      <c r="U160" s="412"/>
      <c r="V160" s="43"/>
      <c r="W160" s="43"/>
    </row>
    <row r="161" spans="1:36" s="43" customFormat="1" ht="13.5" customHeight="1">
      <c r="A161" s="3191" t="s">
        <v>4763</v>
      </c>
      <c r="B161" s="3191"/>
      <c r="C161" s="3191"/>
      <c r="D161" s="3191"/>
      <c r="E161" s="3191"/>
      <c r="F161" s="3191"/>
      <c r="G161" s="3192"/>
      <c r="H161" s="3163" t="s">
        <v>3646</v>
      </c>
      <c r="I161" s="3164"/>
      <c r="J161" s="3165"/>
      <c r="K161" s="3166" t="s">
        <v>3618</v>
      </c>
      <c r="L161" s="2697" t="s">
        <v>4754</v>
      </c>
      <c r="M161" s="3166"/>
      <c r="N161" s="1436"/>
      <c r="O161" s="3154"/>
      <c r="P161" s="3154"/>
      <c r="Q161" s="3182" t="s">
        <v>4750</v>
      </c>
      <c r="R161" s="3182" t="s">
        <v>4753</v>
      </c>
      <c r="S161" s="3182" t="s">
        <v>4751</v>
      </c>
      <c r="T161" s="3182" t="s">
        <v>4752</v>
      </c>
      <c r="U161" s="3182" t="s">
        <v>4469</v>
      </c>
      <c r="V161" s="3182" t="s">
        <v>4468</v>
      </c>
      <c r="X161" s="102"/>
      <c r="Y161" s="1742" t="s">
        <v>4782</v>
      </c>
      <c r="Z161" s="1743" t="s">
        <v>4784</v>
      </c>
      <c r="AA161" s="1743" t="s">
        <v>4785</v>
      </c>
    </row>
    <row r="162" spans="1:36" s="43" customFormat="1" ht="15" customHeight="1">
      <c r="B162" s="481" t="s">
        <v>4786</v>
      </c>
      <c r="C162" s="2392"/>
      <c r="E162" s="1744" t="s">
        <v>4787</v>
      </c>
      <c r="F162" s="1726" t="s">
        <v>4761</v>
      </c>
      <c r="G162" s="1726" t="s">
        <v>3282</v>
      </c>
      <c r="H162" s="2385">
        <v>2017</v>
      </c>
      <c r="I162" s="2385">
        <v>2018</v>
      </c>
      <c r="J162" s="2385">
        <v>2019</v>
      </c>
      <c r="K162" s="2475"/>
      <c r="L162" s="3187"/>
      <c r="M162" s="2475"/>
      <c r="N162" s="1436"/>
      <c r="O162" s="3070"/>
      <c r="P162" s="3070"/>
      <c r="Q162" s="3182"/>
      <c r="R162" s="3182"/>
      <c r="S162" s="3182"/>
      <c r="T162" s="3182"/>
      <c r="U162" s="3182"/>
      <c r="V162" s="3182"/>
      <c r="X162" s="1742" t="s">
        <v>4780</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88"/>
      <c r="C163" s="3189"/>
      <c r="D163" s="3190"/>
      <c r="E163" s="2295" t="s">
        <v>4377</v>
      </c>
      <c r="F163" s="2296"/>
      <c r="G163" s="2297"/>
      <c r="H163" s="2298"/>
      <c r="I163" s="2299"/>
      <c r="J163" s="2299"/>
      <c r="K163" s="1609" t="str">
        <f t="shared" ref="K163:K172" si="0">IF(H163+I163+J163=0,"",AVERAGE(H163,I163,J163))</f>
        <v/>
      </c>
      <c r="L163" s="2300"/>
      <c r="M163" s="1606" t="str">
        <f>IF(OR(K163="",L163=""),"",IF(K163&gt;L163,"Yes",IF(K163&lt;L163,"No","")))</f>
        <v/>
      </c>
      <c r="O163" s="2256"/>
      <c r="P163" s="518"/>
      <c r="Q163" s="447">
        <f>IF(AND(B163="",F163="",G163="",H163="",I163="",J163="",L163="",O163=""),0,1)</f>
        <v>0</v>
      </c>
      <c r="R163" s="3183">
        <f>SUM(Q163:Q172)</f>
        <v>0</v>
      </c>
      <c r="S163" s="1732">
        <f t="shared" ref="S163:S172" si="1">IF(AND(M163="",NOT(O163="Yes")),0,1)</f>
        <v>0</v>
      </c>
      <c r="T163" s="3183">
        <f>SUM(S163:S172)</f>
        <v>0</v>
      </c>
      <c r="U163" s="1732">
        <f t="shared" ref="U163:U172" si="2">IF(OR(M163="Yes",O163="Yes"),1,0)</f>
        <v>0</v>
      </c>
      <c r="V163" s="3183">
        <f>SUM(U163:U172)</f>
        <v>0</v>
      </c>
      <c r="X163" s="1742" t="s">
        <v>4781</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84"/>
      <c r="C164" s="3185"/>
      <c r="D164" s="3186"/>
      <c r="E164" s="2301" t="s">
        <v>4377</v>
      </c>
      <c r="F164" s="2302"/>
      <c r="G164" s="2303"/>
      <c r="H164" s="2304"/>
      <c r="I164" s="2305"/>
      <c r="J164" s="2305"/>
      <c r="K164" s="1610" t="str">
        <f t="shared" si="0"/>
        <v/>
      </c>
      <c r="L164" s="2306"/>
      <c r="M164" s="1607" t="str">
        <f>IF(L164="","",IF(K164&gt;L164,"Yes",IF(K164&lt;L164,"No","")))</f>
        <v/>
      </c>
      <c r="O164" s="2257"/>
      <c r="P164" s="519"/>
      <c r="Q164" s="447">
        <f t="shared" ref="Q164:Q172" si="4">IF(AND(B164="",F164="",G164="",H164="",I164="",J164="",L164="",O164=""),0,1)</f>
        <v>0</v>
      </c>
      <c r="R164" s="3183"/>
      <c r="S164" s="1732">
        <f t="shared" si="1"/>
        <v>0</v>
      </c>
      <c r="T164" s="3183"/>
      <c r="U164" s="1732">
        <f t="shared" si="2"/>
        <v>0</v>
      </c>
      <c r="V164" s="3183"/>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84"/>
      <c r="C165" s="3185"/>
      <c r="D165" s="3186"/>
      <c r="E165" s="2301" t="s">
        <v>4377</v>
      </c>
      <c r="F165" s="2302"/>
      <c r="G165" s="2303"/>
      <c r="H165" s="2304"/>
      <c r="I165" s="2305"/>
      <c r="J165" s="2305"/>
      <c r="K165" s="1610" t="str">
        <f t="shared" si="0"/>
        <v/>
      </c>
      <c r="L165" s="2306"/>
      <c r="M165" s="1607" t="str">
        <f t="shared" ref="M165:M172" si="5">IF(L165="","",IF(K165&gt;L165,"Yes",IF(K165&lt;L165,"No","")))</f>
        <v/>
      </c>
      <c r="O165" s="2257"/>
      <c r="P165" s="519"/>
      <c r="Q165" s="447">
        <f t="shared" si="4"/>
        <v>0</v>
      </c>
      <c r="R165" s="3183"/>
      <c r="S165" s="1732">
        <f t="shared" si="1"/>
        <v>0</v>
      </c>
      <c r="T165" s="3183"/>
      <c r="U165" s="1732">
        <f t="shared" si="2"/>
        <v>0</v>
      </c>
      <c r="V165" s="3183"/>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84"/>
      <c r="C166" s="3185"/>
      <c r="D166" s="3186"/>
      <c r="E166" s="2301" t="s">
        <v>4377</v>
      </c>
      <c r="F166" s="2302"/>
      <c r="G166" s="2303"/>
      <c r="H166" s="2304"/>
      <c r="I166" s="2305"/>
      <c r="J166" s="2305"/>
      <c r="K166" s="1610" t="str">
        <f t="shared" si="0"/>
        <v/>
      </c>
      <c r="L166" s="2306"/>
      <c r="M166" s="1607" t="str">
        <f t="shared" si="5"/>
        <v/>
      </c>
      <c r="O166" s="2257"/>
      <c r="P166" s="519"/>
      <c r="Q166" s="447">
        <f t="shared" si="4"/>
        <v>0</v>
      </c>
      <c r="R166" s="3183"/>
      <c r="S166" s="1732">
        <f t="shared" si="1"/>
        <v>0</v>
      </c>
      <c r="T166" s="3183"/>
      <c r="U166" s="1732">
        <f t="shared" si="2"/>
        <v>0</v>
      </c>
      <c r="V166" s="3183"/>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84"/>
      <c r="C167" s="3185"/>
      <c r="D167" s="3186"/>
      <c r="E167" s="2301" t="s">
        <v>4377</v>
      </c>
      <c r="F167" s="2302"/>
      <c r="G167" s="2303"/>
      <c r="H167" s="2304"/>
      <c r="I167" s="2305"/>
      <c r="J167" s="2305"/>
      <c r="K167" s="1610" t="str">
        <f t="shared" si="0"/>
        <v/>
      </c>
      <c r="L167" s="2306"/>
      <c r="M167" s="1607" t="str">
        <f t="shared" si="5"/>
        <v/>
      </c>
      <c r="O167" s="2257"/>
      <c r="P167" s="519"/>
      <c r="Q167" s="447">
        <f t="shared" si="4"/>
        <v>0</v>
      </c>
      <c r="R167" s="3183"/>
      <c r="S167" s="1732">
        <f t="shared" si="1"/>
        <v>0</v>
      </c>
      <c r="T167" s="3183"/>
      <c r="U167" s="1732">
        <f t="shared" si="2"/>
        <v>0</v>
      </c>
      <c r="V167" s="3183"/>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84"/>
      <c r="C168" s="3185"/>
      <c r="D168" s="3186"/>
      <c r="E168" s="2301" t="s">
        <v>4377</v>
      </c>
      <c r="F168" s="2302"/>
      <c r="G168" s="2303"/>
      <c r="H168" s="2304"/>
      <c r="I168" s="2305"/>
      <c r="J168" s="2305"/>
      <c r="K168" s="1610" t="str">
        <f t="shared" si="0"/>
        <v/>
      </c>
      <c r="L168" s="2306"/>
      <c r="M168" s="1607" t="str">
        <f t="shared" si="5"/>
        <v/>
      </c>
      <c r="O168" s="2257"/>
      <c r="P168" s="519"/>
      <c r="Q168" s="447">
        <f t="shared" si="4"/>
        <v>0</v>
      </c>
      <c r="R168" s="3183"/>
      <c r="S168" s="1732">
        <f t="shared" si="1"/>
        <v>0</v>
      </c>
      <c r="T168" s="3183"/>
      <c r="U168" s="1732">
        <f t="shared" si="2"/>
        <v>0</v>
      </c>
      <c r="V168" s="3183"/>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84"/>
      <c r="C169" s="3185"/>
      <c r="D169" s="3186"/>
      <c r="E169" s="2301" t="s">
        <v>4377</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183"/>
      <c r="S169" s="1732">
        <f t="shared" ref="S169:S170" si="10">IF(AND(M169="",NOT(O169="Yes")),0,1)</f>
        <v>0</v>
      </c>
      <c r="T169" s="3183"/>
      <c r="U169" s="1732">
        <f t="shared" ref="U169:U170" si="11">IF(OR(M169="Yes",O169="Yes"),1,0)</f>
        <v>0</v>
      </c>
      <c r="V169" s="3183"/>
    </row>
    <row r="170" spans="1:36" s="43" customFormat="1" ht="12" customHeight="1">
      <c r="A170" s="1733" t="str">
        <f t="shared" si="6"/>
        <v/>
      </c>
      <c r="B170" s="3184"/>
      <c r="C170" s="3185"/>
      <c r="D170" s="3186"/>
      <c r="E170" s="2301" t="s">
        <v>4377</v>
      </c>
      <c r="F170" s="2302"/>
      <c r="G170" s="2303"/>
      <c r="H170" s="2304"/>
      <c r="I170" s="2305"/>
      <c r="J170" s="2305"/>
      <c r="K170" s="1610" t="str">
        <f t="shared" si="7"/>
        <v/>
      </c>
      <c r="L170" s="2306"/>
      <c r="M170" s="1607" t="str">
        <f t="shared" si="8"/>
        <v/>
      </c>
      <c r="O170" s="2257"/>
      <c r="P170" s="519"/>
      <c r="Q170" s="447">
        <f t="shared" si="9"/>
        <v>0</v>
      </c>
      <c r="R170" s="3183"/>
      <c r="S170" s="1732">
        <f t="shared" si="10"/>
        <v>0</v>
      </c>
      <c r="T170" s="3183"/>
      <c r="U170" s="1732">
        <f t="shared" si="11"/>
        <v>0</v>
      </c>
      <c r="V170" s="3183"/>
    </row>
    <row r="171" spans="1:36" s="43" customFormat="1" ht="12" customHeight="1">
      <c r="A171" s="1733" t="str">
        <f t="shared" ref="A171" si="12">IF(OR(M171="Yes", O171="Yes", AND(B171="",F171="",G171="",H171="",I171="",J171="",L171="",O171="")),"", IF(AND(NOT(B171=""),OR(O171="",O171="No",O171="N/a"),OR(F171="",G171=""),AND(H171="",I171="",J171=""),L171=""),"Finish!","Check"))</f>
        <v/>
      </c>
      <c r="B171" s="3184"/>
      <c r="C171" s="3185"/>
      <c r="D171" s="3186"/>
      <c r="E171" s="2301" t="s">
        <v>4377</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183"/>
      <c r="S171" s="1732">
        <f t="shared" ref="S171" si="16">IF(AND(M171="",NOT(O171="Yes")),0,1)</f>
        <v>0</v>
      </c>
      <c r="T171" s="3183"/>
      <c r="U171" s="1732">
        <f t="shared" ref="U171" si="17">IF(OR(M171="Yes",O171="Yes"),1,0)</f>
        <v>0</v>
      </c>
      <c r="V171" s="3183"/>
    </row>
    <row r="172" spans="1:36" s="43" customFormat="1" ht="12" customHeight="1">
      <c r="A172" s="1733" t="str">
        <f t="shared" si="3"/>
        <v/>
      </c>
      <c r="B172" s="3193"/>
      <c r="C172" s="3194"/>
      <c r="D172" s="3195"/>
      <c r="E172" s="2307" t="s">
        <v>4377</v>
      </c>
      <c r="F172" s="2308"/>
      <c r="G172" s="2309"/>
      <c r="H172" s="2310"/>
      <c r="I172" s="2311"/>
      <c r="J172" s="2311"/>
      <c r="K172" s="1611" t="str">
        <f t="shared" si="0"/>
        <v/>
      </c>
      <c r="L172" s="2312"/>
      <c r="M172" s="1608" t="str">
        <f t="shared" si="5"/>
        <v/>
      </c>
      <c r="O172" s="2258"/>
      <c r="P172" s="520"/>
      <c r="Q172" s="447">
        <f t="shared" si="4"/>
        <v>0</v>
      </c>
      <c r="R172" s="3183"/>
      <c r="S172" s="1732">
        <f t="shared" si="1"/>
        <v>0</v>
      </c>
      <c r="T172" s="3183"/>
      <c r="U172" s="1732">
        <f t="shared" si="2"/>
        <v>0</v>
      </c>
      <c r="V172" s="3183"/>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4566</v>
      </c>
      <c r="M175" s="426">
        <v>2</v>
      </c>
      <c r="N175" s="174"/>
      <c r="O175" s="1041">
        <f>IF(AND(I184="Yes",I185="Yes"),$H$185,IF(AND(I184="Yes",I185="No"),$H$184,0))</f>
        <v>0</v>
      </c>
      <c r="P175" s="1041">
        <f>IF(AND(J184="Yes",J185="Yes"),$H$185,IF(AND(J184="Yes",J185="No"),$H$184,0))</f>
        <v>0</v>
      </c>
      <c r="Q175" s="2375"/>
      <c r="R175" s="1723"/>
    </row>
    <row r="176" spans="1:36" s="55" customFormat="1" ht="12.75" customHeight="1">
      <c r="E176" s="2976" t="s">
        <v>3820</v>
      </c>
      <c r="F176" s="2976" t="s">
        <v>3486</v>
      </c>
      <c r="G176" s="3161" t="s">
        <v>3283</v>
      </c>
      <c r="H176" s="3161"/>
      <c r="I176" s="3161"/>
      <c r="J176" s="3161"/>
      <c r="K176" s="3161"/>
      <c r="L176" s="3161"/>
      <c r="M176" s="3161"/>
      <c r="N176" s="3161"/>
      <c r="P176" s="1066"/>
      <c r="R176" s="52" t="s">
        <v>2733</v>
      </c>
      <c r="S176" s="36"/>
      <c r="T176" s="2971" t="str">
        <f>'Part I-Project Information'!$F$38</f>
        <v>Columbus</v>
      </c>
      <c r="U176" s="2972"/>
      <c r="V176" s="2972"/>
      <c r="W176" s="2972"/>
      <c r="X176" s="2973"/>
    </row>
    <row r="177" spans="1:24" s="55" customFormat="1" ht="13.5" customHeight="1">
      <c r="A177" s="47"/>
      <c r="B177" s="2978" t="s">
        <v>3733</v>
      </c>
      <c r="C177" s="2978"/>
      <c r="D177" s="2978"/>
      <c r="E177" s="2977"/>
      <c r="F177" s="2977"/>
      <c r="G177" s="3178" t="s">
        <v>3732</v>
      </c>
      <c r="H177" s="3178"/>
      <c r="I177" s="3178"/>
      <c r="J177" s="3178"/>
      <c r="K177" s="3178"/>
      <c r="L177" s="3178"/>
      <c r="M177" s="3178"/>
      <c r="N177" s="3178"/>
      <c r="O177" s="2976" t="s">
        <v>3487</v>
      </c>
      <c r="P177" s="2976"/>
      <c r="R177" s="52" t="s">
        <v>2734</v>
      </c>
      <c r="S177" s="36"/>
      <c r="T177" s="2965" t="str">
        <f>'Part I-Project Information'!$J$39</f>
        <v>Muscogee</v>
      </c>
      <c r="U177" s="2966"/>
      <c r="V177" s="2966"/>
      <c r="W177" s="2966"/>
      <c r="X177" s="2967"/>
    </row>
    <row r="178" spans="1:24" s="55" customFormat="1" ht="13.5" customHeight="1">
      <c r="A178" s="47"/>
      <c r="B178" s="3155" t="s">
        <v>3621</v>
      </c>
      <c r="C178" s="3156"/>
      <c r="D178" s="3157"/>
      <c r="E178" s="2396">
        <v>3000</v>
      </c>
      <c r="F178" s="2396">
        <v>6000</v>
      </c>
      <c r="G178" s="3177">
        <v>15000</v>
      </c>
      <c r="H178" s="3177"/>
      <c r="I178" s="3177"/>
      <c r="J178" s="3177"/>
      <c r="K178" s="3177"/>
      <c r="L178" s="3177"/>
      <c r="M178" s="3177"/>
      <c r="N178" s="3177"/>
      <c r="O178" s="3177">
        <v>20000</v>
      </c>
      <c r="P178" s="3177"/>
      <c r="R178" s="40" t="s">
        <v>2735</v>
      </c>
      <c r="S178" s="36"/>
      <c r="T178" s="2965" t="str">
        <f>'Part I-Project Information'!$O$40</f>
        <v>Columbus</v>
      </c>
      <c r="U178" s="2966"/>
      <c r="V178" s="2966"/>
      <c r="W178" s="2966"/>
      <c r="X178" s="2967"/>
    </row>
    <row r="179" spans="1:24" s="36" customFormat="1" ht="13.5" customHeight="1">
      <c r="A179" s="47"/>
      <c r="B179" s="2997" t="s">
        <v>3731</v>
      </c>
      <c r="C179" s="2998"/>
      <c r="D179" s="2999"/>
      <c r="E179" s="2397">
        <v>4500</v>
      </c>
      <c r="F179" s="2397">
        <v>9000</v>
      </c>
      <c r="G179" s="2979">
        <v>22500</v>
      </c>
      <c r="H179" s="2979"/>
      <c r="I179" s="2979"/>
      <c r="J179" s="2979"/>
      <c r="K179" s="2979"/>
      <c r="L179" s="2979"/>
      <c r="M179" s="2979"/>
      <c r="N179" s="2979"/>
      <c r="O179" s="2979">
        <v>30000</v>
      </c>
      <c r="P179" s="2979"/>
      <c r="R179" s="40" t="s">
        <v>3642</v>
      </c>
      <c r="T179" s="2965" t="str">
        <f>VLOOKUP('Part I-Project Information'!$J$39,'DCA Underwriting Assumptions'!$G$173:$J$332,4)</f>
        <v>MSA</v>
      </c>
      <c r="U179" s="2966"/>
      <c r="V179" s="2966"/>
      <c r="W179" s="2966"/>
      <c r="X179" s="2967"/>
    </row>
    <row r="180" spans="1:24" s="55" customFormat="1" ht="4.5" customHeight="1">
      <c r="A180" s="47"/>
      <c r="B180" s="47"/>
      <c r="C180" s="412"/>
      <c r="K180" s="2385"/>
      <c r="L180" s="2385"/>
    </row>
    <row r="181" spans="1:24" s="55" customFormat="1" ht="12" customHeight="1">
      <c r="B181" s="859" t="s">
        <v>4799</v>
      </c>
      <c r="E181" s="858"/>
      <c r="F181" s="858"/>
      <c r="G181" s="858"/>
      <c r="I181" s="2313"/>
      <c r="J181" s="4199"/>
      <c r="K181" s="1779" t="str">
        <f>IF(I181="","",IF(I181&lt;E178,"Minimum Jobs Threshold entered is below lowest in chart!",""))</f>
        <v/>
      </c>
      <c r="R181" s="36" t="s">
        <v>3460</v>
      </c>
      <c r="S181" s="36"/>
      <c r="T181" s="2968" t="str">
        <f>'Part I-Project Information'!$K$40</f>
        <v>Urban</v>
      </c>
      <c r="U181" s="2969"/>
      <c r="V181" s="2969"/>
      <c r="W181" s="2969"/>
      <c r="X181" s="2970"/>
    </row>
    <row r="182" spans="1:24" s="55" customFormat="1" ht="12" customHeight="1">
      <c r="A182" s="861"/>
      <c r="B182" s="424" t="s">
        <v>3459</v>
      </c>
      <c r="H182" s="860" t="str">
        <f>IF(I182&lt;I181,"Threshold not met!","")</f>
        <v/>
      </c>
      <c r="I182" s="2314"/>
      <c r="J182" s="4200"/>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5"/>
    </row>
    <row r="187" spans="1:24" s="55" customFormat="1" ht="3" customHeight="1">
      <c r="A187" s="47"/>
      <c r="B187" s="47"/>
      <c r="C187" s="412"/>
      <c r="F187" s="2398"/>
      <c r="K187" s="2385"/>
      <c r="L187" s="2385"/>
    </row>
    <row r="188" spans="1:24" s="43" customFormat="1" ht="10.5" customHeight="1" thickBot="1">
      <c r="A188" s="42"/>
      <c r="B188" s="1132" t="s">
        <v>3566</v>
      </c>
      <c r="C188" s="42"/>
      <c r="D188" s="48"/>
      <c r="E188" s="48"/>
      <c r="F188" s="48"/>
      <c r="G188" s="48"/>
      <c r="H188" s="36"/>
      <c r="I188" s="36"/>
      <c r="J188" s="36"/>
      <c r="K188" s="36"/>
      <c r="M188" s="46"/>
      <c r="N188" s="62"/>
      <c r="O188" s="3"/>
      <c r="P188" s="2377"/>
    </row>
    <row r="189" spans="1:24" s="43" customFormat="1" ht="21.75" customHeight="1" thickTop="1" thickBot="1">
      <c r="A189" s="2940" t="s">
        <v>948</v>
      </c>
      <c r="B189" s="2941"/>
      <c r="C189" s="2941"/>
      <c r="D189" s="2941"/>
      <c r="E189" s="2941"/>
      <c r="F189" s="2941"/>
      <c r="G189" s="2941"/>
      <c r="H189" s="2941"/>
      <c r="I189" s="2941"/>
      <c r="J189" s="2941"/>
      <c r="K189" s="2941"/>
      <c r="L189" s="2941"/>
      <c r="M189" s="2941"/>
      <c r="N189" s="2941"/>
      <c r="O189" s="2941"/>
      <c r="P189" s="2942"/>
      <c r="Q189" s="1027" t="s">
        <v>1228</v>
      </c>
    </row>
    <row r="190" spans="1:24" s="43" customFormat="1" ht="10.5" customHeight="1" thickTop="1">
      <c r="A190" s="42"/>
      <c r="B190" s="85" t="s">
        <v>1819</v>
      </c>
      <c r="C190" s="98"/>
      <c r="D190" s="85"/>
      <c r="E190" s="99"/>
      <c r="F190" s="2378"/>
      <c r="G190" s="2378"/>
      <c r="H190" s="2378"/>
      <c r="I190" s="2378"/>
      <c r="J190" s="2378"/>
      <c r="K190" s="2378"/>
      <c r="L190" s="2378"/>
      <c r="M190" s="2378"/>
      <c r="N190" s="74"/>
      <c r="O190" s="70"/>
      <c r="P190" s="2375"/>
      <c r="Q190" s="422"/>
    </row>
    <row r="191" spans="1:24" s="43" customFormat="1" ht="11.25" customHeight="1">
      <c r="A191" s="2877"/>
      <c r="B191" s="2878"/>
      <c r="C191" s="2878"/>
      <c r="D191" s="2878"/>
      <c r="E191" s="2878"/>
      <c r="F191" s="2878"/>
      <c r="G191" s="2878"/>
      <c r="H191" s="2878"/>
      <c r="I191" s="2878"/>
      <c r="J191" s="2878"/>
      <c r="K191" s="2878"/>
      <c r="L191" s="2878"/>
      <c r="M191" s="2878"/>
      <c r="N191" s="2878"/>
      <c r="O191" s="2878"/>
      <c r="P191" s="2879"/>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3735</v>
      </c>
      <c r="C193" s="92"/>
      <c r="D193" s="59"/>
      <c r="E193" s="59"/>
      <c r="I193" s="1015"/>
      <c r="J193" s="1015"/>
      <c r="K193" s="556"/>
      <c r="L193" s="556"/>
      <c r="M193" s="2375">
        <v>7</v>
      </c>
      <c r="N193" s="7"/>
      <c r="O193" s="1040">
        <f>IF(OR(O$150&gt;0,O$265&gt;0,AND(NOT(K199="Yes"),NOT(K201="Yes"),NOT(K202="Yes"),NOT(K203="Yes"))),0,MIN($M$193,O196+O214))</f>
        <v>7</v>
      </c>
      <c r="P193" s="1040">
        <f>IF(OR(P$150&gt;0,P$265&gt;0,AND(NOT(L199="Yes"),NOT(L201="Yes"),NOT(L202="Yes"),NOT(L203="Yes"))),0,MIN($M$193,P196+P214))</f>
        <v>0</v>
      </c>
      <c r="Q193" s="109" t="s">
        <v>433</v>
      </c>
      <c r="R193" s="2986" t="s">
        <v>4568</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3" t="s">
        <v>4729</v>
      </c>
      <c r="C195" s="2723"/>
      <c r="D195" s="2723"/>
      <c r="E195" s="2723"/>
      <c r="F195" s="2723"/>
      <c r="G195" s="2723"/>
      <c r="H195" s="2723"/>
      <c r="I195" s="2723"/>
      <c r="J195" s="2723"/>
      <c r="K195" s="2723"/>
      <c r="L195" s="2723"/>
      <c r="M195" s="2723"/>
      <c r="N195" s="2723"/>
      <c r="O195" s="2723"/>
      <c r="P195" s="2723"/>
      <c r="R195" s="2989"/>
      <c r="S195" s="2990"/>
      <c r="T195" s="2990"/>
      <c r="U195" s="2991"/>
    </row>
    <row r="196" spans="1:26" s="43" customFormat="1" ht="12" customHeight="1">
      <c r="A196" s="138" t="s">
        <v>1935</v>
      </c>
      <c r="B196" s="177" t="s">
        <v>4600</v>
      </c>
      <c r="C196" s="165"/>
      <c r="D196" s="165"/>
      <c r="E196" s="165"/>
      <c r="F196" s="165"/>
      <c r="G196" s="165" t="s">
        <v>4595</v>
      </c>
      <c r="H196" s="165"/>
      <c r="I196" s="165"/>
      <c r="J196" s="165"/>
      <c r="K196" s="1111" t="s">
        <v>4755</v>
      </c>
      <c r="L196" s="1111" t="s">
        <v>4755</v>
      </c>
      <c r="M196" s="426">
        <v>5</v>
      </c>
      <c r="N196" s="47" t="s">
        <v>1935</v>
      </c>
      <c r="O196" s="521">
        <f>IF(O210=0,0,MIN($M$196,SUM(O210:O211)))</f>
        <v>5</v>
      </c>
      <c r="P196" s="521">
        <f>IF(SUM(P210:P211)=$M$211,0,MIN($M$196,SUM(P210:P211)))</f>
        <v>0</v>
      </c>
      <c r="R196" s="2989"/>
      <c r="S196" s="2990"/>
      <c r="T196" s="2990"/>
      <c r="U196" s="2991"/>
    </row>
    <row r="197" spans="1:26" s="33" customFormat="1" ht="11.25" customHeight="1">
      <c r="B197" s="1735" t="s">
        <v>4599</v>
      </c>
      <c r="D197" s="1735"/>
      <c r="E197" s="1735"/>
      <c r="F197" s="1735"/>
      <c r="G197" s="1735"/>
      <c r="H197" s="1735"/>
      <c r="I197" s="1735"/>
      <c r="J197" s="385"/>
      <c r="K197" s="2315" t="s">
        <v>7043</v>
      </c>
      <c r="L197" s="4201"/>
      <c r="R197" s="2989"/>
      <c r="S197" s="2990"/>
      <c r="T197" s="2990"/>
      <c r="U197" s="2991"/>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2443</v>
      </c>
      <c r="L198" s="1112" t="s">
        <v>2443</v>
      </c>
      <c r="N198" s="1133"/>
      <c r="P198" s="1134"/>
      <c r="R198" s="2989"/>
      <c r="S198" s="2990"/>
      <c r="T198" s="2990"/>
      <c r="U198" s="2991"/>
    </row>
    <row r="199" spans="1:26" s="390" customFormat="1" ht="11.25" customHeight="1">
      <c r="B199" s="986" t="s">
        <v>2371</v>
      </c>
      <c r="C199" s="2943" t="s">
        <v>4381</v>
      </c>
      <c r="D199" s="2943"/>
      <c r="E199" s="2943"/>
      <c r="F199" s="2943"/>
      <c r="G199" s="2943"/>
      <c r="H199" s="2943"/>
      <c r="I199" s="2943"/>
      <c r="J199" s="986" t="s">
        <v>2371</v>
      </c>
      <c r="K199" s="2315" t="s">
        <v>2884</v>
      </c>
      <c r="L199" s="4201"/>
      <c r="M199" s="3179" t="s">
        <v>7131</v>
      </c>
      <c r="N199" s="3172"/>
      <c r="O199" s="3172"/>
      <c r="P199" s="3173"/>
      <c r="R199" s="2989"/>
      <c r="S199" s="2990"/>
      <c r="T199" s="2990"/>
      <c r="U199" s="2991"/>
      <c r="V199" s="1626"/>
      <c r="W199" s="1626"/>
      <c r="X199" s="1626"/>
      <c r="Y199" s="1626"/>
      <c r="Z199" s="1626"/>
    </row>
    <row r="200" spans="1:26" s="43" customFormat="1" ht="11.25" customHeight="1">
      <c r="A200" s="371"/>
      <c r="B200" s="373"/>
      <c r="C200" s="2943"/>
      <c r="D200" s="2943"/>
      <c r="E200" s="2943"/>
      <c r="F200" s="2943"/>
      <c r="G200" s="2943"/>
      <c r="H200" s="2943"/>
      <c r="I200" s="2943"/>
      <c r="J200" s="373"/>
      <c r="K200" s="1128"/>
      <c r="L200" s="1128"/>
      <c r="R200" s="2989"/>
      <c r="S200" s="2990"/>
      <c r="T200" s="2990"/>
      <c r="U200" s="2991"/>
    </row>
    <row r="201" spans="1:26" s="33" customFormat="1" ht="11.25" customHeight="1">
      <c r="B201" s="373" t="s">
        <v>2372</v>
      </c>
      <c r="C201" s="134" t="s">
        <v>4601</v>
      </c>
      <c r="D201" s="481"/>
      <c r="E201" s="481"/>
      <c r="F201" s="481"/>
      <c r="G201" s="481"/>
      <c r="H201" s="481"/>
      <c r="J201" s="373" t="s">
        <v>2372</v>
      </c>
      <c r="K201" s="2316" t="s">
        <v>2884</v>
      </c>
      <c r="L201" s="4117"/>
      <c r="M201" s="3171" t="s">
        <v>7128</v>
      </c>
      <c r="N201" s="3172"/>
      <c r="O201" s="3172"/>
      <c r="P201" s="3173"/>
      <c r="R201" s="2989"/>
      <c r="S201" s="2990"/>
      <c r="T201" s="2990"/>
      <c r="U201" s="2991"/>
      <c r="V201" s="548"/>
      <c r="W201" s="548"/>
      <c r="X201" s="548"/>
      <c r="Y201" s="548"/>
      <c r="Z201" s="548"/>
    </row>
    <row r="202" spans="1:26" s="33" customFormat="1" ht="11.25" customHeight="1">
      <c r="B202" s="373" t="s">
        <v>2373</v>
      </c>
      <c r="C202" s="481" t="s">
        <v>4598</v>
      </c>
      <c r="D202" s="481"/>
      <c r="E202" s="481"/>
      <c r="F202" s="481"/>
      <c r="G202" s="481"/>
      <c r="H202" s="481"/>
      <c r="I202" s="481"/>
      <c r="J202" s="373" t="s">
        <v>2373</v>
      </c>
      <c r="K202" s="2317" t="s">
        <v>2884</v>
      </c>
      <c r="L202" s="4202"/>
      <c r="R202" s="2989"/>
      <c r="S202" s="2990"/>
      <c r="T202" s="2990"/>
      <c r="U202" s="2991"/>
      <c r="V202" s="548"/>
      <c r="W202" s="548"/>
      <c r="X202" s="548"/>
      <c r="Y202" s="548"/>
      <c r="Z202" s="548"/>
    </row>
    <row r="203" spans="1:26" s="43" customFormat="1" ht="11.25" customHeight="1">
      <c r="A203" s="371"/>
      <c r="C203" s="373" t="s">
        <v>2374</v>
      </c>
      <c r="D203" s="428" t="s">
        <v>4380</v>
      </c>
      <c r="E203" s="1478"/>
      <c r="F203" s="1478"/>
      <c r="G203" s="1478"/>
      <c r="H203" s="1478"/>
      <c r="I203" s="1478"/>
      <c r="J203" s="373" t="s">
        <v>2374</v>
      </c>
      <c r="K203" s="2318">
        <v>42654</v>
      </c>
      <c r="L203" s="4203"/>
      <c r="M203" s="481"/>
      <c r="N203" s="481"/>
      <c r="O203" s="481"/>
      <c r="P203" s="481"/>
      <c r="R203" s="2989"/>
      <c r="S203" s="2990"/>
      <c r="T203" s="2990"/>
      <c r="U203" s="2991"/>
    </row>
    <row r="204" spans="1:26" s="43" customFormat="1" ht="12" customHeight="1">
      <c r="A204" s="425"/>
      <c r="B204" s="49" t="s">
        <v>4597</v>
      </c>
      <c r="C204" s="165"/>
      <c r="D204" s="165"/>
      <c r="E204" s="165"/>
      <c r="F204" s="165"/>
      <c r="G204" s="165"/>
      <c r="H204" s="165"/>
      <c r="I204" s="165"/>
      <c r="J204" s="165"/>
      <c r="K204" s="1111" t="s">
        <v>2443</v>
      </c>
      <c r="L204" s="1112" t="s">
        <v>2443</v>
      </c>
      <c r="N204" s="1133"/>
      <c r="P204" s="1134"/>
      <c r="R204" s="2989"/>
      <c r="S204" s="2990"/>
      <c r="T204" s="2990"/>
      <c r="U204" s="2991"/>
    </row>
    <row r="205" spans="1:26" s="102" customFormat="1" ht="11.25" customHeight="1">
      <c r="A205" s="425"/>
      <c r="B205" s="373" t="s">
        <v>2375</v>
      </c>
      <c r="C205" s="3167" t="s">
        <v>4567</v>
      </c>
      <c r="D205" s="3167"/>
      <c r="E205" s="3167"/>
      <c r="F205" s="3167"/>
      <c r="G205" s="3167"/>
      <c r="J205" s="373" t="s">
        <v>2375</v>
      </c>
      <c r="K205" s="2319" t="s">
        <v>2884</v>
      </c>
      <c r="L205" s="4117"/>
      <c r="M205" s="3158" t="s">
        <v>7127</v>
      </c>
      <c r="N205" s="3159"/>
      <c r="O205" s="3159"/>
      <c r="P205" s="3160"/>
      <c r="Q205" s="1612">
        <f>IF(K205="Yes",1,0)</f>
        <v>1</v>
      </c>
      <c r="R205" s="2989"/>
      <c r="S205" s="2990"/>
      <c r="T205" s="2990"/>
      <c r="U205" s="2991"/>
      <c r="V205" s="1612">
        <f>IF(L205="Yes",1,0)</f>
        <v>0</v>
      </c>
    </row>
    <row r="206" spans="1:26" s="33" customFormat="1" ht="11.25" customHeight="1">
      <c r="B206" s="385" t="s">
        <v>2391</v>
      </c>
      <c r="C206" s="481" t="s">
        <v>4309</v>
      </c>
      <c r="D206" s="481"/>
      <c r="E206" s="481"/>
      <c r="F206" s="481"/>
      <c r="G206" s="481"/>
      <c r="H206" s="481"/>
      <c r="J206" s="385" t="s">
        <v>2391</v>
      </c>
      <c r="K206" s="2320" t="s">
        <v>2884</v>
      </c>
      <c r="L206" s="4118"/>
      <c r="M206" s="3174" t="s">
        <v>7129</v>
      </c>
      <c r="N206" s="3175"/>
      <c r="O206" s="3175"/>
      <c r="P206" s="3176"/>
      <c r="Q206" s="1612">
        <f t="shared" ref="Q206:Q207" si="18">IF(K206="Yes",1,0)</f>
        <v>1</v>
      </c>
      <c r="R206" s="2989"/>
      <c r="S206" s="2990"/>
      <c r="T206" s="2990"/>
      <c r="U206" s="2991"/>
      <c r="V206" s="1612">
        <f>IF(L206="Yes",1,0)</f>
        <v>0</v>
      </c>
      <c r="W206" s="548"/>
      <c r="X206" s="548"/>
      <c r="Y206" s="548"/>
      <c r="Z206" s="548"/>
    </row>
    <row r="207" spans="1:26" s="33" customFormat="1" ht="10.95" customHeight="1">
      <c r="B207" s="385" t="s">
        <v>2392</v>
      </c>
      <c r="C207" s="52" t="s">
        <v>4594</v>
      </c>
      <c r="D207" s="481"/>
      <c r="E207" s="481"/>
      <c r="F207" s="481"/>
      <c r="G207" s="481"/>
      <c r="J207" s="385" t="s">
        <v>2392</v>
      </c>
      <c r="K207" s="2321" t="s">
        <v>2884</v>
      </c>
      <c r="L207" s="4119"/>
      <c r="M207" s="2980" t="s">
        <v>7130</v>
      </c>
      <c r="N207" s="2981"/>
      <c r="O207" s="2981"/>
      <c r="P207" s="2982"/>
      <c r="Q207" s="1612">
        <f t="shared" si="18"/>
        <v>1</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4310</v>
      </c>
      <c r="H209" s="158"/>
      <c r="N209" s="27"/>
      <c r="O209" s="27"/>
      <c r="P209" s="27"/>
      <c r="Q209" s="983"/>
      <c r="U209" s="158"/>
      <c r="V209" s="158"/>
      <c r="W209" s="158"/>
      <c r="X209" s="2370"/>
      <c r="Y209" s="385"/>
      <c r="Z209" s="158"/>
    </row>
    <row r="210" spans="1:26" ht="22.5" customHeight="1">
      <c r="A210" s="498"/>
      <c r="B210" s="562" t="s">
        <v>1938</v>
      </c>
      <c r="C210" s="3096" t="s">
        <v>4369</v>
      </c>
      <c r="D210" s="3096"/>
      <c r="E210" s="3096"/>
      <c r="F210" s="3096"/>
      <c r="G210" s="3096"/>
      <c r="H210" s="3096"/>
      <c r="I210" s="3096"/>
      <c r="J210" s="3096"/>
      <c r="K210" s="3096"/>
      <c r="L210" s="3096"/>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4368</v>
      </c>
      <c r="D211" s="985"/>
      <c r="E211" s="985"/>
      <c r="F211" s="985"/>
      <c r="G211" s="985"/>
      <c r="H211" s="985"/>
      <c r="I211" s="985"/>
      <c r="J211" s="428" t="s">
        <v>3588</v>
      </c>
      <c r="K211" s="33"/>
      <c r="L211" s="1473" t="str">
        <f>'Part I-Project Information'!$N$39</f>
        <v>Yes</v>
      </c>
      <c r="M211" s="2388">
        <v>2</v>
      </c>
      <c r="N211" s="430" t="s">
        <v>1940</v>
      </c>
      <c r="O211" s="2322">
        <v>2</v>
      </c>
      <c r="P211" s="4204"/>
      <c r="Q211" s="1477" t="str">
        <f>IF(OR($O211=$M211,$O211=0,$O211=""),"","*CHECK!*")</f>
        <v/>
      </c>
      <c r="R211" s="974" t="s">
        <v>4767</v>
      </c>
    </row>
    <row r="212" spans="1:26" ht="12" customHeight="1">
      <c r="A212" s="498"/>
      <c r="B212" s="562"/>
      <c r="C212" s="3167" t="s">
        <v>4569</v>
      </c>
      <c r="D212" s="3167"/>
      <c r="E212" s="3167"/>
      <c r="F212" s="3167"/>
      <c r="G212" s="3167"/>
      <c r="H212" s="3167"/>
      <c r="I212" s="1448"/>
      <c r="J212" s="428" t="s">
        <v>3438</v>
      </c>
      <c r="K212" s="1475"/>
      <c r="L212" s="1474" t="str">
        <f>'Part I-Project Information'!$O$38</f>
        <v>13215002000</v>
      </c>
      <c r="M212" s="1449"/>
      <c r="N212" s="1077"/>
      <c r="O212" s="1077"/>
      <c r="P212" s="1077"/>
      <c r="Q212" s="978"/>
      <c r="R212" s="974"/>
    </row>
    <row r="213" spans="1:26" ht="12" customHeight="1">
      <c r="A213" s="498"/>
      <c r="B213" s="465"/>
      <c r="C213" s="3167"/>
      <c r="D213" s="3167"/>
      <c r="E213" s="3167"/>
      <c r="F213" s="3167"/>
      <c r="G213" s="3167"/>
      <c r="H213" s="3167"/>
      <c r="J213" s="428" t="s">
        <v>3263</v>
      </c>
      <c r="K213" s="33"/>
      <c r="L213" s="1472" t="str">
        <f>'Part IV-A-Uses of Funds'!$H$152</f>
        <v>DDA/QCT</v>
      </c>
      <c r="M213" s="1472"/>
      <c r="N213" s="27"/>
      <c r="O213" s="27"/>
      <c r="P213" s="27"/>
      <c r="R213" s="158"/>
    </row>
    <row r="214" spans="1:26" ht="12" customHeight="1">
      <c r="A214" s="138" t="s">
        <v>1937</v>
      </c>
      <c r="B214" s="177" t="s">
        <v>4311</v>
      </c>
      <c r="D214" s="33"/>
      <c r="F214" s="1443"/>
      <c r="K214" s="1104"/>
      <c r="L214" s="374" t="str">
        <f>IF(OR($O214=$M214,$O214=0,$O214=""),"","* * Check Score! * *")</f>
        <v/>
      </c>
      <c r="M214" s="426">
        <v>2</v>
      </c>
      <c r="N214" s="63" t="s">
        <v>1937</v>
      </c>
      <c r="O214" s="2291">
        <v>2</v>
      </c>
      <c r="P214" s="4205"/>
      <c r="Q214" s="978" t="str">
        <f>IF(OR($O214=$M214,$O214=0,$O214=""),"","*CHECK!*")</f>
        <v/>
      </c>
      <c r="R214" s="974" t="s">
        <v>4767</v>
      </c>
    </row>
    <row r="215" spans="1:26" s="43" customFormat="1" ht="9.75" customHeight="1">
      <c r="A215" s="138"/>
      <c r="B215" s="102"/>
      <c r="C215" s="36" t="s">
        <v>2702</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3639</v>
      </c>
      <c r="D216" s="102"/>
      <c r="E216" s="102"/>
      <c r="F216" s="102"/>
      <c r="G216" s="102"/>
      <c r="H216" s="102"/>
      <c r="I216" s="102"/>
      <c r="J216" s="3168" t="s">
        <v>7133</v>
      </c>
      <c r="K216" s="3169"/>
      <c r="L216" s="3169"/>
      <c r="M216" s="3169"/>
      <c r="N216" s="3169"/>
      <c r="O216" s="3169"/>
      <c r="P216" s="3170"/>
      <c r="V216" s="1023"/>
      <c r="W216" s="1023"/>
    </row>
    <row r="217" spans="1:26" s="43" customFormat="1" ht="11.25" customHeight="1">
      <c r="A217" s="175"/>
      <c r="B217" s="455" t="s">
        <v>3590</v>
      </c>
      <c r="C217" s="428" t="s">
        <v>3640</v>
      </c>
      <c r="D217" s="102"/>
      <c r="E217" s="102"/>
      <c r="F217" s="102"/>
      <c r="G217" s="102"/>
      <c r="H217" s="102"/>
      <c r="I217" s="1412" t="str">
        <f>IF($J$217="Government", "Additional documentation required - see QAP.","")</f>
        <v>Additional documentation required - see QAP.</v>
      </c>
      <c r="J217" s="2771" t="s">
        <v>7132</v>
      </c>
      <c r="K217" s="3006"/>
      <c r="L217" s="3007"/>
      <c r="M217" s="102"/>
      <c r="N217" s="102"/>
      <c r="O217" s="102"/>
      <c r="P217" s="102"/>
      <c r="V217" s="1023"/>
      <c r="W217" s="1023"/>
    </row>
    <row r="218" spans="1:26" ht="11.25" customHeight="1">
      <c r="A218" s="176"/>
      <c r="B218" s="455" t="s">
        <v>3591</v>
      </c>
      <c r="C218" s="428" t="s">
        <v>4570</v>
      </c>
      <c r="D218" s="33"/>
      <c r="E218" s="33"/>
      <c r="F218" s="561"/>
      <c r="G218" s="561"/>
      <c r="H218" s="561"/>
      <c r="I218" s="33"/>
      <c r="J218" s="2256" t="s">
        <v>2884</v>
      </c>
      <c r="K218" s="3002" t="s">
        <v>4313</v>
      </c>
      <c r="L218" s="3003"/>
      <c r="M218" s="3003"/>
      <c r="N218" s="3003"/>
      <c r="O218" s="1439"/>
      <c r="P218" s="92"/>
      <c r="V218" s="1023"/>
      <c r="W218" s="1023"/>
    </row>
    <row r="219" spans="1:26" ht="11.25" customHeight="1">
      <c r="A219" s="176"/>
      <c r="B219" s="385" t="s">
        <v>3593</v>
      </c>
      <c r="C219" s="428" t="s">
        <v>4312</v>
      </c>
      <c r="D219" s="33"/>
      <c r="E219" s="33"/>
      <c r="F219" s="561"/>
      <c r="G219" s="561"/>
      <c r="H219" s="561"/>
      <c r="I219" s="33"/>
      <c r="J219" s="2257" t="s">
        <v>2884</v>
      </c>
      <c r="K219" s="3002"/>
      <c r="L219" s="3003"/>
      <c r="M219" s="3003"/>
      <c r="N219" s="3003"/>
      <c r="O219" s="2323">
        <v>0.15</v>
      </c>
      <c r="P219" s="1440" t="s">
        <v>3596</v>
      </c>
      <c r="V219" s="1023"/>
      <c r="W219" s="1023"/>
    </row>
    <row r="220" spans="1:26" ht="11.25" customHeight="1">
      <c r="A220" s="176"/>
      <c r="B220" s="385" t="s">
        <v>3594</v>
      </c>
      <c r="C220" s="428" t="s">
        <v>4315</v>
      </c>
      <c r="D220" s="33"/>
      <c r="E220" s="33"/>
      <c r="F220" s="561"/>
      <c r="G220" s="561"/>
      <c r="H220" s="561"/>
      <c r="I220" s="33"/>
      <c r="J220" s="2258" t="s">
        <v>2884</v>
      </c>
      <c r="L220" s="1441" t="s">
        <v>4314</v>
      </c>
      <c r="N220" s="1442"/>
      <c r="O220" s="3004">
        <v>43313</v>
      </c>
      <c r="P220" s="3005"/>
      <c r="V220" s="1023"/>
      <c r="W220" s="1023"/>
    </row>
    <row r="221" spans="1:26" ht="2.25" customHeight="1">
      <c r="A221" s="176"/>
      <c r="G221" s="389"/>
      <c r="L221" s="1086"/>
      <c r="V221" s="1023"/>
      <c r="W221" s="1023"/>
    </row>
    <row r="222" spans="1:26" ht="21.75" customHeight="1">
      <c r="A222" s="2962" t="s">
        <v>3823</v>
      </c>
      <c r="B222" s="2960" t="s">
        <v>3821</v>
      </c>
      <c r="C222" s="2961"/>
      <c r="D222" s="2871" t="s">
        <v>7136</v>
      </c>
      <c r="E222" s="2872"/>
      <c r="F222" s="2872"/>
      <c r="G222" s="2872"/>
      <c r="H222" s="2872"/>
      <c r="I222" s="2872"/>
      <c r="J222" s="2872"/>
      <c r="K222" s="2872"/>
      <c r="L222" s="2872"/>
      <c r="M222" s="2872"/>
      <c r="N222" s="2872"/>
      <c r="O222" s="2872"/>
      <c r="P222" s="2873"/>
      <c r="Q222" s="440"/>
      <c r="V222" s="1023"/>
      <c r="W222" s="1023"/>
    </row>
    <row r="223" spans="1:26" ht="22.5" customHeight="1">
      <c r="A223" s="2963"/>
      <c r="B223" s="3000" t="s">
        <v>3822</v>
      </c>
      <c r="C223" s="3001"/>
      <c r="D223" s="2737" t="s">
        <v>7135</v>
      </c>
      <c r="E223" s="2738"/>
      <c r="F223" s="2738"/>
      <c r="G223" s="2738"/>
      <c r="H223" s="2738"/>
      <c r="I223" s="2738"/>
      <c r="J223" s="2738"/>
      <c r="K223" s="2738"/>
      <c r="L223" s="2738"/>
      <c r="M223" s="2738"/>
      <c r="N223" s="2738"/>
      <c r="O223" s="2738"/>
      <c r="P223" s="2739"/>
      <c r="Q223" s="440"/>
      <c r="V223" s="1023"/>
      <c r="W223" s="1023"/>
    </row>
    <row r="224" spans="1:26" ht="22.5" customHeight="1">
      <c r="A224" s="2964"/>
      <c r="B224" s="2995" t="s">
        <v>4365</v>
      </c>
      <c r="C224" s="2996"/>
      <c r="D224" s="2734" t="s">
        <v>7134</v>
      </c>
      <c r="E224" s="2735"/>
      <c r="F224" s="2735"/>
      <c r="G224" s="2735"/>
      <c r="H224" s="2735"/>
      <c r="I224" s="2735"/>
      <c r="J224" s="2735"/>
      <c r="K224" s="2735"/>
      <c r="L224" s="2735"/>
      <c r="M224" s="2735"/>
      <c r="N224" s="2735"/>
      <c r="O224" s="2735"/>
      <c r="P224" s="2736"/>
      <c r="Q224" s="440"/>
      <c r="V224" s="1023"/>
      <c r="W224" s="1023"/>
    </row>
    <row r="225" spans="1:23" ht="11.25" customHeight="1">
      <c r="B225" s="36" t="s">
        <v>3337</v>
      </c>
      <c r="G225" s="3211" t="s">
        <v>2559</v>
      </c>
      <c r="H225" s="3211"/>
      <c r="J225" s="3209">
        <v>996852.75</v>
      </c>
      <c r="K225" s="3210"/>
      <c r="L225" s="4206"/>
      <c r="M225" s="4207"/>
      <c r="V225" s="1023"/>
      <c r="W225" s="1023"/>
    </row>
    <row r="226" spans="1:23" s="43" customFormat="1" ht="11.25" customHeight="1">
      <c r="C226" s="36" t="s">
        <v>3338</v>
      </c>
      <c r="D226" s="2378"/>
      <c r="G226" s="2935">
        <f>'Part IV-A-Uses of Funds'!$G$132</f>
        <v>9959143</v>
      </c>
      <c r="H226" s="2936"/>
      <c r="J226" s="2933">
        <f>IF($J225=0,0,$J225/$G$226)</f>
        <v>0.10009422999549258</v>
      </c>
      <c r="K226" s="2934"/>
      <c r="L226" s="2933">
        <f>IF($L225=0,0,$L225/$G$226)</f>
        <v>0</v>
      </c>
      <c r="M226" s="2934"/>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5"/>
    </row>
    <row r="228" spans="1:23" s="43" customFormat="1" ht="69.75" customHeight="1" thickTop="1" thickBot="1">
      <c r="A228" s="2940" t="s">
        <v>7139</v>
      </c>
      <c r="B228" s="2941"/>
      <c r="C228" s="2941"/>
      <c r="D228" s="2941"/>
      <c r="E228" s="2941"/>
      <c r="F228" s="2941"/>
      <c r="G228" s="2941"/>
      <c r="H228" s="2941"/>
      <c r="I228" s="2941"/>
      <c r="J228" s="2941"/>
      <c r="K228" s="2941"/>
      <c r="L228" s="2941"/>
      <c r="M228" s="2941"/>
      <c r="N228" s="2941"/>
      <c r="O228" s="2941"/>
      <c r="P228" s="2942"/>
      <c r="Q228" s="1027" t="s">
        <v>1228</v>
      </c>
    </row>
    <row r="229" spans="1:23" s="102" customFormat="1" ht="11.4" customHeight="1" thickTop="1">
      <c r="A229" s="42"/>
      <c r="B229" s="97" t="s">
        <v>1819</v>
      </c>
      <c r="C229" s="42"/>
      <c r="D229" s="97"/>
      <c r="E229" s="2382"/>
      <c r="F229" s="2382"/>
      <c r="G229" s="2382"/>
      <c r="H229" s="2382"/>
      <c r="I229" s="2382"/>
      <c r="J229" s="2382"/>
      <c r="K229" s="2382"/>
      <c r="L229" s="2382"/>
      <c r="M229" s="2382"/>
      <c r="N229" s="93"/>
      <c r="O229" s="836"/>
      <c r="P229" s="2375"/>
      <c r="Q229" s="422"/>
    </row>
    <row r="230" spans="1:23" s="43" customFormat="1" ht="11.25" customHeight="1">
      <c r="A230" s="2877"/>
      <c r="B230" s="2878"/>
      <c r="C230" s="2878"/>
      <c r="D230" s="2878"/>
      <c r="E230" s="2878"/>
      <c r="F230" s="2878"/>
      <c r="G230" s="2878"/>
      <c r="H230" s="2878"/>
      <c r="I230" s="2878"/>
      <c r="J230" s="2878"/>
      <c r="K230" s="2878"/>
      <c r="L230" s="2878"/>
      <c r="M230" s="2878"/>
      <c r="N230" s="2878"/>
      <c r="O230" s="2878"/>
      <c r="P230" s="2879"/>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3736</v>
      </c>
      <c r="C232" s="2378"/>
      <c r="D232" s="2378"/>
      <c r="E232" s="2378"/>
      <c r="F232" s="2378"/>
      <c r="G232" s="2378"/>
      <c r="H232" s="2378"/>
      <c r="I232" s="2378"/>
      <c r="J232" s="2378"/>
      <c r="M232" s="846">
        <v>3</v>
      </c>
      <c r="N232" s="74"/>
      <c r="O232" s="70"/>
      <c r="P232" s="4196"/>
      <c r="Q232" s="109" t="s">
        <v>433</v>
      </c>
      <c r="R232" s="974" t="s">
        <v>2625</v>
      </c>
    </row>
    <row r="233" spans="1:23" s="43" customFormat="1" ht="13.5" customHeight="1">
      <c r="A233" s="152"/>
      <c r="B233" s="103" t="s">
        <v>4116</v>
      </c>
      <c r="C233" s="2378"/>
      <c r="D233" s="2378"/>
      <c r="E233" s="2378"/>
      <c r="F233" s="2378"/>
      <c r="G233" s="2378"/>
      <c r="H233" s="2378"/>
      <c r="I233" s="2378"/>
      <c r="J233" s="2378"/>
      <c r="K233" s="2386"/>
      <c r="L233" s="1444" t="str">
        <f>IF(OR(O$150&gt;0,O$265&gt;0),"Applicant is ineligible for points in this section!  Points claimed in VI or IX.","")</f>
        <v/>
      </c>
      <c r="M233" s="846"/>
      <c r="N233" s="74"/>
      <c r="O233" s="2259"/>
      <c r="P233" s="4208"/>
      <c r="Q233" s="109"/>
      <c r="R233" s="2929" t="s">
        <v>4766</v>
      </c>
      <c r="S233" s="2929"/>
      <c r="T233" s="2929"/>
      <c r="U233" s="2929"/>
    </row>
    <row r="234" spans="1:23" s="43" customFormat="1" ht="13.5" customHeight="1">
      <c r="A234" s="152"/>
      <c r="B234" s="113" t="s">
        <v>3737</v>
      </c>
      <c r="C234" s="2378"/>
      <c r="D234" s="2378"/>
      <c r="E234" s="2378"/>
      <c r="F234" s="2378"/>
      <c r="G234" s="2378"/>
      <c r="H234" s="2378"/>
      <c r="I234" s="2378"/>
      <c r="J234" s="2378"/>
      <c r="K234" s="2386" t="s">
        <v>3139</v>
      </c>
      <c r="L234" s="2386" t="s">
        <v>251</v>
      </c>
      <c r="M234" s="846"/>
      <c r="N234" s="74"/>
      <c r="O234" s="70"/>
      <c r="P234" s="70"/>
      <c r="Q234" s="109"/>
      <c r="R234" s="2929"/>
      <c r="S234" s="2929"/>
      <c r="T234" s="2929"/>
      <c r="U234" s="2929"/>
    </row>
    <row r="235" spans="1:23" s="43" customFormat="1" ht="11.25" customHeight="1">
      <c r="A235" s="138"/>
      <c r="C235" s="55" t="s">
        <v>4571</v>
      </c>
      <c r="K235" s="1108">
        <f>$O$193</f>
        <v>7</v>
      </c>
      <c r="L235" s="1109">
        <f>$P$193</f>
        <v>0</v>
      </c>
      <c r="N235" s="455" t="s">
        <v>2371</v>
      </c>
      <c r="O235" s="2256"/>
      <c r="P235" s="518"/>
      <c r="R235" s="2929"/>
      <c r="S235" s="2929"/>
      <c r="T235" s="2929"/>
      <c r="U235" s="2929"/>
    </row>
    <row r="236" spans="1:23" s="43" customFormat="1" ht="11.25" customHeight="1">
      <c r="A236" s="138"/>
      <c r="C236" s="55" t="s">
        <v>4756</v>
      </c>
      <c r="K236" s="1108">
        <f>$O$112</f>
        <v>4</v>
      </c>
      <c r="L236" s="1109">
        <f>$P$112</f>
        <v>0</v>
      </c>
      <c r="N236" s="455" t="s">
        <v>2372</v>
      </c>
      <c r="O236" s="2257"/>
      <c r="P236" s="519"/>
      <c r="R236" s="2929"/>
      <c r="S236" s="2929"/>
      <c r="T236" s="2929"/>
      <c r="U236" s="2929"/>
    </row>
    <row r="237" spans="1:23" s="43" customFormat="1" ht="11.25" customHeight="1">
      <c r="C237" s="55" t="s">
        <v>4572</v>
      </c>
      <c r="N237" s="455" t="s">
        <v>2373</v>
      </c>
      <c r="O237" s="2258"/>
      <c r="P237" s="519"/>
      <c r="R237" s="2929"/>
      <c r="S237" s="2929"/>
      <c r="T237" s="2929"/>
      <c r="U237" s="2929"/>
    </row>
    <row r="238" spans="1:23" s="43" customFormat="1" ht="11.25" customHeight="1">
      <c r="A238" s="138"/>
      <c r="C238" s="55" t="s">
        <v>4757</v>
      </c>
      <c r="K238" s="1433" t="str">
        <f>'Part I-Project Information'!F38</f>
        <v>Columbus</v>
      </c>
      <c r="L238" s="2395"/>
      <c r="N238" s="455" t="s">
        <v>2374</v>
      </c>
      <c r="O238" s="455"/>
      <c r="P238" s="519"/>
      <c r="R238" s="2929"/>
      <c r="S238" s="2929"/>
      <c r="T238" s="2929"/>
      <c r="U238" s="2929"/>
    </row>
    <row r="239" spans="1:23" s="43" customFormat="1" ht="11.25" customHeight="1">
      <c r="A239" s="138"/>
      <c r="C239" s="55" t="s">
        <v>4758</v>
      </c>
      <c r="K239" s="1108">
        <f>$O$150</f>
        <v>0</v>
      </c>
      <c r="L239" s="1109">
        <f>$P$150</f>
        <v>0</v>
      </c>
      <c r="N239" s="455" t="s">
        <v>2375</v>
      </c>
      <c r="O239" s="2256"/>
      <c r="P239" s="519"/>
      <c r="R239" s="2929"/>
      <c r="S239" s="2929"/>
      <c r="T239" s="2929"/>
      <c r="U239" s="2929"/>
    </row>
    <row r="240" spans="1:23" s="43" customFormat="1" ht="11.25" customHeight="1">
      <c r="A240" s="138"/>
      <c r="C240" s="55" t="s">
        <v>4759</v>
      </c>
      <c r="K240" s="1108">
        <f>$O$265</f>
        <v>0</v>
      </c>
      <c r="L240" s="1109">
        <f>$P$265</f>
        <v>0</v>
      </c>
      <c r="N240" s="455" t="s">
        <v>2374</v>
      </c>
      <c r="O240" s="2258"/>
      <c r="P240" s="520"/>
      <c r="R240" s="2929"/>
      <c r="S240" s="2929"/>
      <c r="T240" s="2929"/>
      <c r="U240" s="2929"/>
    </row>
    <row r="241" spans="1:23" s="43" customFormat="1" ht="3" customHeight="1">
      <c r="A241" s="42"/>
      <c r="C241" s="2378"/>
      <c r="D241" s="2378"/>
      <c r="E241" s="2378"/>
      <c r="F241" s="2378"/>
      <c r="G241" s="2378"/>
      <c r="H241" s="2378"/>
      <c r="I241" s="2378"/>
      <c r="J241" s="2378"/>
      <c r="K241" s="2378"/>
      <c r="L241" s="2378"/>
      <c r="M241" s="2378"/>
      <c r="N241" s="74"/>
      <c r="O241" s="70"/>
      <c r="P241" s="846"/>
      <c r="R241" s="2929"/>
      <c r="S241" s="2929"/>
      <c r="T241" s="2929"/>
      <c r="U241" s="2929"/>
    </row>
    <row r="242" spans="1:23" ht="11.25" customHeight="1">
      <c r="A242" s="138" t="s">
        <v>1935</v>
      </c>
      <c r="B242" s="177" t="s">
        <v>3739</v>
      </c>
      <c r="D242" s="33"/>
      <c r="G242" s="465" t="s">
        <v>3592</v>
      </c>
      <c r="N242" s="27"/>
      <c r="O242" s="27"/>
      <c r="P242" s="27"/>
      <c r="Q242" s="983"/>
      <c r="R242" s="2929"/>
      <c r="S242" s="2929"/>
      <c r="T242" s="2929"/>
      <c r="U242" s="2929"/>
    </row>
    <row r="243" spans="1:23" s="33" customFormat="1" ht="11.25" customHeight="1">
      <c r="A243" s="498"/>
      <c r="C243" s="134" t="s">
        <v>3643</v>
      </c>
      <c r="E243" s="2947"/>
      <c r="F243" s="2948"/>
      <c r="G243" s="2948"/>
      <c r="H243" s="2948"/>
      <c r="I243" s="2949"/>
      <c r="J243" s="2391" t="s">
        <v>2624</v>
      </c>
      <c r="K243" s="2983"/>
      <c r="L243" s="2984"/>
      <c r="M243" s="2984"/>
      <c r="N243" s="2984"/>
      <c r="O243" s="2985"/>
      <c r="P243" s="548"/>
      <c r="Q243" s="983"/>
      <c r="R243" s="2929"/>
      <c r="S243" s="2929"/>
      <c r="T243" s="2929"/>
      <c r="U243" s="2929"/>
    </row>
    <row r="244" spans="1:23" s="33" customFormat="1" ht="11.25" customHeight="1">
      <c r="A244" s="498"/>
      <c r="C244" s="134" t="s">
        <v>2143</v>
      </c>
      <c r="E244" s="2930"/>
      <c r="F244" s="2931"/>
      <c r="G244" s="2932"/>
      <c r="H244" s="1716" t="s">
        <v>1679</v>
      </c>
      <c r="I244" s="2324"/>
      <c r="J244" s="428" t="s">
        <v>1755</v>
      </c>
      <c r="K244" s="2930"/>
      <c r="L244" s="2931"/>
      <c r="M244" s="2931"/>
      <c r="N244" s="2931"/>
      <c r="O244" s="2932"/>
      <c r="Q244" s="983"/>
      <c r="R244" s="2929"/>
      <c r="S244" s="2929"/>
      <c r="T244" s="2929"/>
      <c r="U244" s="2929"/>
      <c r="V244" s="1023"/>
      <c r="W244" s="1023"/>
    </row>
    <row r="245" spans="1:23" ht="3" customHeight="1">
      <c r="A245" s="498"/>
      <c r="C245" s="985"/>
      <c r="D245" s="985"/>
      <c r="E245" s="985"/>
      <c r="F245" s="985"/>
      <c r="G245" s="985"/>
      <c r="H245" s="985"/>
      <c r="I245" s="985"/>
      <c r="J245" s="985"/>
      <c r="K245" s="985"/>
      <c r="L245" s="985"/>
      <c r="N245" s="27"/>
      <c r="O245" s="27"/>
      <c r="P245" s="27"/>
      <c r="Q245" s="983"/>
      <c r="R245" s="2929"/>
      <c r="S245" s="2929"/>
      <c r="T245" s="2929"/>
      <c r="U245" s="2929"/>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2929"/>
      <c r="S246" s="2929"/>
      <c r="T246" s="2929"/>
      <c r="U246" s="2929"/>
    </row>
    <row r="247" spans="1:23" s="33" customFormat="1" ht="21.75" customHeight="1">
      <c r="A247" s="2388"/>
      <c r="B247" s="588"/>
      <c r="C247" s="3167" t="s">
        <v>4760</v>
      </c>
      <c r="D247" s="3167"/>
      <c r="E247" s="3167"/>
      <c r="F247" s="3167"/>
      <c r="G247" s="3167"/>
      <c r="H247" s="3167"/>
      <c r="I247" s="3167"/>
      <c r="J247" s="3167"/>
      <c r="K247" s="3167"/>
      <c r="L247" s="3167"/>
      <c r="M247" s="3167"/>
      <c r="N247" s="388" t="s">
        <v>1938</v>
      </c>
      <c r="O247" s="2271"/>
      <c r="P247" s="1089"/>
      <c r="Q247" s="981"/>
      <c r="V247" s="1023"/>
      <c r="W247" s="1023"/>
    </row>
    <row r="248" spans="1:23" ht="11.25" customHeight="1">
      <c r="A248" s="498"/>
      <c r="B248" s="562" t="s">
        <v>1940</v>
      </c>
      <c r="C248" s="985" t="s">
        <v>3740</v>
      </c>
      <c r="D248" s="981"/>
      <c r="E248" s="981"/>
      <c r="F248" s="981"/>
      <c r="G248" s="465" t="s">
        <v>3592</v>
      </c>
      <c r="H248" s="981"/>
      <c r="I248" s="981"/>
      <c r="J248" s="981"/>
      <c r="K248" s="981"/>
      <c r="L248" s="981"/>
      <c r="M248" s="981"/>
      <c r="N248" s="981"/>
      <c r="O248" s="506" t="s">
        <v>2443</v>
      </c>
      <c r="P248" s="506" t="s">
        <v>2443</v>
      </c>
      <c r="Q248" s="981"/>
    </row>
    <row r="249" spans="1:23" ht="21" customHeight="1">
      <c r="A249" s="498"/>
      <c r="B249" s="987"/>
      <c r="C249" s="2943" t="s">
        <v>4573</v>
      </c>
      <c r="D249" s="2943"/>
      <c r="E249" s="2943"/>
      <c r="F249" s="2943"/>
      <c r="G249" s="2943"/>
      <c r="H249" s="2943"/>
      <c r="I249" s="2943"/>
      <c r="J249" s="2943"/>
      <c r="K249" s="2943"/>
      <c r="L249" s="2943"/>
      <c r="M249" s="2943"/>
      <c r="N249" s="388" t="s">
        <v>1940</v>
      </c>
      <c r="O249" s="2271"/>
      <c r="P249" s="1089"/>
      <c r="Q249" s="984"/>
      <c r="V249" s="1023"/>
      <c r="W249" s="1023"/>
    </row>
    <row r="250" spans="1:23" ht="11.25" customHeight="1">
      <c r="A250" s="138"/>
      <c r="B250" s="847" t="s">
        <v>2467</v>
      </c>
      <c r="C250" s="559" t="s">
        <v>3595</v>
      </c>
      <c r="D250" s="33"/>
      <c r="N250" s="27"/>
      <c r="O250" s="27"/>
      <c r="P250" s="27"/>
      <c r="Q250" s="114"/>
    </row>
    <row r="251" spans="1:23" s="33" customFormat="1" ht="21.75" customHeight="1">
      <c r="A251" s="498"/>
      <c r="B251" s="988"/>
      <c r="C251" s="3096" t="s">
        <v>3742</v>
      </c>
      <c r="D251" s="3096"/>
      <c r="E251" s="3096"/>
      <c r="F251" s="3096"/>
      <c r="G251" s="3096"/>
      <c r="H251" s="3096"/>
      <c r="I251" s="3096"/>
      <c r="J251" s="3096"/>
      <c r="K251" s="3096"/>
      <c r="L251" s="3096"/>
      <c r="M251" s="3096"/>
      <c r="N251" s="388" t="s">
        <v>2467</v>
      </c>
      <c r="O251" s="2271"/>
      <c r="P251" s="1089"/>
      <c r="Q251" s="984"/>
      <c r="V251" s="1023"/>
      <c r="W251" s="1023"/>
    </row>
    <row r="252" spans="1:23" s="33" customFormat="1" ht="10.5" customHeight="1">
      <c r="A252" s="498"/>
      <c r="B252" s="988"/>
      <c r="C252" s="2394"/>
      <c r="D252" s="2394"/>
      <c r="E252" s="2394"/>
      <c r="F252" s="2394"/>
      <c r="G252" s="588" t="s">
        <v>4382</v>
      </c>
      <c r="H252" s="2394"/>
      <c r="J252" s="3198"/>
      <c r="K252" s="3199"/>
      <c r="L252" s="2394"/>
      <c r="M252" s="2394"/>
      <c r="N252" s="2394"/>
      <c r="O252" s="2394"/>
      <c r="P252" s="2394"/>
      <c r="Q252" s="984"/>
      <c r="V252" s="1023"/>
      <c r="W252" s="1023"/>
    </row>
    <row r="253" spans="1:23" s="390" customFormat="1" ht="21" customHeight="1">
      <c r="A253" s="1727"/>
      <c r="B253" s="986" t="s">
        <v>2371</v>
      </c>
      <c r="C253" s="3096" t="s">
        <v>3743</v>
      </c>
      <c r="D253" s="3096"/>
      <c r="E253" s="3096"/>
      <c r="F253" s="3096"/>
      <c r="G253" s="3096"/>
      <c r="H253" s="3096"/>
      <c r="I253" s="3096"/>
      <c r="J253" s="3096"/>
      <c r="K253" s="3096"/>
      <c r="L253" s="3096"/>
      <c r="M253" s="3096"/>
      <c r="N253" s="986" t="s">
        <v>2371</v>
      </c>
      <c r="O253" s="2268"/>
      <c r="P253" s="1088"/>
      <c r="Q253" s="1728"/>
      <c r="V253" s="1729"/>
      <c r="W253" s="1729"/>
    </row>
    <row r="254" spans="1:23" s="33" customFormat="1" ht="11.25" customHeight="1">
      <c r="A254" s="498"/>
      <c r="B254" s="385" t="s">
        <v>2372</v>
      </c>
      <c r="C254" s="3167" t="s">
        <v>4316</v>
      </c>
      <c r="D254" s="3167"/>
      <c r="E254" s="3167"/>
      <c r="F254" s="3167"/>
      <c r="G254" s="3167"/>
      <c r="H254" s="3167"/>
      <c r="I254" s="3167"/>
      <c r="J254" s="3167"/>
      <c r="K254" s="3167"/>
      <c r="L254" s="3167"/>
      <c r="M254" s="3167"/>
      <c r="N254" s="385" t="s">
        <v>2372</v>
      </c>
      <c r="O254" s="2258"/>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1937</v>
      </c>
      <c r="B257" s="177" t="s">
        <v>3741</v>
      </c>
      <c r="D257" s="33"/>
      <c r="G257" s="465" t="s">
        <v>3592</v>
      </c>
      <c r="N257" s="27"/>
      <c r="O257" s="506" t="s">
        <v>2443</v>
      </c>
      <c r="P257" s="506" t="s">
        <v>2443</v>
      </c>
      <c r="Q257" s="983"/>
    </row>
    <row r="258" spans="1:24" ht="22.5" customHeight="1">
      <c r="B258" s="562" t="s">
        <v>1938</v>
      </c>
      <c r="C258" s="3162" t="s">
        <v>4574</v>
      </c>
      <c r="D258" s="3162"/>
      <c r="E258" s="3162"/>
      <c r="F258" s="3162"/>
      <c r="G258" s="3162"/>
      <c r="H258" s="3162"/>
      <c r="I258" s="3162"/>
      <c r="J258" s="3162"/>
      <c r="K258" s="3162"/>
      <c r="L258" s="3162"/>
      <c r="M258" s="1070" t="s">
        <v>1937</v>
      </c>
      <c r="N258" s="388" t="s">
        <v>1938</v>
      </c>
      <c r="O258" s="2268"/>
      <c r="P258" s="1088"/>
      <c r="Q258" s="983"/>
      <c r="V258" s="1023"/>
      <c r="W258" s="1023"/>
    </row>
    <row r="259" spans="1:24" s="33" customFormat="1" ht="11.25" customHeight="1">
      <c r="A259" s="498"/>
      <c r="B259" s="562" t="s">
        <v>1940</v>
      </c>
      <c r="C259" s="428" t="s">
        <v>4575</v>
      </c>
      <c r="D259" s="930"/>
      <c r="E259" s="930"/>
      <c r="F259" s="930"/>
      <c r="G259" s="930"/>
      <c r="H259" s="930"/>
      <c r="I259" s="930"/>
      <c r="J259" s="930"/>
      <c r="K259" s="930"/>
      <c r="L259" s="930"/>
      <c r="M259" s="930"/>
      <c r="N259" s="388" t="s">
        <v>1940</v>
      </c>
      <c r="O259" s="2258"/>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7"/>
    </row>
    <row r="261" spans="1:24" s="43" customFormat="1" ht="45.6" customHeight="1" thickTop="1" thickBot="1">
      <c r="A261" s="3206" t="s">
        <v>948</v>
      </c>
      <c r="B261" s="3207"/>
      <c r="C261" s="3207"/>
      <c r="D261" s="3207"/>
      <c r="E261" s="3207"/>
      <c r="F261" s="3207"/>
      <c r="G261" s="3207"/>
      <c r="H261" s="3207"/>
      <c r="I261" s="3207"/>
      <c r="J261" s="3207"/>
      <c r="K261" s="3207"/>
      <c r="L261" s="3207"/>
      <c r="M261" s="3207"/>
      <c r="N261" s="3207"/>
      <c r="O261" s="3207"/>
      <c r="P261" s="3208"/>
      <c r="Q261" s="1027" t="s">
        <v>1228</v>
      </c>
    </row>
    <row r="262" spans="1:24" s="43" customFormat="1" ht="10.5" customHeight="1" thickTop="1">
      <c r="A262" s="42"/>
      <c r="B262" s="85" t="s">
        <v>1819</v>
      </c>
      <c r="C262" s="42"/>
      <c r="D262" s="85"/>
      <c r="E262" s="2378"/>
      <c r="F262" s="2378"/>
      <c r="G262" s="2378"/>
      <c r="H262" s="2378"/>
      <c r="I262" s="2378"/>
      <c r="J262" s="2378"/>
      <c r="K262" s="2378"/>
      <c r="L262" s="2378"/>
      <c r="M262" s="2378"/>
      <c r="N262" s="74"/>
      <c r="O262" s="70"/>
      <c r="P262" s="2375"/>
      <c r="Q262" s="422"/>
    </row>
    <row r="263" spans="1:24" s="43" customFormat="1" ht="22.2" customHeight="1">
      <c r="A263" s="4158"/>
      <c r="B263" s="4159"/>
      <c r="C263" s="4159"/>
      <c r="D263" s="4159"/>
      <c r="E263" s="4159"/>
      <c r="F263" s="4159"/>
      <c r="G263" s="4159"/>
      <c r="H263" s="4159"/>
      <c r="I263" s="4159"/>
      <c r="J263" s="4159"/>
      <c r="K263" s="4159"/>
      <c r="L263" s="4159"/>
      <c r="M263" s="4159"/>
      <c r="N263" s="4159"/>
      <c r="O263" s="4159"/>
      <c r="P263" s="4160"/>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375">
        <v>5</v>
      </c>
      <c r="N265" s="7"/>
      <c r="O265" s="1083">
        <f>O267+O276</f>
        <v>0</v>
      </c>
      <c r="P265" s="1083">
        <f>P267+P276</f>
        <v>0</v>
      </c>
      <c r="Q265" s="109" t="s">
        <v>433</v>
      </c>
      <c r="S265" s="2951" t="s">
        <v>4593</v>
      </c>
      <c r="T265" s="2952"/>
      <c r="U265" s="2953"/>
      <c r="V265" s="43"/>
      <c r="W265" s="43"/>
      <c r="X265" s="43"/>
    </row>
    <row r="266" spans="1:24" s="102" customFormat="1" ht="1.5" customHeight="1">
      <c r="A266" s="152"/>
      <c r="B266" s="106"/>
      <c r="C266" s="92"/>
      <c r="D266" s="59"/>
      <c r="E266" s="59"/>
      <c r="G266" s="172"/>
      <c r="M266" s="560"/>
      <c r="Q266" s="109"/>
      <c r="S266" s="2954"/>
      <c r="T266" s="2955"/>
      <c r="U266" s="2956"/>
      <c r="V266" s="43"/>
      <c r="W266" s="43"/>
      <c r="X266" s="43"/>
    </row>
    <row r="267" spans="1:24" s="102" customFormat="1" ht="11.25" customHeight="1">
      <c r="A267" s="3200" t="s">
        <v>1935</v>
      </c>
      <c r="B267" s="833" t="s">
        <v>4318</v>
      </c>
      <c r="C267" s="92"/>
      <c r="D267" s="59"/>
      <c r="E267" s="59"/>
      <c r="G267" s="465" t="s">
        <v>4730</v>
      </c>
      <c r="I267" s="1719" t="str">
        <f>'Part I-Project Information'!$O$38</f>
        <v>13215002000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9"/>
      <c r="Q267" s="109"/>
      <c r="S267" s="2954"/>
      <c r="T267" s="2955"/>
      <c r="U267" s="2956"/>
      <c r="V267" s="43"/>
      <c r="W267" s="43"/>
      <c r="X267" s="43"/>
    </row>
    <row r="268" spans="1:24" ht="11.4" customHeight="1">
      <c r="A268" s="3200"/>
      <c r="B268" s="110" t="s">
        <v>2702</v>
      </c>
      <c r="C268" s="502"/>
      <c r="D268" s="502"/>
      <c r="G268" s="503" t="str">
        <f>'Part I-Project Information'!$H$105</f>
        <v>Flexible</v>
      </c>
      <c r="N268" s="1438" t="s">
        <v>1935</v>
      </c>
      <c r="O268" s="1112" t="s">
        <v>2443</v>
      </c>
      <c r="P268" s="1112" t="s">
        <v>2443</v>
      </c>
      <c r="S268" s="2954"/>
      <c r="T268" s="2955"/>
      <c r="U268" s="2956"/>
      <c r="V268" s="43"/>
      <c r="W268" s="43"/>
      <c r="X268" s="43"/>
    </row>
    <row r="269" spans="1:24" ht="11.4" customHeight="1">
      <c r="A269" s="3200"/>
      <c r="B269" s="847" t="s">
        <v>1938</v>
      </c>
      <c r="C269" s="433" t="s">
        <v>2608</v>
      </c>
      <c r="E269" s="116"/>
      <c r="M269" s="80"/>
      <c r="N269" s="174" t="s">
        <v>1938</v>
      </c>
      <c r="O269" s="2256"/>
      <c r="P269" s="518"/>
      <c r="Q269" s="2944" t="str">
        <f>IF(AND(O269="Yes",O272="Yes"),"Only 1 or 4 can be 'Yes'!","")</f>
        <v/>
      </c>
      <c r="R269" s="2944"/>
      <c r="S269" s="2954"/>
      <c r="T269" s="2955"/>
      <c r="U269" s="2956"/>
    </row>
    <row r="270" spans="1:24" ht="11.4" customHeight="1">
      <c r="B270" s="847" t="s">
        <v>1940</v>
      </c>
      <c r="C270" s="433" t="s">
        <v>2653</v>
      </c>
      <c r="G270" s="100" t="s">
        <v>2326</v>
      </c>
      <c r="I270" s="2325" t="s">
        <v>4344</v>
      </c>
      <c r="J270" s="433" t="s">
        <v>2654</v>
      </c>
      <c r="L270" s="134" t="s">
        <v>2652</v>
      </c>
      <c r="M270" s="848" t="str">
        <f>IF(O270&gt;I270,"CHECK ACTUAL PERCENT!!!","")</f>
        <v/>
      </c>
      <c r="N270" s="174" t="s">
        <v>1940</v>
      </c>
      <c r="O270" s="2326"/>
      <c r="P270" s="4210"/>
      <c r="Q270" s="2944"/>
      <c r="R270" s="2944"/>
      <c r="S270" s="2954"/>
      <c r="T270" s="2955"/>
      <c r="U270" s="2956"/>
    </row>
    <row r="271" spans="1:24" ht="11.4" customHeight="1">
      <c r="B271" s="847" t="s">
        <v>2467</v>
      </c>
      <c r="C271" s="412" t="s">
        <v>2327</v>
      </c>
      <c r="E271" s="116"/>
      <c r="G271" s="100" t="s">
        <v>2328</v>
      </c>
      <c r="J271" s="3212" t="s">
        <v>4470</v>
      </c>
      <c r="L271" s="428" t="s">
        <v>2647</v>
      </c>
      <c r="M271" s="33"/>
      <c r="N271" s="174" t="s">
        <v>2467</v>
      </c>
      <c r="O271" s="2327" t="s">
        <v>197</v>
      </c>
      <c r="P271" s="4211" t="s">
        <v>197</v>
      </c>
      <c r="Q271" s="2944"/>
      <c r="R271" s="2944"/>
      <c r="S271" s="2954"/>
      <c r="T271" s="2955"/>
      <c r="U271" s="2956"/>
    </row>
    <row r="272" spans="1:24" s="390" customFormat="1" ht="11.4" customHeight="1">
      <c r="B272" s="562" t="s">
        <v>1198</v>
      </c>
      <c r="C272" s="2943" t="s">
        <v>4576</v>
      </c>
      <c r="D272" s="2943"/>
      <c r="E272" s="2943"/>
      <c r="F272" s="2943"/>
      <c r="G272" s="2943"/>
      <c r="H272" s="2943"/>
      <c r="I272" s="2943"/>
      <c r="J272" s="3213"/>
      <c r="K272" s="3212" t="s">
        <v>3744</v>
      </c>
      <c r="M272" s="1074">
        <v>2</v>
      </c>
      <c r="N272" s="174" t="s">
        <v>1198</v>
      </c>
      <c r="O272" s="2389"/>
      <c r="P272" s="2253"/>
      <c r="Q272" s="2944"/>
      <c r="R272" s="2944"/>
      <c r="S272" s="2954"/>
      <c r="T272" s="2955"/>
      <c r="U272" s="2956"/>
    </row>
    <row r="273" spans="1:21" ht="11.4" customHeight="1">
      <c r="B273" s="372"/>
      <c r="C273" s="2943"/>
      <c r="D273" s="2943"/>
      <c r="E273" s="2943"/>
      <c r="F273" s="2943"/>
      <c r="G273" s="2943"/>
      <c r="H273" s="2943"/>
      <c r="I273" s="2943"/>
      <c r="J273" s="3214"/>
      <c r="K273" s="3214"/>
      <c r="L273" s="3151" t="s">
        <v>3780</v>
      </c>
      <c r="M273" s="3152"/>
      <c r="N273" s="116"/>
      <c r="S273" s="2954"/>
      <c r="T273" s="2955"/>
      <c r="U273" s="2956"/>
    </row>
    <row r="274" spans="1:21" ht="23.25" customHeight="1">
      <c r="B274" s="372"/>
      <c r="C274" s="2943"/>
      <c r="D274" s="2943"/>
      <c r="E274" s="2943"/>
      <c r="F274" s="2943"/>
      <c r="G274" s="2943"/>
      <c r="H274" s="2943"/>
      <c r="I274" s="2943"/>
      <c r="J274" s="2328"/>
      <c r="K274" s="2329"/>
      <c r="L274" s="1071">
        <f>O64</f>
        <v>10</v>
      </c>
      <c r="M274" s="1072">
        <f>P64</f>
        <v>0</v>
      </c>
      <c r="N274" s="27"/>
      <c r="S274" s="2957"/>
      <c r="T274" s="2958"/>
      <c r="U274" s="2959"/>
    </row>
    <row r="275" spans="1:21" ht="2.25" customHeight="1">
      <c r="A275" s="505"/>
      <c r="B275" s="847"/>
      <c r="C275" s="412"/>
      <c r="E275" s="116"/>
      <c r="M275" s="1073"/>
      <c r="N275" s="1069"/>
      <c r="O275" s="846"/>
      <c r="P275" s="846"/>
      <c r="S275" s="1808"/>
      <c r="T275" s="1809"/>
      <c r="U275" s="1810"/>
    </row>
    <row r="276" spans="1:21" ht="11.4" customHeight="1">
      <c r="A276" s="1614" t="s">
        <v>1937</v>
      </c>
      <c r="B276" s="847" t="s">
        <v>4319</v>
      </c>
      <c r="C276" s="412"/>
      <c r="E276" s="116"/>
      <c r="G276" s="465" t="s">
        <v>6800</v>
      </c>
      <c r="I276" s="2330"/>
      <c r="K276" s="1438" t="s">
        <v>4611</v>
      </c>
      <c r="L276" s="2331"/>
      <c r="M276" s="1073">
        <v>2</v>
      </c>
      <c r="N276" s="1075" t="s">
        <v>1937</v>
      </c>
      <c r="O276" s="2291"/>
      <c r="P276" s="4205"/>
      <c r="Q276" s="978" t="str">
        <f>IF(O276&lt;=M276,"","*CHECK!*")</f>
        <v/>
      </c>
      <c r="R276" s="974" t="s">
        <v>4767</v>
      </c>
      <c r="S276" s="1811"/>
      <c r="T276" s="1807"/>
      <c r="U276" s="1812"/>
    </row>
    <row r="277" spans="1:21" ht="11.4" customHeight="1">
      <c r="A277" s="505"/>
      <c r="B277" s="847" t="s">
        <v>1938</v>
      </c>
      <c r="C277" s="134" t="s">
        <v>4466</v>
      </c>
      <c r="D277" s="134"/>
      <c r="E277" s="1717"/>
      <c r="F277" s="1720"/>
      <c r="G277" s="134" t="s">
        <v>4320</v>
      </c>
      <c r="H277" s="930"/>
      <c r="I277" s="930"/>
      <c r="J277" s="33"/>
      <c r="K277" s="33"/>
      <c r="L277" s="170" t="s">
        <v>6801</v>
      </c>
      <c r="M277" s="72"/>
      <c r="N277" s="174" t="s">
        <v>1938</v>
      </c>
      <c r="O277" s="2268"/>
      <c r="P277" s="1088"/>
      <c r="Q277" s="978"/>
      <c r="R277" s="974"/>
      <c r="S277" s="1807"/>
      <c r="T277" s="1807"/>
      <c r="U277" s="1807"/>
    </row>
    <row r="278" spans="1:21" ht="11.4" customHeight="1">
      <c r="A278" s="505"/>
      <c r="B278" s="847" t="s">
        <v>1940</v>
      </c>
      <c r="C278" s="134" t="s">
        <v>4467</v>
      </c>
      <c r="D278" s="134"/>
      <c r="E278" s="1717"/>
      <c r="F278" s="1718"/>
      <c r="G278" s="134" t="s">
        <v>4321</v>
      </c>
      <c r="H278" s="930"/>
      <c r="I278" s="930"/>
      <c r="J278" s="33"/>
      <c r="K278" s="33"/>
      <c r="L278" s="170" t="s">
        <v>6801</v>
      </c>
      <c r="M278" s="80"/>
      <c r="N278" s="174" t="s">
        <v>1940</v>
      </c>
      <c r="O278" s="2258"/>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7"/>
    </row>
    <row r="281" spans="1:21" s="43" customFormat="1" ht="34.950000000000003" customHeight="1" thickTop="1" thickBot="1">
      <c r="A281" s="2940" t="s">
        <v>948</v>
      </c>
      <c r="B281" s="2941"/>
      <c r="C281" s="2941"/>
      <c r="D281" s="2941"/>
      <c r="E281" s="2941"/>
      <c r="F281" s="2941"/>
      <c r="G281" s="2941"/>
      <c r="H281" s="2941"/>
      <c r="I281" s="2941"/>
      <c r="J281" s="2941"/>
      <c r="K281" s="2941"/>
      <c r="L281" s="2941"/>
      <c r="M281" s="2941"/>
      <c r="N281" s="2941"/>
      <c r="O281" s="2941"/>
      <c r="P281" s="2942"/>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8"/>
      <c r="F283" s="2378"/>
      <c r="G283" s="2378"/>
      <c r="H283" s="2378"/>
      <c r="I283" s="2378"/>
      <c r="J283" s="2378"/>
      <c r="K283" s="2378"/>
      <c r="L283" s="2378"/>
      <c r="M283" s="2378"/>
      <c r="N283" s="74"/>
      <c r="O283" s="70"/>
      <c r="P283" s="2375"/>
      <c r="Q283" s="422"/>
    </row>
    <row r="284" spans="1:21" s="43" customFormat="1" ht="11.25" customHeight="1">
      <c r="A284" s="4158"/>
      <c r="B284" s="4159"/>
      <c r="C284" s="4159"/>
      <c r="D284" s="4159"/>
      <c r="E284" s="4159"/>
      <c r="F284" s="4159"/>
      <c r="G284" s="4159"/>
      <c r="H284" s="4159"/>
      <c r="I284" s="4159"/>
      <c r="J284" s="4159"/>
      <c r="K284" s="4159"/>
      <c r="L284" s="4159"/>
      <c r="M284" s="4159"/>
      <c r="N284" s="4159"/>
      <c r="O284" s="4159"/>
      <c r="P284" s="4160"/>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4717</v>
      </c>
      <c r="C286" s="412"/>
      <c r="E286" s="116"/>
      <c r="G286" s="1616" t="s">
        <v>3605</v>
      </c>
      <c r="H286" s="2388" t="s">
        <v>3452</v>
      </c>
      <c r="I286" s="1446">
        <f>IF('Part VI-Revenues &amp; Expenses'!$P$67=0,0,'Part VI-Revenues &amp; Expenses'!$P$64/'Part VI-Revenues &amp; Expenses'!$P$67)</f>
        <v>0</v>
      </c>
      <c r="J286" s="1438" t="s">
        <v>4605</v>
      </c>
      <c r="K286" s="2974" t="str">
        <f>'Part I-Project Information'!$K$94</f>
        <v>Income Averaging</v>
      </c>
      <c r="L286" s="2975"/>
      <c r="M286" s="150">
        <v>1</v>
      </c>
      <c r="N286" s="1069"/>
      <c r="O286" s="1041">
        <f>MIN($M$286,SUM(O287:O288))</f>
        <v>1</v>
      </c>
      <c r="P286" s="1041">
        <f>MIN($M$286,SUM(P287:P288))</f>
        <v>0</v>
      </c>
      <c r="Q286" s="109" t="s">
        <v>433</v>
      </c>
    </row>
    <row r="287" spans="1:21" ht="13.8">
      <c r="A287" s="2376" t="s">
        <v>1935</v>
      </c>
      <c r="B287" s="1615" t="s">
        <v>4603</v>
      </c>
      <c r="C287" s="412"/>
      <c r="D287" s="427" t="s">
        <v>4604</v>
      </c>
      <c r="M287" s="72">
        <v>1</v>
      </c>
      <c r="N287" s="455" t="s">
        <v>1935</v>
      </c>
      <c r="O287" s="2332"/>
      <c r="P287" s="4212"/>
      <c r="Q287" s="978" t="str">
        <f>IF(OR($O287=$M287,$O287=0,$O287=""),"","*CHECK!*")</f>
        <v/>
      </c>
      <c r="R287" s="974" t="s">
        <v>4767</v>
      </c>
    </row>
    <row r="288" spans="1:21" ht="13.8">
      <c r="A288" s="2376" t="s">
        <v>1937</v>
      </c>
      <c r="B288" s="1615" t="s">
        <v>4292</v>
      </c>
      <c r="C288" s="412"/>
      <c r="D288" s="427" t="s">
        <v>4723</v>
      </c>
      <c r="M288" s="80">
        <v>1</v>
      </c>
      <c r="N288" s="455" t="s">
        <v>1937</v>
      </c>
      <c r="O288" s="2287">
        <v>1</v>
      </c>
      <c r="P288" s="4182"/>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1819</v>
      </c>
      <c r="C290" s="42"/>
      <c r="D290" s="85"/>
      <c r="E290" s="2378"/>
      <c r="F290" s="2378"/>
      <c r="G290" s="2378"/>
      <c r="H290" s="2378"/>
      <c r="I290" s="2378"/>
      <c r="J290" s="2378"/>
      <c r="K290" s="2378"/>
      <c r="L290" s="2378"/>
      <c r="M290" s="2378"/>
      <c r="N290" s="74"/>
      <c r="O290" s="70"/>
      <c r="P290" s="2375"/>
      <c r="Q290" s="422"/>
    </row>
    <row r="291" spans="1:27" s="43" customFormat="1" ht="11.25" customHeight="1">
      <c r="A291" s="4158"/>
      <c r="B291" s="4159"/>
      <c r="C291" s="4159"/>
      <c r="D291" s="4159"/>
      <c r="E291" s="4159"/>
      <c r="F291" s="4159"/>
      <c r="G291" s="4159"/>
      <c r="H291" s="4159"/>
      <c r="I291" s="4159"/>
      <c r="J291" s="4159"/>
      <c r="K291" s="4159"/>
      <c r="L291" s="4159"/>
      <c r="M291" s="4159"/>
      <c r="N291" s="4159"/>
      <c r="O291" s="4159"/>
      <c r="P291" s="4160"/>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3745</v>
      </c>
      <c r="C293" s="92"/>
      <c r="D293" s="59"/>
      <c r="E293" s="59"/>
      <c r="H293" s="172"/>
      <c r="I293" s="1616" t="s">
        <v>3605</v>
      </c>
      <c r="M293" s="2375">
        <v>10</v>
      </c>
      <c r="N293" s="7"/>
      <c r="O293" s="1041">
        <f>IF(OR(O193&gt;0,O265&gt;0),0,IF(OR(O294="Yes",O295="Yes"),$M$293,0))</f>
        <v>0</v>
      </c>
      <c r="P293" s="1041">
        <f>IF(OR(P193&gt;0,P265&gt;0),0,IF(OR(P294="Yes",P295="Yes"),$M$293,0))</f>
        <v>0</v>
      </c>
      <c r="Q293" s="109" t="s">
        <v>433</v>
      </c>
      <c r="R293" s="2928" t="s">
        <v>4765</v>
      </c>
      <c r="S293" s="2928"/>
      <c r="T293" s="2928"/>
      <c r="U293" s="2928"/>
      <c r="V293" s="2928"/>
    </row>
    <row r="294" spans="1:27" ht="11.25" customHeight="1">
      <c r="A294" s="2376" t="s">
        <v>1935</v>
      </c>
      <c r="B294" s="1076" t="s">
        <v>3598</v>
      </c>
      <c r="D294" s="588"/>
      <c r="E294" s="588"/>
      <c r="F294" s="588"/>
      <c r="G294" s="588"/>
      <c r="H294" s="588"/>
      <c r="I294" s="588"/>
      <c r="J294" s="588"/>
      <c r="K294" s="588"/>
      <c r="L294" s="989"/>
      <c r="M294" s="3215" t="str">
        <f>IF(OR(SUM(T294:T295)&gt;1,SUM(Q294:Q295)&gt;1),"Only one category can be met by other means!","")</f>
        <v/>
      </c>
      <c r="N294" s="455" t="s">
        <v>1935</v>
      </c>
      <c r="O294" s="2256"/>
      <c r="P294" s="518"/>
      <c r="Q294" s="999">
        <f>IF(L294="Yes",1,0)</f>
        <v>0</v>
      </c>
      <c r="R294" s="2928"/>
      <c r="S294" s="2928"/>
      <c r="T294" s="2928"/>
      <c r="U294" s="2928"/>
      <c r="V294" s="2928"/>
    </row>
    <row r="295" spans="1:27" ht="11.25" customHeight="1">
      <c r="A295" s="2376" t="s">
        <v>1937</v>
      </c>
      <c r="B295" s="1076" t="s">
        <v>3599</v>
      </c>
      <c r="D295" s="588"/>
      <c r="L295" s="989"/>
      <c r="M295" s="3215"/>
      <c r="N295" s="455" t="s">
        <v>1937</v>
      </c>
      <c r="O295" s="2258"/>
      <c r="P295" s="520"/>
      <c r="Q295" s="999">
        <f>IF(L295="Yes",1,0)</f>
        <v>0</v>
      </c>
      <c r="R295" s="2928"/>
      <c r="S295" s="2928"/>
      <c r="T295" s="2928"/>
      <c r="U295" s="2928"/>
      <c r="V295" s="2928"/>
    </row>
    <row r="296" spans="1:27" s="43" customFormat="1" ht="10.5" customHeight="1" thickBot="1">
      <c r="A296" s="42"/>
      <c r="B296" s="1132" t="s">
        <v>3566</v>
      </c>
      <c r="C296" s="42"/>
      <c r="D296" s="48"/>
      <c r="E296" s="48"/>
      <c r="F296" s="48"/>
      <c r="G296" s="48"/>
      <c r="H296" s="36"/>
      <c r="I296" s="36"/>
      <c r="J296" s="36"/>
      <c r="K296" s="36"/>
      <c r="M296" s="46"/>
      <c r="N296" s="62"/>
      <c r="O296" s="3"/>
      <c r="P296" s="2377"/>
      <c r="R296" s="2928"/>
      <c r="S296" s="2928"/>
      <c r="T296" s="2928"/>
      <c r="U296" s="2928"/>
      <c r="V296" s="2928"/>
    </row>
    <row r="297" spans="1:27" s="43" customFormat="1" ht="34.950000000000003" customHeight="1" thickTop="1" thickBot="1">
      <c r="A297" s="2940" t="s">
        <v>948</v>
      </c>
      <c r="B297" s="2941"/>
      <c r="C297" s="2941"/>
      <c r="D297" s="2941"/>
      <c r="E297" s="2941"/>
      <c r="F297" s="2941"/>
      <c r="G297" s="2941"/>
      <c r="H297" s="2941"/>
      <c r="I297" s="2941"/>
      <c r="J297" s="2941"/>
      <c r="K297" s="2941"/>
      <c r="L297" s="2941"/>
      <c r="M297" s="2941"/>
      <c r="N297" s="2941"/>
      <c r="O297" s="2941"/>
      <c r="P297" s="2942"/>
      <c r="Q297" s="1027" t="s">
        <v>1228</v>
      </c>
    </row>
    <row r="298" spans="1:27" s="43" customFormat="1" ht="10.5" customHeight="1" thickTop="1">
      <c r="A298" s="42"/>
      <c r="B298" s="85" t="s">
        <v>1819</v>
      </c>
      <c r="C298" s="42"/>
      <c r="D298" s="85"/>
      <c r="E298" s="2378"/>
      <c r="F298" s="2378"/>
      <c r="G298" s="2378"/>
      <c r="H298" s="2378"/>
      <c r="I298" s="2378"/>
      <c r="J298" s="2378"/>
      <c r="K298" s="2378"/>
      <c r="L298" s="2378"/>
      <c r="M298" s="2378"/>
      <c r="N298" s="74"/>
      <c r="O298" s="70"/>
      <c r="P298" s="2375"/>
      <c r="Q298" s="422"/>
    </row>
    <row r="299" spans="1:27" s="43" customFormat="1" ht="11.25" customHeight="1">
      <c r="A299" s="4158"/>
      <c r="B299" s="4159"/>
      <c r="C299" s="4159"/>
      <c r="D299" s="4159"/>
      <c r="E299" s="4159"/>
      <c r="F299" s="4159"/>
      <c r="G299" s="4159"/>
      <c r="H299" s="4159"/>
      <c r="I299" s="4159"/>
      <c r="J299" s="4159"/>
      <c r="K299" s="4159"/>
      <c r="L299" s="4159"/>
      <c r="M299" s="4159"/>
      <c r="N299" s="4159"/>
      <c r="O299" s="4159"/>
      <c r="P299" s="4160"/>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4719</v>
      </c>
      <c r="D301" s="41"/>
      <c r="E301" s="41"/>
      <c r="F301" s="41"/>
      <c r="H301" s="61"/>
      <c r="J301" s="86" t="s">
        <v>2702</v>
      </c>
      <c r="K301" s="48"/>
      <c r="L301" s="587" t="str">
        <f>'Part I-Project Information'!$H$105</f>
        <v>Flexible</v>
      </c>
      <c r="M301" s="2375">
        <v>3</v>
      </c>
      <c r="N301" s="6"/>
      <c r="O301" s="1081">
        <f>IF(AND($L$301="Flexible",$J$302="Yes- w/Master Plan",O303="Yes",O306="Yes",O307="No",O308="Yes",O309="Yes",O310="Yes"),$M301,0)</f>
        <v>0</v>
      </c>
      <c r="P301" s="1081">
        <f>IF(AND($L$301="Flexible", $J$302="Yes- w/Master Plan",P303="Yes",P306="Yes",P307="No",P308="Yes",P309="Yes",P310="Yes"),$M301,0)</f>
        <v>0</v>
      </c>
      <c r="Q301" s="109" t="s">
        <v>433</v>
      </c>
      <c r="R301" s="2950" t="s">
        <v>4577</v>
      </c>
      <c r="S301" s="2950"/>
      <c r="T301" s="2950"/>
      <c r="U301" s="2950"/>
      <c r="V301" s="2950"/>
      <c r="W301" s="1739"/>
      <c r="X301" s="1739"/>
    </row>
    <row r="302" spans="1:27" ht="11.25" customHeight="1">
      <c r="A302" s="2376"/>
      <c r="B302" s="1618" t="s">
        <v>4621</v>
      </c>
      <c r="D302" s="33"/>
      <c r="E302" s="33"/>
      <c r="F302" s="33"/>
      <c r="H302" s="86" t="s">
        <v>3507</v>
      </c>
      <c r="I302" s="427"/>
      <c r="J302" s="3201" t="str">
        <f>'Part I-Project Information'!$O$34</f>
        <v>No</v>
      </c>
      <c r="K302" s="3201"/>
      <c r="L302" s="887">
        <f>'Part I-Project Information'!$O$35</f>
        <v>0</v>
      </c>
      <c r="M302" s="72"/>
      <c r="N302" s="72"/>
      <c r="O302" s="72"/>
      <c r="P302" s="72"/>
      <c r="Q302" s="978" t="str">
        <f>IF(OR($O302=$M302,$O302=0,$O302=""),"","*CHECK!*")</f>
        <v/>
      </c>
      <c r="R302" s="2950"/>
      <c r="S302" s="2950"/>
      <c r="T302" s="2950"/>
      <c r="U302" s="2950"/>
      <c r="V302" s="2950"/>
    </row>
    <row r="303" spans="1:27" s="100" customFormat="1" ht="22.5" customHeight="1">
      <c r="A303" s="435" t="s">
        <v>1935</v>
      </c>
      <c r="B303" s="3096" t="s">
        <v>4620</v>
      </c>
      <c r="C303" s="3096"/>
      <c r="D303" s="3096"/>
      <c r="E303" s="3096"/>
      <c r="F303" s="3096"/>
      <c r="G303" s="3096"/>
      <c r="H303" s="3096"/>
      <c r="I303" s="3096"/>
      <c r="J303" s="3096"/>
      <c r="K303" s="3096"/>
      <c r="L303" s="3096"/>
      <c r="M303" s="3096"/>
      <c r="N303" s="160" t="s">
        <v>1935</v>
      </c>
      <c r="O303" s="2271" t="s">
        <v>6996</v>
      </c>
      <c r="P303" s="1089"/>
      <c r="Q303" s="3205" t="s">
        <v>4622</v>
      </c>
      <c r="R303" s="2943"/>
      <c r="S303" s="2943"/>
      <c r="T303" s="2943"/>
      <c r="U303" s="982"/>
      <c r="V303" s="982"/>
      <c r="W303" s="982"/>
      <c r="X303" s="982"/>
      <c r="Y303" s="982"/>
      <c r="Z303" s="982"/>
      <c r="AA303" s="982"/>
    </row>
    <row r="304" spans="1:27" s="117" customFormat="1" ht="11.25" customHeight="1">
      <c r="A304" s="372"/>
      <c r="B304" s="134" t="s">
        <v>3611</v>
      </c>
      <c r="I304" s="385" t="s">
        <v>4325</v>
      </c>
      <c r="J304" s="2333"/>
      <c r="K304" s="385" t="s">
        <v>599</v>
      </c>
      <c r="L304" s="3202"/>
      <c r="M304" s="3203"/>
      <c r="N304" s="3203"/>
      <c r="O304" s="3203"/>
      <c r="P304" s="3204"/>
      <c r="Q304" s="3205"/>
      <c r="R304" s="2943"/>
      <c r="S304" s="2943"/>
      <c r="T304" s="2943"/>
    </row>
    <row r="305" spans="1:24" s="117" customFormat="1" ht="11.25" customHeight="1">
      <c r="A305" s="372"/>
      <c r="B305" s="134" t="s">
        <v>3641</v>
      </c>
      <c r="I305" s="385" t="s">
        <v>4325</v>
      </c>
      <c r="J305" s="2334"/>
      <c r="K305" s="385" t="s">
        <v>599</v>
      </c>
      <c r="L305" s="3093"/>
      <c r="M305" s="3094"/>
      <c r="N305" s="3094"/>
      <c r="O305" s="3094"/>
      <c r="P305" s="3095"/>
      <c r="Q305" s="3205"/>
      <c r="R305" s="2943"/>
      <c r="S305" s="2943"/>
      <c r="T305" s="2943"/>
    </row>
    <row r="306" spans="1:24" s="117" customFormat="1" ht="11.25" customHeight="1">
      <c r="A306" s="372" t="s">
        <v>1937</v>
      </c>
      <c r="B306" s="117" t="s">
        <v>941</v>
      </c>
      <c r="M306" s="7"/>
      <c r="N306" s="455" t="s">
        <v>1937</v>
      </c>
      <c r="O306" s="2266"/>
      <c r="P306" s="898"/>
      <c r="Q306" s="3205"/>
      <c r="R306" s="2943"/>
      <c r="S306" s="2943"/>
      <c r="T306" s="2943"/>
    </row>
    <row r="307" spans="1:24" s="117" customFormat="1" ht="11.25" customHeight="1">
      <c r="A307" s="372" t="s">
        <v>731</v>
      </c>
      <c r="B307" s="117" t="s">
        <v>942</v>
      </c>
      <c r="M307" s="7"/>
      <c r="N307" s="455" t="s">
        <v>731</v>
      </c>
      <c r="O307" s="2257"/>
      <c r="P307" s="519"/>
      <c r="Q307" s="3205"/>
      <c r="R307" s="2943"/>
      <c r="S307" s="2943"/>
      <c r="T307" s="2943"/>
    </row>
    <row r="308" spans="1:24" s="117" customFormat="1" ht="22.5" customHeight="1">
      <c r="A308" s="435" t="s">
        <v>2064</v>
      </c>
      <c r="B308" s="3096" t="s">
        <v>4623</v>
      </c>
      <c r="C308" s="3096"/>
      <c r="D308" s="3096"/>
      <c r="E308" s="3096"/>
      <c r="F308" s="3096"/>
      <c r="G308" s="3096"/>
      <c r="H308" s="3096"/>
      <c r="I308" s="3096"/>
      <c r="J308" s="3096"/>
      <c r="K308" s="3096"/>
      <c r="L308" s="3096"/>
      <c r="M308" s="3096"/>
      <c r="N308" s="160" t="s">
        <v>2064</v>
      </c>
      <c r="O308" s="2381"/>
      <c r="P308" s="2380"/>
      <c r="Q308" s="3205"/>
      <c r="R308" s="2943"/>
      <c r="S308" s="2943"/>
      <c r="T308" s="2943"/>
    </row>
    <row r="309" spans="1:24" s="117" customFormat="1" ht="11.25" customHeight="1">
      <c r="A309" s="372" t="s">
        <v>1692</v>
      </c>
      <c r="B309" s="134" t="s">
        <v>4326</v>
      </c>
      <c r="M309" s="7"/>
      <c r="N309" s="455" t="s">
        <v>1692</v>
      </c>
      <c r="O309" s="2258"/>
      <c r="P309" s="520"/>
      <c r="Q309" s="3205"/>
      <c r="R309" s="2943"/>
      <c r="S309" s="2943"/>
      <c r="T309" s="2943"/>
    </row>
    <row r="310" spans="1:24" s="117" customFormat="1" ht="11.25" customHeight="1">
      <c r="A310" s="372" t="s">
        <v>1693</v>
      </c>
      <c r="B310" s="117" t="s">
        <v>943</v>
      </c>
      <c r="M310" s="7"/>
      <c r="N310" s="455" t="s">
        <v>1693</v>
      </c>
      <c r="O310" s="2258"/>
      <c r="P310" s="520"/>
      <c r="Q310" s="3205"/>
      <c r="R310" s="2943"/>
      <c r="S310" s="2943"/>
      <c r="T310" s="2943"/>
    </row>
    <row r="311" spans="1:24" s="43" customFormat="1" ht="10.5" customHeight="1" thickBot="1">
      <c r="A311" s="42"/>
      <c r="B311" s="1132" t="s">
        <v>3566</v>
      </c>
      <c r="C311" s="42"/>
      <c r="D311" s="48"/>
      <c r="E311" s="48"/>
      <c r="F311" s="48"/>
      <c r="G311" s="48"/>
      <c r="H311" s="36"/>
      <c r="I311" s="36"/>
      <c r="J311" s="36"/>
      <c r="K311" s="36"/>
      <c r="M311" s="46"/>
      <c r="N311" s="62"/>
      <c r="O311" s="3"/>
      <c r="P311" s="2377"/>
    </row>
    <row r="312" spans="1:24" s="43" customFormat="1" ht="21.75" customHeight="1" thickTop="1" thickBot="1">
      <c r="A312" s="2940" t="s">
        <v>7069</v>
      </c>
      <c r="B312" s="2941"/>
      <c r="C312" s="2941"/>
      <c r="D312" s="2941"/>
      <c r="E312" s="2941"/>
      <c r="F312" s="2941"/>
      <c r="G312" s="2941"/>
      <c r="H312" s="2941"/>
      <c r="I312" s="2941"/>
      <c r="J312" s="2941"/>
      <c r="K312" s="2941"/>
      <c r="L312" s="2941"/>
      <c r="M312" s="2941"/>
      <c r="N312" s="2941"/>
      <c r="O312" s="2941"/>
      <c r="P312" s="2942"/>
      <c r="Q312" s="1027" t="s">
        <v>1228</v>
      </c>
    </row>
    <row r="313" spans="1:24" s="43" customFormat="1" ht="10.5" customHeight="1" thickTop="1">
      <c r="B313" s="85" t="s">
        <v>1819</v>
      </c>
      <c r="C313" s="98"/>
      <c r="D313" s="85"/>
      <c r="E313" s="99"/>
      <c r="F313" s="2378"/>
      <c r="G313" s="2378"/>
      <c r="H313" s="2378"/>
      <c r="I313" s="2378"/>
      <c r="J313" s="2378"/>
      <c r="K313" s="2378"/>
      <c r="L313" s="2378"/>
      <c r="M313" s="2378"/>
      <c r="N313" s="74"/>
      <c r="O313" s="70"/>
      <c r="P313" s="2375"/>
      <c r="Q313" s="422"/>
    </row>
    <row r="314" spans="1:24" s="43" customFormat="1" ht="11.25" customHeight="1">
      <c r="A314" s="2877"/>
      <c r="B314" s="2878"/>
      <c r="C314" s="2878"/>
      <c r="D314" s="2878"/>
      <c r="E314" s="2878"/>
      <c r="F314" s="2878"/>
      <c r="G314" s="2878"/>
      <c r="H314" s="2878"/>
      <c r="I314" s="2878"/>
      <c r="J314" s="2878"/>
      <c r="K314" s="2878"/>
      <c r="L314" s="2878"/>
      <c r="M314" s="2878"/>
      <c r="N314" s="2878"/>
      <c r="O314" s="2878"/>
      <c r="P314" s="287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4606</v>
      </c>
      <c r="D316" s="41"/>
      <c r="E316" s="41"/>
      <c r="F316" s="61" t="s">
        <v>3279</v>
      </c>
      <c r="H316" s="113" t="s">
        <v>4624</v>
      </c>
      <c r="I316" s="33"/>
      <c r="J316" s="848" t="str">
        <f>'Part I-Project Information'!F39</f>
        <v>City Limits</v>
      </c>
      <c r="M316" s="2375">
        <v>5</v>
      </c>
      <c r="N316" s="6"/>
      <c r="O316" s="1041">
        <f>IF(O301&gt;0,0,MIN($M$316,MAX(O318,O322)))</f>
        <v>3</v>
      </c>
      <c r="P316" s="1041">
        <f>IF(P301&gt;0,0,MIN($M$316,MAX(P318,P322)))</f>
        <v>0</v>
      </c>
      <c r="Q316" s="109" t="s">
        <v>433</v>
      </c>
      <c r="R316" s="2926" t="s">
        <v>4577</v>
      </c>
      <c r="S316" s="2926"/>
      <c r="T316" s="2926"/>
      <c r="U316" s="2926"/>
      <c r="V316" s="2926"/>
      <c r="W316" s="1739"/>
      <c r="X316" s="1739"/>
    </row>
    <row r="317" spans="1:24" s="33" customFormat="1" ht="11.25" customHeight="1">
      <c r="A317" s="2376" t="s">
        <v>1935</v>
      </c>
      <c r="B317" s="177" t="s">
        <v>4628</v>
      </c>
      <c r="D317" s="561"/>
      <c r="J317" s="1619" t="str">
        <f>CONCATENATE('Part I-Project Information'!F38,", ",'Part I-Project Information'!J39)</f>
        <v>Columbus, Muscogee</v>
      </c>
      <c r="R317" s="2926"/>
      <c r="S317" s="2926"/>
      <c r="T317" s="2926"/>
      <c r="U317" s="2926"/>
      <c r="V317" s="2926"/>
    </row>
    <row r="318" spans="1:24" s="33" customFormat="1" ht="36" customHeight="1">
      <c r="A318" s="2376"/>
      <c r="B318" s="3118" t="s">
        <v>4636</v>
      </c>
      <c r="C318" s="3118"/>
      <c r="D318" s="3118"/>
      <c r="E318" s="3118"/>
      <c r="F318" s="3118"/>
      <c r="G318" s="3118"/>
      <c r="H318" s="3118"/>
      <c r="I318" s="3118"/>
      <c r="J318" s="3118"/>
      <c r="K318" s="3118"/>
      <c r="L318" s="3118"/>
      <c r="M318" s="1621">
        <v>5</v>
      </c>
      <c r="N318" s="160" t="s">
        <v>1935</v>
      </c>
      <c r="O318" s="1622">
        <f>IF(AND(O319&gt;0,O320&gt;0),"Choose!",IF(O319&gt;0, $M$319,IF(O320&gt;0, $M$320, 0)))</f>
        <v>0</v>
      </c>
      <c r="P318" s="1622">
        <f>IF(AND(P319&gt;0,P320&gt;0),"Choose!",IF(P319&gt;0, $M$319,IF(P320&gt;0, $M$320, 0)))</f>
        <v>0</v>
      </c>
      <c r="R318" s="2926"/>
      <c r="S318" s="2926"/>
      <c r="T318" s="2926"/>
      <c r="U318" s="2926"/>
      <c r="V318" s="2926"/>
    </row>
    <row r="319" spans="1:24" s="33" customFormat="1" ht="11.25" customHeight="1">
      <c r="B319" s="847" t="s">
        <v>1938</v>
      </c>
      <c r="C319" s="559" t="s">
        <v>4626</v>
      </c>
      <c r="L319" s="374" t="str">
        <f>IF(OR($O319=$M319,$O319=0,$O319=""),"","* * Check Score! * *")</f>
        <v/>
      </c>
      <c r="M319" s="72">
        <v>5</v>
      </c>
      <c r="N319" s="430" t="s">
        <v>1938</v>
      </c>
      <c r="O319" s="2335"/>
      <c r="P319" s="4194"/>
      <c r="Q319" s="978" t="str">
        <f>IF(OR($O319=$M319,$O319=0,$O319=""),"","*CHECK!*")</f>
        <v/>
      </c>
      <c r="R319" s="974" t="s">
        <v>4767</v>
      </c>
    </row>
    <row r="320" spans="1:24" ht="11.25" customHeight="1">
      <c r="A320" s="560"/>
      <c r="B320" s="562" t="s">
        <v>1940</v>
      </c>
      <c r="C320" s="434" t="s">
        <v>4627</v>
      </c>
      <c r="D320" s="33"/>
      <c r="E320" s="33"/>
      <c r="F320" s="33"/>
      <c r="G320" s="40"/>
      <c r="H320" s="61"/>
      <c r="I320" s="40"/>
      <c r="L320" s="374" t="str">
        <f>IF(OR($O320=$M320,$O320=0,$O320=""),"","* * Check Score! * *")</f>
        <v/>
      </c>
      <c r="M320" s="80">
        <v>4</v>
      </c>
      <c r="N320" s="851" t="s">
        <v>1940</v>
      </c>
      <c r="O320" s="2287"/>
      <c r="P320" s="4182"/>
      <c r="Q320" s="978" t="str">
        <f>IF(OR($O320=$M320,$O320=0,$O320=""),"","*CHECK!*")</f>
        <v/>
      </c>
      <c r="R320" s="974" t="s">
        <v>4767</v>
      </c>
    </row>
    <row r="321" spans="1:21" s="33" customFormat="1" ht="11.25" customHeight="1">
      <c r="A321" s="2376" t="s">
        <v>1937</v>
      </c>
      <c r="B321" s="177" t="s">
        <v>4629</v>
      </c>
      <c r="D321" s="561"/>
      <c r="F321" s="1620" t="s">
        <v>4625</v>
      </c>
      <c r="H321" s="86" t="s">
        <v>2702</v>
      </c>
      <c r="I321" s="43"/>
      <c r="J321" s="587" t="str">
        <f>'Part I-Project Information'!$H$105</f>
        <v>Flexible</v>
      </c>
    </row>
    <row r="322" spans="1:21" s="33" customFormat="1" ht="11.25" customHeight="1">
      <c r="A322" s="2376"/>
      <c r="B322" s="850" t="s">
        <v>4637</v>
      </c>
      <c r="D322" s="561"/>
      <c r="H322" s="61"/>
      <c r="M322" s="557">
        <v>3</v>
      </c>
      <c r="N322" s="455" t="s">
        <v>1937</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1938</v>
      </c>
      <c r="C323" s="559" t="s">
        <v>4631</v>
      </c>
      <c r="J323" s="1623" t="s">
        <v>4630</v>
      </c>
      <c r="L323" s="2939" t="str">
        <f>IF(OR(AND(O323&gt;0,O324&gt;0), AND(O326&gt;0,O327&gt;0), AND(O323+O324&gt;0,O326+O327&gt;0)),"Choose option 1 or 2 or 3 or 4!!!",IF(AND(J321="Rural", SUM(O326:O327)&gt;0),"Cannot choose options 3 or 4 if in Rural Pool!!!",""))</f>
        <v/>
      </c>
      <c r="M323" s="72">
        <v>3</v>
      </c>
      <c r="N323" s="430" t="s">
        <v>1938</v>
      </c>
      <c r="O323" s="2335">
        <v>3</v>
      </c>
      <c r="P323" s="4194"/>
      <c r="Q323" s="978" t="str">
        <f>IF(OR($O323=$M323,$O323=0,$O323=""),"","*CHECK!*")</f>
        <v/>
      </c>
      <c r="R323" s="974" t="s">
        <v>4767</v>
      </c>
    </row>
    <row r="324" spans="1:21" ht="11.25" customHeight="1">
      <c r="A324" s="560"/>
      <c r="B324" s="562" t="s">
        <v>1940</v>
      </c>
      <c r="C324" s="434" t="s">
        <v>4632</v>
      </c>
      <c r="D324" s="33"/>
      <c r="E324" s="33"/>
      <c r="F324" s="33"/>
      <c r="G324" s="40"/>
      <c r="H324" s="852"/>
      <c r="I324" s="40"/>
      <c r="J324" s="1623" t="s">
        <v>4630</v>
      </c>
      <c r="K324" s="1624"/>
      <c r="L324" s="2939"/>
      <c r="M324" s="80">
        <v>2</v>
      </c>
      <c r="N324" s="851" t="s">
        <v>1940</v>
      </c>
      <c r="O324" s="2287"/>
      <c r="P324" s="4182"/>
      <c r="Q324" s="978" t="str">
        <f>IF(OR($O324=$M324,$O324=0,$O324=""),"","*CHECK!*")</f>
        <v/>
      </c>
      <c r="R324" s="974" t="s">
        <v>4767</v>
      </c>
    </row>
    <row r="325" spans="1:21" ht="22.5" customHeight="1">
      <c r="A325" s="560"/>
      <c r="B325" s="3117" t="s">
        <v>4635</v>
      </c>
      <c r="C325" s="3117"/>
      <c r="D325" s="3117"/>
      <c r="E325" s="3117"/>
      <c r="F325" s="3117"/>
      <c r="G325" s="3117"/>
      <c r="H325" s="3117"/>
      <c r="I325" s="3117"/>
      <c r="J325" s="3117"/>
      <c r="K325" s="3117"/>
      <c r="L325" s="2939"/>
      <c r="M325" s="80"/>
      <c r="N325" s="80"/>
      <c r="O325" s="80"/>
      <c r="P325" s="80"/>
      <c r="Q325" s="978"/>
      <c r="R325" s="1039"/>
    </row>
    <row r="326" spans="1:21" ht="11.25" customHeight="1">
      <c r="A326" s="560"/>
      <c r="B326" s="562" t="s">
        <v>2467</v>
      </c>
      <c r="C326" s="559" t="s">
        <v>4633</v>
      </c>
      <c r="D326" s="33"/>
      <c r="E326" s="33"/>
      <c r="F326" s="33"/>
      <c r="G326" s="40"/>
      <c r="H326" s="852"/>
      <c r="I326" s="40"/>
      <c r="K326" s="1624"/>
      <c r="L326" s="2939"/>
      <c r="M326" s="80">
        <v>3</v>
      </c>
      <c r="N326" s="851" t="s">
        <v>2467</v>
      </c>
      <c r="O326" s="2336"/>
      <c r="P326" s="4213"/>
      <c r="Q326" s="978" t="str">
        <f>IF(OR($O326=$M326,$O326=0,$O326=""),"","*CHECK!*")</f>
        <v/>
      </c>
      <c r="R326" s="974" t="s">
        <v>4767</v>
      </c>
    </row>
    <row r="327" spans="1:21" ht="11.25" customHeight="1">
      <c r="A327" s="560"/>
      <c r="B327" s="562" t="s">
        <v>1198</v>
      </c>
      <c r="C327" s="434" t="s">
        <v>4634</v>
      </c>
      <c r="D327" s="33"/>
      <c r="E327" s="33"/>
      <c r="F327" s="33"/>
      <c r="G327" s="40"/>
      <c r="H327" s="61"/>
      <c r="I327" s="40"/>
      <c r="K327" s="1624"/>
      <c r="L327" s="2939"/>
      <c r="M327" s="80">
        <v>2</v>
      </c>
      <c r="N327" s="851" t="s">
        <v>1198</v>
      </c>
      <c r="O327" s="2287"/>
      <c r="P327" s="4182"/>
      <c r="Q327" s="978" t="str">
        <f>IF(OR($O327=$M327,$O327=0,$O327=""),"","*CHECK!*")</f>
        <v/>
      </c>
      <c r="R327" s="974" t="s">
        <v>4767</v>
      </c>
    </row>
    <row r="328" spans="1:21" s="43" customFormat="1" ht="10.5" customHeight="1" thickBot="1">
      <c r="A328" s="42"/>
      <c r="B328" s="1132" t="s">
        <v>3566</v>
      </c>
      <c r="C328" s="42"/>
      <c r="D328" s="48"/>
      <c r="E328" s="48"/>
      <c r="F328" s="48"/>
      <c r="G328" s="48"/>
      <c r="H328" s="36"/>
      <c r="I328" s="36"/>
      <c r="J328" s="36"/>
      <c r="K328" s="36"/>
      <c r="M328" s="46"/>
      <c r="N328" s="62"/>
      <c r="O328" s="3"/>
      <c r="P328" s="2377"/>
    </row>
    <row r="329" spans="1:21" s="43" customFormat="1" ht="21.75" customHeight="1" thickTop="1" thickBot="1">
      <c r="A329" s="2940" t="s">
        <v>7126</v>
      </c>
      <c r="B329" s="2941"/>
      <c r="C329" s="2941"/>
      <c r="D329" s="2941"/>
      <c r="E329" s="2941"/>
      <c r="F329" s="2941"/>
      <c r="G329" s="2941"/>
      <c r="H329" s="2941"/>
      <c r="I329" s="2941"/>
      <c r="J329" s="2941"/>
      <c r="K329" s="2941"/>
      <c r="L329" s="2941"/>
      <c r="M329" s="2941"/>
      <c r="N329" s="2941"/>
      <c r="O329" s="2941"/>
      <c r="P329" s="2942"/>
      <c r="Q329" s="1027" t="s">
        <v>1228</v>
      </c>
    </row>
    <row r="330" spans="1:21" s="43" customFormat="1" ht="10.5" customHeight="1" thickTop="1">
      <c r="B330" s="85" t="s">
        <v>1819</v>
      </c>
      <c r="C330" s="98"/>
      <c r="D330" s="85"/>
      <c r="E330" s="99"/>
      <c r="F330" s="2378"/>
      <c r="G330" s="2378"/>
      <c r="H330" s="2378"/>
      <c r="I330" s="2378"/>
      <c r="J330" s="2378"/>
      <c r="K330" s="2378"/>
      <c r="L330" s="2378"/>
      <c r="M330" s="2378"/>
      <c r="N330" s="74"/>
      <c r="O330" s="70"/>
      <c r="P330" s="2375"/>
      <c r="Q330" s="422"/>
    </row>
    <row r="331" spans="1:21" s="43" customFormat="1" ht="11.25" customHeight="1">
      <c r="A331" s="2877"/>
      <c r="B331" s="2878"/>
      <c r="C331" s="2878"/>
      <c r="D331" s="2878"/>
      <c r="E331" s="2878"/>
      <c r="F331" s="2878"/>
      <c r="G331" s="2878"/>
      <c r="H331" s="2878"/>
      <c r="I331" s="2878"/>
      <c r="J331" s="2878"/>
      <c r="K331" s="2878"/>
      <c r="L331" s="2878"/>
      <c r="M331" s="2878"/>
      <c r="N331" s="2878"/>
      <c r="O331" s="2878"/>
      <c r="P331" s="2879"/>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4768</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56" t="s">
        <v>2884</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57"/>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58"/>
      <c r="P337" s="520"/>
      <c r="R337" s="387"/>
      <c r="T337" s="1023"/>
      <c r="U337" s="1023"/>
    </row>
    <row r="338" spans="1:21" s="43" customFormat="1" ht="11.25" customHeight="1">
      <c r="A338" s="138" t="s">
        <v>1937</v>
      </c>
      <c r="B338" s="165" t="s">
        <v>4578</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90" t="s">
        <v>4579</v>
      </c>
      <c r="C339" s="2890"/>
      <c r="D339" s="2890"/>
      <c r="E339" s="2890"/>
      <c r="F339" s="2890"/>
      <c r="G339" s="2890"/>
      <c r="H339" s="2890"/>
      <c r="I339" s="2890"/>
      <c r="J339" s="2890"/>
      <c r="K339" s="2890"/>
      <c r="L339" s="2890"/>
      <c r="M339" s="7"/>
      <c r="N339" s="455"/>
      <c r="O339" s="2337" t="s">
        <v>6996</v>
      </c>
      <c r="P339" s="4214"/>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0" t="s">
        <v>4447</v>
      </c>
      <c r="C341" s="2710"/>
      <c r="D341" s="2710"/>
      <c r="E341" s="2710"/>
      <c r="F341" s="2710"/>
      <c r="G341" s="2710"/>
      <c r="H341" s="2710"/>
      <c r="I341" s="2710"/>
      <c r="J341" s="2710"/>
      <c r="K341" s="2710"/>
      <c r="L341" s="2710"/>
      <c r="M341" s="7"/>
      <c r="N341" s="455"/>
      <c r="O341" s="2389" t="s">
        <v>2884</v>
      </c>
      <c r="P341" s="2253"/>
      <c r="Q341" s="387"/>
      <c r="R341" s="374"/>
      <c r="T341" s="1023"/>
      <c r="U341" s="1023"/>
    </row>
    <row r="342" spans="1:21" s="43" customFormat="1" ht="22.5" customHeight="1">
      <c r="B342" s="2710" t="s">
        <v>4448</v>
      </c>
      <c r="C342" s="2710"/>
      <c r="D342" s="2710"/>
      <c r="E342" s="2710"/>
      <c r="F342" s="2710"/>
      <c r="G342" s="2710"/>
      <c r="H342" s="2710"/>
      <c r="I342" s="2710"/>
      <c r="J342" s="2710"/>
      <c r="K342" s="2710"/>
      <c r="L342" s="2710"/>
      <c r="M342" s="7"/>
      <c r="N342" s="7"/>
      <c r="O342" s="7"/>
      <c r="P342" s="7"/>
      <c r="Q342" s="387"/>
      <c r="R342" s="374"/>
      <c r="T342" s="1023"/>
      <c r="U342" s="1023"/>
    </row>
    <row r="343" spans="1:21" s="43" customFormat="1" ht="10.5" customHeight="1">
      <c r="A343" s="42"/>
      <c r="B343" s="85" t="s">
        <v>1819</v>
      </c>
      <c r="C343" s="98"/>
      <c r="D343" s="85"/>
      <c r="E343" s="99"/>
      <c r="F343" s="2378"/>
      <c r="G343" s="2378"/>
      <c r="H343" s="2378"/>
      <c r="I343" s="2378"/>
      <c r="J343" s="2378"/>
      <c r="K343" s="2378"/>
      <c r="L343" s="2378"/>
      <c r="M343" s="2378"/>
      <c r="N343" s="74"/>
      <c r="O343" s="70"/>
      <c r="P343" s="2375"/>
      <c r="Q343" s="422"/>
    </row>
    <row r="344" spans="1:21" s="43" customFormat="1" ht="11.25" customHeight="1">
      <c r="A344" s="2877"/>
      <c r="B344" s="2878"/>
      <c r="C344" s="2878"/>
      <c r="D344" s="2878"/>
      <c r="E344" s="2878"/>
      <c r="F344" s="2878"/>
      <c r="G344" s="2878"/>
      <c r="H344" s="2878"/>
      <c r="I344" s="2878"/>
      <c r="J344" s="2878"/>
      <c r="K344" s="2878"/>
      <c r="L344" s="2878"/>
      <c r="M344" s="2878"/>
      <c r="N344" s="2878"/>
      <c r="O344" s="2878"/>
      <c r="P344" s="2879"/>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2193</v>
      </c>
      <c r="B346" s="106" t="s">
        <v>3746</v>
      </c>
      <c r="C346" s="87"/>
      <c r="D346" s="58"/>
      <c r="E346" s="52"/>
      <c r="G346" s="55"/>
      <c r="M346" s="2375">
        <v>2</v>
      </c>
      <c r="N346" s="6"/>
      <c r="O346" s="6"/>
      <c r="P346" s="1081">
        <f>P347+P355</f>
        <v>0</v>
      </c>
      <c r="Q346" s="109" t="s">
        <v>433</v>
      </c>
    </row>
    <row r="347" spans="1:21" s="43" customFormat="1" ht="12" customHeight="1">
      <c r="A347" s="138" t="s">
        <v>1935</v>
      </c>
      <c r="B347" s="165" t="s">
        <v>3747</v>
      </c>
      <c r="C347" s="87"/>
      <c r="D347" s="58"/>
      <c r="E347" s="52"/>
      <c r="G347" s="1782">
        <f>'Part VIII-Threshold Criteria'!I352</f>
        <v>0</v>
      </c>
      <c r="L347" s="455" t="s">
        <v>4816</v>
      </c>
      <c r="M347" s="1781" t="str">
        <f>'Part I-Project Information'!H100</f>
        <v>No</v>
      </c>
      <c r="N347" s="455" t="s">
        <v>1935</v>
      </c>
      <c r="O347" s="454" t="str">
        <f>'Part I-Project Information'!$H$100</f>
        <v>No</v>
      </c>
      <c r="P347" s="4209"/>
      <c r="Q347" s="109"/>
      <c r="R347" s="1039" t="s">
        <v>2625</v>
      </c>
    </row>
    <row r="348" spans="1:21" s="102" customFormat="1" ht="10.5" customHeight="1">
      <c r="A348" s="138"/>
      <c r="B348" s="372" t="s">
        <v>1938</v>
      </c>
      <c r="C348" s="36" t="s">
        <v>4383</v>
      </c>
      <c r="D348" s="33"/>
      <c r="N348" s="430" t="s">
        <v>4384</v>
      </c>
      <c r="O348" s="2256"/>
      <c r="P348" s="518"/>
      <c r="R348" s="374"/>
    </row>
    <row r="349" spans="1:21" s="102" customFormat="1" ht="10.5" customHeight="1">
      <c r="A349" s="138"/>
      <c r="B349" s="372"/>
      <c r="C349" s="36" t="s">
        <v>4741</v>
      </c>
      <c r="D349" s="33"/>
      <c r="N349" s="430" t="s">
        <v>4385</v>
      </c>
      <c r="O349" s="2257"/>
      <c r="P349" s="519"/>
      <c r="R349" s="374"/>
    </row>
    <row r="350" spans="1:21" s="102" customFormat="1" ht="10.5" customHeight="1">
      <c r="A350" s="138"/>
      <c r="B350" s="372" t="s">
        <v>1940</v>
      </c>
      <c r="C350" s="36" t="s">
        <v>3755</v>
      </c>
      <c r="D350" s="33"/>
      <c r="N350" s="851" t="s">
        <v>1940</v>
      </c>
      <c r="O350" s="2257"/>
      <c r="P350" s="519"/>
      <c r="R350" s="374"/>
    </row>
    <row r="351" spans="1:21" s="102" customFormat="1" ht="10.5" customHeight="1">
      <c r="A351" s="138"/>
      <c r="B351" s="372" t="s">
        <v>2467</v>
      </c>
      <c r="C351" s="36" t="s">
        <v>4386</v>
      </c>
      <c r="D351" s="33"/>
      <c r="N351" s="851" t="s">
        <v>2467</v>
      </c>
      <c r="O351" s="2257"/>
      <c r="P351" s="519"/>
      <c r="R351" s="374"/>
    </row>
    <row r="352" spans="1:21" s="102" customFormat="1" ht="10.5" customHeight="1">
      <c r="B352" s="372" t="s">
        <v>1198</v>
      </c>
      <c r="C352" s="36" t="s">
        <v>4331</v>
      </c>
      <c r="D352" s="33"/>
      <c r="N352" s="851" t="s">
        <v>1198</v>
      </c>
      <c r="O352" s="2257"/>
      <c r="P352" s="519"/>
      <c r="R352" s="374"/>
    </row>
    <row r="353" spans="1:19" s="102" customFormat="1" ht="10.5" customHeight="1">
      <c r="A353" s="138"/>
      <c r="B353" s="372" t="s">
        <v>1199</v>
      </c>
      <c r="C353" s="36" t="s">
        <v>4332</v>
      </c>
      <c r="D353" s="33"/>
      <c r="N353" s="851" t="s">
        <v>1199</v>
      </c>
      <c r="O353" s="2257"/>
      <c r="P353" s="519"/>
      <c r="R353" s="374"/>
    </row>
    <row r="354" spans="1:19" s="102" customFormat="1" ht="10.5" customHeight="1">
      <c r="A354" s="138"/>
      <c r="B354" s="372" t="s">
        <v>1833</v>
      </c>
      <c r="C354" s="36" t="s">
        <v>3756</v>
      </c>
      <c r="D354" s="33"/>
      <c r="N354" s="851" t="s">
        <v>1833</v>
      </c>
      <c r="O354" s="2258"/>
      <c r="P354" s="520"/>
      <c r="R354" s="374"/>
    </row>
    <row r="355" spans="1:19" s="43" customFormat="1" ht="12" customHeight="1">
      <c r="A355" s="138" t="s">
        <v>1937</v>
      </c>
      <c r="B355" s="165" t="s">
        <v>3748</v>
      </c>
      <c r="C355" s="87"/>
      <c r="D355" s="58"/>
      <c r="E355" s="52"/>
      <c r="G355" s="1782">
        <f>'Part I-Project Information'!D164</f>
        <v>0</v>
      </c>
      <c r="I355" s="477"/>
      <c r="L355" s="1112"/>
      <c r="M355" s="1112"/>
      <c r="N355" s="455" t="s">
        <v>1937</v>
      </c>
      <c r="P355" s="4209"/>
      <c r="Q355" s="109"/>
      <c r="R355" s="1039" t="s">
        <v>2625</v>
      </c>
    </row>
    <row r="356" spans="1:19" s="102" customFormat="1" ht="10.5" customHeight="1">
      <c r="A356" s="153"/>
      <c r="B356" s="372" t="s">
        <v>1938</v>
      </c>
      <c r="C356" s="36" t="s">
        <v>4383</v>
      </c>
      <c r="D356" s="52"/>
      <c r="E356" s="52"/>
      <c r="M356" s="2375"/>
      <c r="N356" s="430" t="s">
        <v>4384</v>
      </c>
      <c r="O356" s="2256"/>
      <c r="P356" s="518"/>
      <c r="Q356" s="109"/>
    </row>
    <row r="357" spans="1:19" s="102" customFormat="1" ht="10.5" customHeight="1">
      <c r="A357" s="138"/>
      <c r="B357" s="372"/>
      <c r="C357" s="36" t="s">
        <v>4769</v>
      </c>
      <c r="D357" s="33"/>
      <c r="N357" s="430" t="s">
        <v>4385</v>
      </c>
      <c r="O357" s="2257"/>
      <c r="P357" s="519"/>
      <c r="R357" s="374"/>
    </row>
    <row r="358" spans="1:19" s="102" customFormat="1" ht="10.5" customHeight="1">
      <c r="A358" s="138"/>
      <c r="B358" s="372" t="s">
        <v>1940</v>
      </c>
      <c r="C358" s="36" t="s">
        <v>3767</v>
      </c>
      <c r="D358" s="33"/>
      <c r="N358" s="851" t="s">
        <v>1940</v>
      </c>
      <c r="O358" s="2257"/>
      <c r="P358" s="519"/>
      <c r="R358" s="374"/>
    </row>
    <row r="359" spans="1:19" s="102" customFormat="1" ht="10.5" customHeight="1">
      <c r="B359" s="372" t="s">
        <v>2467</v>
      </c>
      <c r="C359" s="36" t="s">
        <v>3756</v>
      </c>
      <c r="D359" s="33"/>
      <c r="N359" s="851" t="s">
        <v>2467</v>
      </c>
      <c r="O359" s="2258"/>
      <c r="P359" s="520"/>
      <c r="R359" s="374"/>
    </row>
    <row r="360" spans="1:19" s="43" customFormat="1" ht="10.5" customHeight="1">
      <c r="B360" s="85" t="s">
        <v>1819</v>
      </c>
      <c r="C360" s="98"/>
      <c r="D360" s="85"/>
      <c r="E360" s="99"/>
      <c r="F360" s="2378"/>
      <c r="G360" s="2378"/>
      <c r="H360" s="2378"/>
      <c r="I360" s="2378"/>
      <c r="J360" s="2378"/>
      <c r="K360" s="2378"/>
      <c r="L360" s="2378"/>
      <c r="M360" s="2378"/>
      <c r="N360" s="74"/>
      <c r="O360" s="70"/>
      <c r="P360" s="2375"/>
      <c r="Q360" s="422"/>
    </row>
    <row r="361" spans="1:19" s="43" customFormat="1" ht="11.25" customHeight="1">
      <c r="A361" s="2877"/>
      <c r="B361" s="2878"/>
      <c r="C361" s="2878"/>
      <c r="D361" s="2878"/>
      <c r="E361" s="2878"/>
      <c r="F361" s="2878"/>
      <c r="G361" s="2878"/>
      <c r="H361" s="2878"/>
      <c r="I361" s="2878"/>
      <c r="J361" s="2878"/>
      <c r="K361" s="2878"/>
      <c r="L361" s="2878"/>
      <c r="M361" s="2878"/>
      <c r="N361" s="2878"/>
      <c r="O361" s="2878"/>
      <c r="P361" s="2879"/>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2"/>
      <c r="P364" s="4196"/>
      <c r="Q364" s="109" t="s">
        <v>433</v>
      </c>
      <c r="R364" s="2925" t="s">
        <v>4767</v>
      </c>
      <c r="S364" s="2925"/>
    </row>
    <row r="365" spans="1:19" s="43" customFormat="1" ht="11.25" customHeight="1">
      <c r="A365" s="138"/>
      <c r="B365" s="113" t="s">
        <v>3453</v>
      </c>
      <c r="D365" s="88"/>
      <c r="E365" s="88"/>
      <c r="G365" s="52"/>
      <c r="I365" s="3085" t="s">
        <v>6802</v>
      </c>
      <c r="J365" s="3086"/>
      <c r="K365" s="3086"/>
      <c r="L365" s="3087"/>
      <c r="M365" s="426"/>
      <c r="N365" s="393"/>
      <c r="O365" s="1112" t="s">
        <v>2443</v>
      </c>
      <c r="P365" s="1112" t="s">
        <v>2443</v>
      </c>
      <c r="Q365" s="978"/>
      <c r="R365" s="2925"/>
      <c r="S365" s="2925"/>
    </row>
    <row r="366" spans="1:19" s="43" customFormat="1" ht="11.25" customHeight="1">
      <c r="A366" s="138"/>
      <c r="B366" s="372" t="s">
        <v>1938</v>
      </c>
      <c r="C366" s="55" t="s">
        <v>6803</v>
      </c>
      <c r="D366" s="88"/>
      <c r="E366" s="1813" t="s">
        <v>4346</v>
      </c>
      <c r="G366" s="52"/>
      <c r="I366" s="1228"/>
      <c r="J366" s="997"/>
      <c r="K366" s="997"/>
      <c r="L366" s="997"/>
      <c r="M366" s="2390"/>
      <c r="N366" s="1458"/>
      <c r="O366" s="2256"/>
      <c r="P366" s="518"/>
      <c r="Q366" s="1459"/>
      <c r="R366" s="2925"/>
      <c r="S366" s="2925"/>
    </row>
    <row r="367" spans="1:19" s="102" customFormat="1" ht="11.25" customHeight="1">
      <c r="A367" s="138"/>
      <c r="B367" s="51"/>
      <c r="C367" s="36"/>
      <c r="D367" s="51" t="s">
        <v>1326</v>
      </c>
      <c r="E367" s="36" t="s">
        <v>6804</v>
      </c>
      <c r="G367" s="52"/>
      <c r="H367" s="1055"/>
      <c r="I367" s="36"/>
      <c r="J367" s="36"/>
      <c r="K367" s="36"/>
      <c r="L367" s="2338"/>
      <c r="N367" s="1458"/>
      <c r="O367" s="2258"/>
      <c r="P367" s="520"/>
      <c r="Q367" s="1814"/>
      <c r="R367" s="2925"/>
      <c r="S367" s="2925"/>
    </row>
    <row r="368" spans="1:19" s="43" customFormat="1" ht="11.25" customHeight="1">
      <c r="B368" s="372" t="s">
        <v>1940</v>
      </c>
      <c r="C368" s="40" t="s">
        <v>4347</v>
      </c>
      <c r="D368" s="102"/>
      <c r="E368" s="88"/>
      <c r="F368" s="52"/>
      <c r="G368" s="52"/>
      <c r="N368" s="455"/>
      <c r="O368" s="1112" t="s">
        <v>2443</v>
      </c>
      <c r="P368" s="1112" t="s">
        <v>2443</v>
      </c>
    </row>
    <row r="369" spans="1:19" s="117" customFormat="1" ht="10.5" customHeight="1">
      <c r="B369" s="373" t="s">
        <v>2371</v>
      </c>
      <c r="C369" s="428" t="s">
        <v>3749</v>
      </c>
      <c r="H369" s="39"/>
      <c r="I369" s="39"/>
      <c r="J369" s="39"/>
      <c r="K369" s="39"/>
      <c r="N369" s="373" t="s">
        <v>2371</v>
      </c>
      <c r="O369" s="2256"/>
      <c r="P369" s="518"/>
    </row>
    <row r="370" spans="1:19" s="117" customFormat="1" ht="10.5" customHeight="1">
      <c r="B370" s="386" t="s">
        <v>2372</v>
      </c>
      <c r="C370" s="428" t="s">
        <v>3750</v>
      </c>
      <c r="N370" s="386" t="s">
        <v>2372</v>
      </c>
      <c r="O370" s="2257"/>
      <c r="P370" s="519"/>
    </row>
    <row r="371" spans="1:19" s="117" customFormat="1" ht="10.5" customHeight="1">
      <c r="B371" s="373" t="s">
        <v>2373</v>
      </c>
      <c r="C371" s="428" t="s">
        <v>4580</v>
      </c>
      <c r="N371" s="373" t="s">
        <v>2373</v>
      </c>
      <c r="O371" s="2258"/>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5"/>
    </row>
    <row r="375" spans="1:19" s="43" customFormat="1" ht="10.95" customHeight="1" thickTop="1" thickBot="1">
      <c r="A375" s="2940" t="s">
        <v>948</v>
      </c>
      <c r="B375" s="2941"/>
      <c r="C375" s="2941"/>
      <c r="D375" s="2941"/>
      <c r="E375" s="2941"/>
      <c r="F375" s="2941"/>
      <c r="G375" s="2941"/>
      <c r="H375" s="2941"/>
      <c r="I375" s="2941"/>
      <c r="J375" s="2941"/>
      <c r="K375" s="2941"/>
      <c r="L375" s="2941"/>
      <c r="M375" s="2941"/>
      <c r="N375" s="2941"/>
      <c r="O375" s="2941"/>
      <c r="P375" s="2942"/>
      <c r="Q375" s="1027" t="s">
        <v>1228</v>
      </c>
    </row>
    <row r="376" spans="1:19" s="102" customFormat="1" ht="10.5" customHeight="1" thickTop="1">
      <c r="A376" s="42"/>
      <c r="B376" s="97" t="s">
        <v>1819</v>
      </c>
      <c r="C376" s="42"/>
      <c r="D376" s="97"/>
      <c r="E376" s="2382"/>
      <c r="F376" s="2382"/>
      <c r="G376" s="2382"/>
      <c r="H376" s="2382"/>
      <c r="I376" s="2382"/>
      <c r="J376" s="2382"/>
      <c r="K376" s="2382"/>
      <c r="L376" s="2382"/>
      <c r="M376" s="2382"/>
      <c r="N376" s="93"/>
      <c r="O376" s="836"/>
      <c r="P376" s="2375"/>
      <c r="Q376" s="422"/>
    </row>
    <row r="377" spans="1:19" s="43" customFormat="1" ht="11.25" customHeight="1">
      <c r="A377" s="2877"/>
      <c r="B377" s="2878"/>
      <c r="C377" s="2878"/>
      <c r="D377" s="2878"/>
      <c r="E377" s="2878"/>
      <c r="F377" s="2878"/>
      <c r="G377" s="2878"/>
      <c r="H377" s="2878"/>
      <c r="I377" s="2878"/>
      <c r="J377" s="2878"/>
      <c r="K377" s="2878"/>
      <c r="L377" s="2878"/>
      <c r="M377" s="2878"/>
      <c r="N377" s="2878"/>
      <c r="O377" s="2878"/>
      <c r="P377" s="2879"/>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4" t="str">
        <f>IF(OR(O381="No",O381="",O382="No",O382="",O383="No",O383="",O384="No",O384=""),"Unmet criterion results in no points!","")</f>
        <v>Unmet criterion results in no points!</v>
      </c>
      <c r="M381" s="3084"/>
      <c r="N381" s="373" t="s">
        <v>2371</v>
      </c>
      <c r="O381" s="2256" t="s">
        <v>6996</v>
      </c>
      <c r="P381" s="518"/>
      <c r="R381" s="3197" t="str">
        <f>IF(OR(P381="No",P381="",P382="No",P382="",P383="No",P383="",P384="No",P384=""),"Unmet criterion results in no points!","")</f>
        <v>Unmet criterion results in no points!</v>
      </c>
      <c r="S381" s="3197" t="e">
        <f>IF(OR(V381="No",V381="",V382="No",V382="",V383="No",V383="",V384="No",V384="",#REF!="No",#REF!="",#REF!="No",#REF!=""),"Unmet criterion results in no points!","")</f>
        <v>#REF!</v>
      </c>
    </row>
    <row r="382" spans="1:19" s="100" customFormat="1" ht="12.75" customHeight="1">
      <c r="B382" s="373" t="s">
        <v>2372</v>
      </c>
      <c r="C382" s="134" t="s">
        <v>3614</v>
      </c>
      <c r="L382" s="3084"/>
      <c r="M382" s="3084"/>
      <c r="N382" s="373" t="s">
        <v>2372</v>
      </c>
      <c r="O382" s="2257"/>
      <c r="P382" s="519"/>
      <c r="R382" s="3197"/>
      <c r="S382" s="3197"/>
    </row>
    <row r="383" spans="1:19" s="100" customFormat="1" ht="12.75" customHeight="1">
      <c r="B383" s="373" t="s">
        <v>2373</v>
      </c>
      <c r="C383" s="134" t="s">
        <v>3613</v>
      </c>
      <c r="L383" s="3084"/>
      <c r="M383" s="3084"/>
      <c r="N383" s="373" t="s">
        <v>2373</v>
      </c>
      <c r="O383" s="2257"/>
      <c r="P383" s="519"/>
      <c r="R383" s="3197"/>
      <c r="S383" s="3197"/>
    </row>
    <row r="384" spans="1:19" s="100" customFormat="1" ht="33.75" customHeight="1">
      <c r="B384" s="386" t="s">
        <v>2374</v>
      </c>
      <c r="C384" s="3096" t="s">
        <v>4333</v>
      </c>
      <c r="D384" s="3096"/>
      <c r="E384" s="3096"/>
      <c r="F384" s="3096"/>
      <c r="G384" s="3096"/>
      <c r="H384" s="3096"/>
      <c r="I384" s="3096"/>
      <c r="J384" s="3096"/>
      <c r="K384" s="3096"/>
      <c r="L384" s="3096"/>
      <c r="M384" s="3096"/>
      <c r="N384" s="386" t="s">
        <v>2374</v>
      </c>
      <c r="O384" s="2389"/>
      <c r="P384" s="2253"/>
    </row>
    <row r="385" spans="1:20" ht="3" customHeight="1">
      <c r="C385" s="3096"/>
      <c r="D385" s="3096"/>
      <c r="E385" s="3096"/>
      <c r="F385" s="3096"/>
      <c r="G385" s="3096"/>
      <c r="H385" s="3096"/>
      <c r="I385" s="3096"/>
      <c r="J385" s="3096"/>
      <c r="K385" s="3096"/>
      <c r="L385" s="3096"/>
      <c r="M385" s="3096"/>
    </row>
    <row r="386" spans="1:20" ht="12.75" customHeight="1">
      <c r="A386" s="996" t="s">
        <v>1935</v>
      </c>
      <c r="B386" s="177" t="s">
        <v>3753</v>
      </c>
      <c r="L386" s="374" t="str">
        <f>IF(O386&lt;=M386,"","* * Check Score! * *")</f>
        <v/>
      </c>
      <c r="M386" s="1074">
        <v>3</v>
      </c>
      <c r="N386" s="455" t="s">
        <v>1935</v>
      </c>
      <c r="O386" s="2291"/>
      <c r="P386" s="4205"/>
      <c r="Q386" s="978" t="str">
        <f>IF(O386&lt;=M386,"","*CHECK!*")</f>
        <v/>
      </c>
      <c r="R386" s="3196" t="s">
        <v>4767</v>
      </c>
      <c r="S386" s="3196"/>
      <c r="T386" s="1745"/>
    </row>
    <row r="387" spans="1:20" ht="12.75" customHeight="1">
      <c r="A387" s="996"/>
      <c r="B387" s="562" t="s">
        <v>1938</v>
      </c>
      <c r="C387" s="981" t="s">
        <v>4336</v>
      </c>
      <c r="D387" s="981"/>
      <c r="E387" s="981"/>
      <c r="F387" s="981"/>
      <c r="G387" s="981"/>
      <c r="H387" s="981"/>
      <c r="I387" s="981"/>
      <c r="N387" s="27"/>
      <c r="O387" s="27"/>
      <c r="P387" s="27"/>
      <c r="R387" s="3196"/>
      <c r="S387" s="3196"/>
      <c r="T387" s="1745"/>
    </row>
    <row r="388" spans="1:20" ht="12.75" customHeight="1">
      <c r="A388" s="996"/>
      <c r="B388" s="435"/>
      <c r="C388" s="981" t="s">
        <v>4335</v>
      </c>
      <c r="D388" s="981"/>
      <c r="E388" s="981"/>
      <c r="F388" s="981"/>
      <c r="G388" s="981"/>
      <c r="H388" s="981"/>
      <c r="I388" s="981"/>
      <c r="J388" s="3083" t="s">
        <v>1942</v>
      </c>
      <c r="K388" s="3083"/>
      <c r="M388" s="3083" t="s">
        <v>1942</v>
      </c>
      <c r="N388" s="3083"/>
      <c r="O388" s="3083"/>
      <c r="P388" s="3083"/>
      <c r="R388" s="3196"/>
      <c r="S388" s="3196"/>
      <c r="T388" s="1745"/>
    </row>
    <row r="389" spans="1:20" s="43" customFormat="1" ht="12.75" customHeight="1">
      <c r="A389" s="175"/>
      <c r="B389" s="373" t="s">
        <v>2371</v>
      </c>
      <c r="C389" s="36" t="s">
        <v>1451</v>
      </c>
      <c r="I389" s="373" t="s">
        <v>2371</v>
      </c>
      <c r="J389" s="3101"/>
      <c r="K389" s="3102"/>
      <c r="L389" s="373" t="s">
        <v>2371</v>
      </c>
      <c r="M389" s="4215"/>
      <c r="N389" s="4216"/>
      <c r="O389" s="4216"/>
      <c r="P389" s="4217"/>
      <c r="R389" s="374"/>
    </row>
    <row r="390" spans="1:20" ht="12.75" customHeight="1">
      <c r="A390" s="176"/>
      <c r="B390" s="386" t="s">
        <v>2372</v>
      </c>
      <c r="C390" s="36" t="s">
        <v>3456</v>
      </c>
      <c r="I390" s="386" t="s">
        <v>2372</v>
      </c>
      <c r="J390" s="2945"/>
      <c r="K390" s="2946"/>
      <c r="L390" s="386" t="s">
        <v>2372</v>
      </c>
      <c r="M390" s="4218"/>
      <c r="N390" s="4219"/>
      <c r="O390" s="4219"/>
      <c r="P390" s="4220"/>
      <c r="R390" s="374"/>
    </row>
    <row r="391" spans="1:20" ht="12.75" customHeight="1">
      <c r="B391" s="373" t="s">
        <v>2373</v>
      </c>
      <c r="C391" s="36" t="s">
        <v>4581</v>
      </c>
      <c r="I391" s="373" t="s">
        <v>2373</v>
      </c>
      <c r="J391" s="2945"/>
      <c r="K391" s="2946"/>
      <c r="L391" s="373" t="s">
        <v>2373</v>
      </c>
      <c r="M391" s="4218"/>
      <c r="N391" s="4219"/>
      <c r="O391" s="4219"/>
      <c r="P391" s="4220"/>
      <c r="R391" s="374"/>
    </row>
    <row r="392" spans="1:20" ht="12.75" customHeight="1">
      <c r="A392" s="176"/>
      <c r="B392" s="373" t="s">
        <v>2374</v>
      </c>
      <c r="C392" s="36" t="s">
        <v>3343</v>
      </c>
      <c r="I392" s="373" t="s">
        <v>2374</v>
      </c>
      <c r="J392" s="2945"/>
      <c r="K392" s="2946"/>
      <c r="L392" s="373" t="s">
        <v>2374</v>
      </c>
      <c r="M392" s="4218"/>
      <c r="N392" s="4219"/>
      <c r="O392" s="4219"/>
      <c r="P392" s="4220"/>
      <c r="R392" s="374"/>
    </row>
    <row r="393" spans="1:20" s="43" customFormat="1" ht="12.75" customHeight="1">
      <c r="A393" s="175"/>
      <c r="B393" s="386" t="s">
        <v>2375</v>
      </c>
      <c r="C393" s="36" t="s">
        <v>2646</v>
      </c>
      <c r="I393" s="386" t="s">
        <v>2375</v>
      </c>
      <c r="J393" s="2945"/>
      <c r="K393" s="2946"/>
      <c r="L393" s="386" t="s">
        <v>2375</v>
      </c>
      <c r="M393" s="4218"/>
      <c r="N393" s="4219"/>
      <c r="O393" s="4219"/>
      <c r="P393" s="4220"/>
      <c r="R393" s="374"/>
    </row>
    <row r="394" spans="1:20" ht="12.75" customHeight="1">
      <c r="B394" s="373" t="s">
        <v>2391</v>
      </c>
      <c r="C394" s="36" t="s">
        <v>1450</v>
      </c>
      <c r="I394" s="373" t="s">
        <v>2391</v>
      </c>
      <c r="J394" s="2945"/>
      <c r="K394" s="2946"/>
      <c r="L394" s="373" t="s">
        <v>2391</v>
      </c>
      <c r="M394" s="4218"/>
      <c r="N394" s="4219"/>
      <c r="O394" s="4219"/>
      <c r="P394" s="4220"/>
      <c r="R394" s="374"/>
    </row>
    <row r="395" spans="1:20" ht="12.75" customHeight="1">
      <c r="A395" s="176"/>
      <c r="B395" s="373" t="s">
        <v>2392</v>
      </c>
      <c r="C395" s="36" t="s">
        <v>3455</v>
      </c>
      <c r="I395" s="373" t="s">
        <v>2392</v>
      </c>
      <c r="J395" s="2945"/>
      <c r="K395" s="2946"/>
      <c r="L395" s="373" t="s">
        <v>2392</v>
      </c>
      <c r="M395" s="4218"/>
      <c r="N395" s="4219"/>
      <c r="O395" s="4219"/>
      <c r="P395" s="4220"/>
      <c r="R395" s="374"/>
    </row>
    <row r="396" spans="1:20" ht="12.75" customHeight="1">
      <c r="B396" s="385" t="s">
        <v>2393</v>
      </c>
      <c r="C396" s="36" t="s">
        <v>4337</v>
      </c>
      <c r="I396" s="385" t="s">
        <v>2393</v>
      </c>
      <c r="J396" s="2945"/>
      <c r="K396" s="2946"/>
      <c r="L396" s="385" t="s">
        <v>2393</v>
      </c>
      <c r="M396" s="4218"/>
      <c r="N396" s="4219"/>
      <c r="O396" s="4219"/>
      <c r="P396" s="4220"/>
      <c r="R396" s="374"/>
    </row>
    <row r="397" spans="1:20" ht="12.75" customHeight="1">
      <c r="B397" s="385" t="s">
        <v>2394</v>
      </c>
      <c r="C397" s="36" t="s">
        <v>4338</v>
      </c>
      <c r="I397" s="385" t="s">
        <v>2394</v>
      </c>
      <c r="J397" s="2945"/>
      <c r="K397" s="2946"/>
      <c r="L397" s="385" t="s">
        <v>2394</v>
      </c>
      <c r="M397" s="4218"/>
      <c r="N397" s="4219"/>
      <c r="O397" s="4219"/>
      <c r="P397" s="4220"/>
      <c r="R397" s="374"/>
    </row>
    <row r="398" spans="1:20" ht="12.75" customHeight="1" thickBot="1">
      <c r="B398" s="385" t="s">
        <v>3457</v>
      </c>
      <c r="C398" s="36" t="s">
        <v>4339</v>
      </c>
      <c r="I398" s="385" t="s">
        <v>3457</v>
      </c>
      <c r="J398" s="2945"/>
      <c r="K398" s="2946"/>
      <c r="L398" s="385" t="s">
        <v>3457</v>
      </c>
      <c r="M398" s="4221"/>
      <c r="N398" s="4222"/>
      <c r="O398" s="4222"/>
      <c r="P398" s="4223"/>
      <c r="R398" s="374"/>
    </row>
    <row r="399" spans="1:20" ht="12.75" customHeight="1" thickBot="1">
      <c r="B399" s="1110" t="s">
        <v>4340</v>
      </c>
      <c r="H399" s="1131" t="s">
        <v>2558</v>
      </c>
      <c r="J399" s="2937">
        <f>SUM(J389:K398)</f>
        <v>0</v>
      </c>
      <c r="K399" s="2938"/>
      <c r="M399" s="2937">
        <f>SUM($M389:$M398)</f>
        <v>0</v>
      </c>
      <c r="N399" s="3100"/>
      <c r="O399" s="3100"/>
      <c r="P399" s="2938"/>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15" t="s">
        <v>4450</v>
      </c>
      <c r="D402" s="3115"/>
      <c r="E402" s="3115"/>
      <c r="F402" s="428" t="s">
        <v>4372</v>
      </c>
      <c r="H402" s="27"/>
      <c r="I402" s="2339"/>
      <c r="J402" s="3103">
        <f>'Part IV-A-Uses of Funds'!$G$132</f>
        <v>9959143</v>
      </c>
      <c r="K402" s="3104"/>
      <c r="L402" s="524"/>
      <c r="M402" s="492"/>
      <c r="N402" s="492"/>
      <c r="O402" s="1064"/>
      <c r="P402" s="492"/>
    </row>
    <row r="403" spans="1:23" ht="12.75" customHeight="1">
      <c r="C403" s="3115"/>
      <c r="D403" s="3115"/>
      <c r="E403" s="3115"/>
      <c r="F403" s="432" t="s">
        <v>4371</v>
      </c>
      <c r="I403" s="2340"/>
      <c r="J403" s="3110">
        <f>IF($J402=0,0,$J399/$J402)</f>
        <v>0</v>
      </c>
      <c r="K403" s="3111"/>
      <c r="M403" s="3112">
        <f>IF($J402=0,0,$M399/$J402)</f>
        <v>0</v>
      </c>
      <c r="N403" s="3113"/>
      <c r="O403" s="3113"/>
      <c r="P403" s="3114"/>
    </row>
    <row r="404" spans="1:23" s="43" customFormat="1" ht="12.75" customHeight="1">
      <c r="C404" s="3115"/>
      <c r="D404" s="3115"/>
      <c r="E404" s="3115"/>
      <c r="F404" s="1013" t="s">
        <v>4370</v>
      </c>
      <c r="I404" s="2341"/>
      <c r="J404" s="3107">
        <f>IF(L381="", IF($J403&gt;=0.1, 3,IF($J403&gt;=0.05, 2,IF($J403&gt;=0.02,1,0))),0)</f>
        <v>0</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1937</v>
      </c>
      <c r="B406" s="179" t="s">
        <v>3458</v>
      </c>
      <c r="D406" s="39"/>
      <c r="E406" s="36"/>
      <c r="F406" s="846"/>
      <c r="H406" s="36"/>
      <c r="I406" s="846"/>
      <c r="J406" s="856"/>
      <c r="K406" s="856"/>
      <c r="L406" s="374" t="str">
        <f>IF(OR($O406=$M406,$O406=0,$O406=""),"","* * Check Score! * *")</f>
        <v/>
      </c>
      <c r="M406" s="565">
        <v>1</v>
      </c>
      <c r="N406" s="64" t="s">
        <v>1937</v>
      </c>
      <c r="O406" s="2292"/>
      <c r="P406" s="4196"/>
      <c r="Q406" s="109" t="s">
        <v>433</v>
      </c>
      <c r="R406" s="974" t="s">
        <v>4767</v>
      </c>
      <c r="V406" s="1023"/>
      <c r="W406" s="1023"/>
    </row>
    <row r="407" spans="1:23" s="43" customFormat="1" ht="22.5" customHeight="1">
      <c r="A407" s="138"/>
      <c r="B407" s="986" t="s">
        <v>2371</v>
      </c>
      <c r="C407" s="2710" t="s">
        <v>3754</v>
      </c>
      <c r="D407" s="2710"/>
      <c r="E407" s="2710"/>
      <c r="F407" s="2710"/>
      <c r="G407" s="2710"/>
      <c r="H407" s="2710"/>
      <c r="I407" s="2710"/>
      <c r="J407" s="2710"/>
      <c r="K407" s="2710"/>
      <c r="L407" s="2710"/>
      <c r="M407" s="2710"/>
      <c r="N407" s="386" t="s">
        <v>2371</v>
      </c>
      <c r="O407" s="2274"/>
      <c r="P407" s="4224"/>
      <c r="V407" s="1023"/>
      <c r="W407" s="1023"/>
    </row>
    <row r="408" spans="1:23" s="43" customFormat="1" ht="12.75" customHeight="1">
      <c r="A408" s="138"/>
      <c r="B408" s="373" t="s">
        <v>2372</v>
      </c>
      <c r="C408" s="52" t="s">
        <v>3606</v>
      </c>
      <c r="D408" s="52"/>
      <c r="E408" s="52"/>
      <c r="F408" s="52"/>
      <c r="G408" s="52"/>
      <c r="H408" s="52"/>
      <c r="I408" s="52"/>
      <c r="J408" s="52"/>
      <c r="K408" s="52"/>
      <c r="M408" s="52"/>
      <c r="N408" s="386" t="s">
        <v>2372</v>
      </c>
      <c r="O408" s="2258"/>
      <c r="P408" s="520"/>
      <c r="V408" s="1023"/>
      <c r="W408" s="1023"/>
    </row>
    <row r="409" spans="1:23" ht="12.75" customHeight="1">
      <c r="B409" s="373" t="s">
        <v>2373</v>
      </c>
      <c r="C409" s="427" t="s">
        <v>4341</v>
      </c>
      <c r="N409" s="373" t="s">
        <v>2373</v>
      </c>
      <c r="O409" s="2258"/>
      <c r="P409" s="520"/>
    </row>
    <row r="410" spans="1:23" ht="12" customHeight="1" thickBot="1">
      <c r="B410" s="1132" t="s">
        <v>3566</v>
      </c>
    </row>
    <row r="411" spans="1:23" s="43" customFormat="1" ht="21.75" customHeight="1" thickTop="1" thickBot="1">
      <c r="A411" s="2940" t="s">
        <v>948</v>
      </c>
      <c r="B411" s="2941"/>
      <c r="C411" s="2941"/>
      <c r="D411" s="2941"/>
      <c r="E411" s="2941"/>
      <c r="F411" s="2941"/>
      <c r="G411" s="2941"/>
      <c r="H411" s="2941"/>
      <c r="I411" s="2941"/>
      <c r="J411" s="2941"/>
      <c r="K411" s="2941"/>
      <c r="L411" s="2941"/>
      <c r="M411" s="2941"/>
      <c r="N411" s="2941"/>
      <c r="O411" s="2941"/>
      <c r="P411" s="2942"/>
      <c r="Q411" s="1027" t="s">
        <v>1228</v>
      </c>
    </row>
    <row r="412" spans="1:23" s="102" customFormat="1" ht="11.25" customHeight="1" thickTop="1">
      <c r="A412" s="42"/>
      <c r="B412" s="494" t="s">
        <v>1819</v>
      </c>
      <c r="C412" s="98"/>
      <c r="D412" s="97"/>
      <c r="E412" s="2399"/>
      <c r="F412" s="2382"/>
      <c r="G412" s="2382"/>
      <c r="H412" s="2382"/>
      <c r="I412" s="2382"/>
      <c r="J412" s="2382"/>
      <c r="K412" s="2382"/>
      <c r="L412" s="2382"/>
      <c r="M412" s="2382"/>
      <c r="N412" s="93"/>
      <c r="O412" s="836"/>
      <c r="P412" s="2375"/>
      <c r="Q412" s="422"/>
    </row>
    <row r="413" spans="1:23" s="43" customFormat="1" ht="11.25" customHeight="1">
      <c r="A413" s="2877"/>
      <c r="B413" s="2878"/>
      <c r="C413" s="2878"/>
      <c r="D413" s="2878"/>
      <c r="E413" s="2878"/>
      <c r="F413" s="2878"/>
      <c r="G413" s="2878"/>
      <c r="H413" s="2878"/>
      <c r="I413" s="2878"/>
      <c r="J413" s="2878"/>
      <c r="K413" s="2878"/>
      <c r="L413" s="2878"/>
      <c r="M413" s="2878"/>
      <c r="N413" s="2878"/>
      <c r="O413" s="2878"/>
      <c r="P413" s="2879"/>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3782</v>
      </c>
      <c r="B415" s="105" t="s">
        <v>2639</v>
      </c>
      <c r="D415" s="40"/>
      <c r="G415" s="61" t="s">
        <v>3279</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85" t="s">
        <v>4441</v>
      </c>
      <c r="E417" s="3086"/>
      <c r="F417" s="3086"/>
      <c r="G417" s="3086"/>
      <c r="H417" s="3086"/>
      <c r="I417" s="3087"/>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4582</v>
      </c>
      <c r="C419" s="389"/>
      <c r="D419" s="389"/>
      <c r="E419" s="389"/>
      <c r="F419" s="389"/>
      <c r="G419" s="389"/>
      <c r="H419" s="389"/>
      <c r="I419" s="389"/>
      <c r="M419" s="410">
        <v>2</v>
      </c>
      <c r="N419" s="160" t="s">
        <v>1935</v>
      </c>
      <c r="O419" s="2291"/>
      <c r="P419" s="4205"/>
      <c r="Q419" s="978" t="str">
        <f>IF(OR($O419=$M419,$O419=0,$O419=""),"","*CHECK!*")</f>
        <v/>
      </c>
      <c r="R419" s="974" t="s">
        <v>4767</v>
      </c>
    </row>
    <row r="420" spans="1:19" s="409" customFormat="1" ht="12" customHeight="1">
      <c r="A420" s="408"/>
      <c r="B420" s="2723" t="s">
        <v>4584</v>
      </c>
      <c r="C420" s="2723"/>
      <c r="D420" s="2723"/>
      <c r="E420" s="2723"/>
      <c r="F420" s="2723"/>
      <c r="G420" s="2723"/>
      <c r="H420" s="2723"/>
      <c r="I420" s="2723"/>
      <c r="J420" s="2723"/>
      <c r="K420" s="2723"/>
      <c r="L420" s="2723"/>
      <c r="M420" s="3092" t="s">
        <v>4442</v>
      </c>
      <c r="N420" s="3092"/>
      <c r="Q420" s="172"/>
    </row>
    <row r="421" spans="1:19" s="409" customFormat="1" ht="12" customHeight="1">
      <c r="B421" s="2723"/>
      <c r="C421" s="2723"/>
      <c r="D421" s="2723"/>
      <c r="E421" s="2723"/>
      <c r="F421" s="2723"/>
      <c r="G421" s="2723"/>
      <c r="H421" s="2723"/>
      <c r="I421" s="2723"/>
      <c r="J421" s="2723"/>
      <c r="K421" s="2723"/>
      <c r="L421" s="2723"/>
      <c r="M421" s="3092"/>
      <c r="N421" s="3092"/>
      <c r="O421" s="3105">
        <f>'Part VI-Revenues &amp; Expenses'!$P$123</f>
        <v>0</v>
      </c>
      <c r="P421" s="3106"/>
      <c r="Q421" s="172"/>
    </row>
    <row r="422" spans="1:19" s="409" customFormat="1" ht="12" customHeight="1">
      <c r="B422" s="2723"/>
      <c r="C422" s="2723"/>
      <c r="D422" s="2723"/>
      <c r="E422" s="2723"/>
      <c r="F422" s="2723"/>
      <c r="G422" s="2723"/>
      <c r="H422" s="2723"/>
      <c r="I422" s="2723"/>
      <c r="J422" s="2723"/>
      <c r="K422" s="2723"/>
      <c r="L422" s="2723"/>
      <c r="M422" s="983" t="s">
        <v>2730</v>
      </c>
      <c r="N422" s="410"/>
      <c r="O422" s="3090">
        <f>'Part VI-Revenues &amp; Expenses'!$P$67</f>
        <v>48</v>
      </c>
      <c r="P422" s="3091"/>
      <c r="Q422" s="172"/>
    </row>
    <row r="423" spans="1:19" s="409" customFormat="1" ht="12" customHeight="1">
      <c r="B423" s="3116"/>
      <c r="C423" s="3116"/>
      <c r="D423" s="3116"/>
      <c r="E423" s="3116"/>
      <c r="F423" s="3116"/>
      <c r="G423" s="3116"/>
      <c r="H423" s="3116"/>
      <c r="I423" s="3116"/>
      <c r="J423" s="3116"/>
      <c r="K423" s="3116"/>
      <c r="L423" s="3116"/>
      <c r="M423" s="1451" t="s">
        <v>2731</v>
      </c>
      <c r="N423" s="410"/>
      <c r="O423" s="3088">
        <f>IF(O422=0,0,O421/O422)</f>
        <v>0</v>
      </c>
      <c r="P423" s="3089"/>
      <c r="Q423" s="172"/>
    </row>
    <row r="424" spans="1:19" s="43" customFormat="1" ht="66.75" customHeight="1">
      <c r="A424" s="513"/>
      <c r="B424" s="2748" t="s">
        <v>3843</v>
      </c>
      <c r="C424" s="2749"/>
      <c r="D424" s="2749"/>
      <c r="E424" s="2749"/>
      <c r="F424" s="2749"/>
      <c r="G424" s="2749"/>
      <c r="H424" s="2749"/>
      <c r="I424" s="2749"/>
      <c r="J424" s="2749"/>
      <c r="K424" s="2749"/>
      <c r="L424" s="2749"/>
      <c r="M424" s="2749"/>
      <c r="N424" s="2749"/>
      <c r="O424" s="2749"/>
      <c r="P424" s="2750"/>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4583</v>
      </c>
      <c r="C426" s="139"/>
      <c r="D426" s="835"/>
      <c r="H426" s="389"/>
      <c r="M426" s="410">
        <v>2</v>
      </c>
      <c r="N426" s="160" t="s">
        <v>1937</v>
      </c>
      <c r="O426" s="2291"/>
      <c r="P426" s="4205"/>
      <c r="Q426" s="978" t="str">
        <f>IF(OR($O426=$M426,$O426=0,$O426=""),"","*CHECK!*")</f>
        <v/>
      </c>
      <c r="R426" s="974" t="s">
        <v>4767</v>
      </c>
    </row>
    <row r="427" spans="1:19" s="409" customFormat="1" ht="11.25" customHeight="1">
      <c r="A427" s="514"/>
      <c r="B427" s="2710" t="s">
        <v>4342</v>
      </c>
      <c r="C427" s="2710"/>
      <c r="D427" s="2710"/>
      <c r="E427" s="2710"/>
      <c r="F427" s="2710"/>
      <c r="G427" s="2710"/>
      <c r="H427" s="2710"/>
      <c r="I427" s="2710"/>
      <c r="J427" s="2710"/>
      <c r="K427" s="2710"/>
      <c r="L427" s="2710"/>
      <c r="M427" s="1504" t="s">
        <v>4343</v>
      </c>
      <c r="O427" s="3098">
        <f>'Part VI-Revenues &amp; Expenses'!$P$125</f>
        <v>0</v>
      </c>
      <c r="P427" s="3099"/>
      <c r="Q427" s="172"/>
    </row>
    <row r="428" spans="1:19" s="409" customFormat="1" ht="11.25" customHeight="1">
      <c r="A428" s="514"/>
      <c r="B428" s="2710"/>
      <c r="C428" s="2710"/>
      <c r="D428" s="2710"/>
      <c r="E428" s="2710"/>
      <c r="F428" s="2710"/>
      <c r="G428" s="2710"/>
      <c r="H428" s="2710"/>
      <c r="I428" s="2710"/>
      <c r="J428" s="2710"/>
      <c r="K428" s="2710"/>
      <c r="L428" s="2710"/>
      <c r="M428" s="1146" t="s">
        <v>2730</v>
      </c>
      <c r="N428" s="410"/>
      <c r="O428" s="3090">
        <f>'Part VI-Revenues &amp; Expenses'!$P$67</f>
        <v>48</v>
      </c>
      <c r="P428" s="3091"/>
      <c r="Q428" s="172"/>
    </row>
    <row r="429" spans="1:19" s="409" customFormat="1" ht="11.25" customHeight="1">
      <c r="A429" s="514"/>
      <c r="B429" s="2710"/>
      <c r="C429" s="2710"/>
      <c r="D429" s="2710"/>
      <c r="E429" s="2710"/>
      <c r="F429" s="2710"/>
      <c r="G429" s="2710"/>
      <c r="H429" s="2710"/>
      <c r="I429" s="2710"/>
      <c r="J429" s="2710"/>
      <c r="K429" s="2710"/>
      <c r="L429" s="2710"/>
      <c r="M429" s="1451" t="s">
        <v>2731</v>
      </c>
      <c r="N429" s="410"/>
      <c r="O429" s="3088">
        <f>IF(O428=0,0,L415/O428)</f>
        <v>0</v>
      </c>
      <c r="P429" s="3089"/>
      <c r="Q429" s="172"/>
    </row>
    <row r="430" spans="1:19" s="43" customFormat="1" ht="11.25" customHeight="1" thickBot="1">
      <c r="A430" s="42"/>
      <c r="B430" s="1132" t="s">
        <v>3566</v>
      </c>
      <c r="C430" s="42"/>
      <c r="D430" s="48"/>
      <c r="E430" s="48"/>
      <c r="F430" s="48"/>
      <c r="G430" s="48"/>
      <c r="H430" s="36"/>
      <c r="I430" s="36"/>
      <c r="J430" s="36"/>
      <c r="K430" s="36"/>
      <c r="M430" s="46"/>
      <c r="N430" s="62"/>
      <c r="O430" s="3"/>
      <c r="P430" s="2377"/>
    </row>
    <row r="431" spans="1:19" s="43" customFormat="1" ht="66.599999999999994" customHeight="1" thickTop="1" thickBot="1">
      <c r="A431" s="2940" t="s">
        <v>948</v>
      </c>
      <c r="B431" s="2941"/>
      <c r="C431" s="2941"/>
      <c r="D431" s="2941"/>
      <c r="E431" s="2941"/>
      <c r="F431" s="2941"/>
      <c r="G431" s="2941"/>
      <c r="H431" s="2941"/>
      <c r="I431" s="2941"/>
      <c r="J431" s="2941"/>
      <c r="K431" s="2941"/>
      <c r="L431" s="2941"/>
      <c r="M431" s="2941"/>
      <c r="N431" s="2941"/>
      <c r="O431" s="2941"/>
      <c r="P431" s="2942"/>
      <c r="Q431" s="1027" t="s">
        <v>1228</v>
      </c>
      <c r="R431" s="441"/>
    </row>
    <row r="432" spans="1:19" s="43" customFormat="1" ht="10.5" customHeight="1" thickTop="1">
      <c r="B432" s="85" t="s">
        <v>1819</v>
      </c>
      <c r="C432" s="98"/>
      <c r="D432" s="85"/>
      <c r="E432" s="99"/>
      <c r="F432" s="2378"/>
      <c r="G432" s="2378"/>
      <c r="H432" s="2378"/>
      <c r="I432" s="2378"/>
      <c r="J432" s="2378"/>
      <c r="K432" s="2378"/>
      <c r="L432" s="2378"/>
      <c r="M432" s="2378"/>
      <c r="N432" s="74"/>
      <c r="O432" s="70"/>
      <c r="P432" s="2375"/>
      <c r="Q432" s="422"/>
    </row>
    <row r="433" spans="1:18" s="43" customFormat="1" ht="22.2" customHeight="1">
      <c r="A433" s="2877"/>
      <c r="B433" s="2878"/>
      <c r="C433" s="2878"/>
      <c r="D433" s="2878"/>
      <c r="E433" s="2878"/>
      <c r="F433" s="2878"/>
      <c r="G433" s="2878"/>
      <c r="H433" s="2878"/>
      <c r="I433" s="2878"/>
      <c r="J433" s="2878"/>
      <c r="K433" s="2878"/>
      <c r="L433" s="2878"/>
      <c r="M433" s="2878"/>
      <c r="N433" s="2878"/>
      <c r="O433" s="2878"/>
      <c r="P433" s="2879"/>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3785</v>
      </c>
      <c r="B435" s="105" t="s">
        <v>4718</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3483</v>
      </c>
      <c r="D437" s="45"/>
      <c r="E437" s="45"/>
      <c r="F437" s="39"/>
      <c r="G437" s="36"/>
      <c r="I437" s="36"/>
      <c r="J437" s="36"/>
      <c r="K437" s="36"/>
      <c r="L437" s="374"/>
      <c r="M437" s="2375"/>
      <c r="N437" s="6"/>
      <c r="O437" s="1087">
        <v>10</v>
      </c>
      <c r="P437" s="1087">
        <v>10</v>
      </c>
      <c r="Q437" s="109"/>
    </row>
    <row r="438" spans="1:18" s="102" customFormat="1" ht="10.5" customHeight="1">
      <c r="A438" s="153"/>
      <c r="B438" s="86" t="s">
        <v>3484</v>
      </c>
      <c r="D438" s="45"/>
      <c r="E438" s="45"/>
      <c r="F438" s="39"/>
      <c r="G438" s="36"/>
      <c r="I438" s="36"/>
      <c r="J438" s="36"/>
      <c r="K438" s="36"/>
      <c r="L438" s="374"/>
      <c r="M438" s="2375"/>
      <c r="N438" s="6"/>
      <c r="O438" s="2342"/>
      <c r="P438" s="4212"/>
      <c r="Q438" s="109"/>
    </row>
    <row r="439" spans="1:18" s="102" customFormat="1" ht="10.5" customHeight="1">
      <c r="A439" s="153"/>
      <c r="B439" s="86" t="s">
        <v>3485</v>
      </c>
      <c r="D439" s="45"/>
      <c r="E439" s="45"/>
      <c r="F439" s="39"/>
      <c r="G439" s="36"/>
      <c r="I439" s="36"/>
      <c r="J439" s="36"/>
      <c r="K439" s="36"/>
      <c r="L439" s="374"/>
      <c r="M439" s="2375"/>
      <c r="N439" s="6"/>
      <c r="O439" s="2343"/>
      <c r="P439" s="4182"/>
      <c r="Q439" s="109"/>
    </row>
    <row r="440" spans="1:18" s="102" customFormat="1" ht="10.5" customHeight="1">
      <c r="A440" s="66"/>
      <c r="B440" s="66" t="s">
        <v>1819</v>
      </c>
      <c r="C440" s="50"/>
      <c r="D440" s="66"/>
      <c r="E440" s="2382"/>
      <c r="F440" s="2382"/>
      <c r="G440" s="2382"/>
      <c r="H440" s="2382"/>
      <c r="I440" s="2382"/>
      <c r="J440" s="2382"/>
      <c r="K440" s="2382"/>
      <c r="L440" s="2382"/>
      <c r="M440" s="2382"/>
      <c r="N440" s="93"/>
      <c r="O440" s="836"/>
      <c r="P440" s="2375"/>
    </row>
    <row r="441" spans="1:18" s="43" customFormat="1" ht="10.95" customHeight="1">
      <c r="A441" s="2877"/>
      <c r="B441" s="2878"/>
      <c r="C441" s="2878"/>
      <c r="D441" s="2878"/>
      <c r="E441" s="2878"/>
      <c r="F441" s="2878"/>
      <c r="G441" s="2878"/>
      <c r="H441" s="2878"/>
      <c r="I441" s="2878"/>
      <c r="J441" s="2878"/>
      <c r="K441" s="2878"/>
      <c r="L441" s="2878"/>
      <c r="M441" s="2878"/>
      <c r="N441" s="2878"/>
      <c r="O441" s="2878"/>
      <c r="P441" s="2879"/>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5"/>
      <c r="O444" s="2375"/>
      <c r="P444" s="453">
        <f>P232</f>
        <v>0</v>
      </c>
    </row>
    <row r="445" spans="1:18" s="42" customFormat="1" ht="11.25" customHeight="1">
      <c r="A445" s="54"/>
      <c r="B445" s="67"/>
      <c r="C445" s="54"/>
      <c r="D445" s="35"/>
      <c r="E445" s="35"/>
      <c r="F445" s="69"/>
      <c r="G445" s="69"/>
      <c r="H445" s="165" t="s">
        <v>3838</v>
      </c>
      <c r="J445" s="68"/>
      <c r="K445" s="68"/>
      <c r="L445" s="43"/>
      <c r="M445" s="35"/>
      <c r="N445" s="2375"/>
      <c r="O445" s="453"/>
      <c r="P445" s="453">
        <f>P346</f>
        <v>0</v>
      </c>
    </row>
    <row r="446" spans="1:18" s="43" customFormat="1" ht="11.25" customHeight="1">
      <c r="A446" s="42"/>
      <c r="D446" s="39"/>
      <c r="E446" s="36"/>
      <c r="F446" s="846"/>
      <c r="H446" s="165" t="s">
        <v>3840</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097" t="s">
        <v>6848</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07" t="s">
        <v>7140</v>
      </c>
      <c r="B449" s="2708"/>
      <c r="C449" s="2708"/>
      <c r="D449" s="2708"/>
      <c r="E449" s="2708"/>
      <c r="F449" s="2708"/>
      <c r="G449" s="2708"/>
      <c r="H449" s="2708"/>
      <c r="I449" s="2708"/>
      <c r="J449" s="2708"/>
      <c r="K449" s="2708"/>
      <c r="L449" s="2708"/>
      <c r="M449" s="2708"/>
      <c r="N449" s="2708"/>
      <c r="O449" s="2708"/>
      <c r="P449" s="2709"/>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27" t="s">
        <v>1472</v>
      </c>
      <c r="H469" s="2927"/>
      <c r="I469" s="2927"/>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4773</v>
      </c>
      <c r="H470" s="1769" t="s">
        <v>4774</v>
      </c>
      <c r="I470" s="1768" t="s">
        <v>4772</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3576</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4776</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4775</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4775</v>
      </c>
      <c r="J475" s="1769" t="s">
        <v>3577</v>
      </c>
      <c r="K475" s="446"/>
      <c r="L475" s="1772"/>
      <c r="M475" s="446"/>
      <c r="N475" s="447"/>
      <c r="O475" s="1760">
        <v>1</v>
      </c>
      <c r="P475" s="1760"/>
      <c r="Q475" s="1761"/>
      <c r="R475" s="1762"/>
      <c r="S475" s="1762"/>
      <c r="T475" s="1762"/>
    </row>
    <row r="476" spans="3:20" s="158" customFormat="1">
      <c r="C476" s="1770" t="s">
        <v>2701</v>
      </c>
      <c r="D476" s="446"/>
      <c r="E476" s="446"/>
      <c r="F476" s="446"/>
      <c r="G476" s="1771" t="s">
        <v>3612</v>
      </c>
      <c r="H476" s="447">
        <v>2019</v>
      </c>
      <c r="I476" s="447" t="s">
        <v>4775</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4776</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4776</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4775</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4775</v>
      </c>
      <c r="J486" s="1773" t="s">
        <v>3587</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4775</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2614</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4775</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4776</v>
      </c>
      <c r="I494" s="1768" t="s">
        <v>2614</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2614</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2614</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4775</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4775</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4776</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4776</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lU7n3xlnMCPRby7EGTmsSa8a83DxchjA0m3C8jxCom/ZaJrTiRVJge+lVvmwwu602qbkNHWgZN3QFuqBDffP2A==" saltValue="QexBX5yzP8Q3Qlf92BzQC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6" t="s">
        <v>2809</v>
      </c>
      <c r="B1" s="3216"/>
      <c r="C1" s="3216"/>
      <c r="D1" s="3216"/>
      <c r="E1" s="3216"/>
      <c r="F1" s="3216"/>
      <c r="G1" s="3216"/>
      <c r="H1" s="3216"/>
      <c r="I1" s="3216"/>
      <c r="J1" s="3216"/>
    </row>
    <row r="2" spans="1:16" ht="15.6">
      <c r="A2" s="3216" t="str">
        <f>'Sensitivity Analysis'!C8</f>
        <v>Boxwood Heights</v>
      </c>
      <c r="B2" s="3216"/>
      <c r="C2" s="3216"/>
      <c r="D2" s="3216"/>
      <c r="E2" s="3216"/>
      <c r="F2" s="3216"/>
      <c r="G2" s="3216"/>
      <c r="H2" s="3216"/>
      <c r="I2" s="3216"/>
      <c r="J2" s="3216"/>
    </row>
    <row r="3" spans="1:16" ht="15.6">
      <c r="A3" s="3216" t="str">
        <f>'Subsidy Layering Memo'!F14</f>
        <v>Columbus, Muscogee</v>
      </c>
      <c r="B3" s="3216"/>
      <c r="C3" s="3216"/>
      <c r="D3" s="3216"/>
      <c r="E3" s="3216"/>
      <c r="F3" s="3216"/>
      <c r="G3" s="3216"/>
      <c r="H3" s="3216"/>
      <c r="I3" s="3216"/>
      <c r="J3" s="3216"/>
    </row>
    <row r="4" spans="1:16" ht="15.6">
      <c r="A4" s="3217" t="s">
        <v>2810</v>
      </c>
      <c r="B4" s="3216"/>
      <c r="C4" s="3216"/>
      <c r="D4" s="3216"/>
      <c r="E4" s="3216"/>
      <c r="F4" s="3216"/>
      <c r="G4" s="3216"/>
      <c r="H4" s="3216"/>
      <c r="I4" s="3216"/>
      <c r="J4" s="3216"/>
    </row>
    <row r="5" spans="1:16" ht="5.25" customHeight="1"/>
    <row r="6" spans="1:16" ht="5.25" customHeight="1"/>
    <row r="7" spans="1:16" ht="15.6">
      <c r="A7" s="3218" t="s">
        <v>2811</v>
      </c>
      <c r="B7" s="3218"/>
      <c r="C7" s="3219"/>
      <c r="M7" s="3220"/>
      <c r="N7" s="3220"/>
      <c r="O7" s="3220"/>
      <c r="P7" s="3220"/>
    </row>
    <row r="8" spans="1:16" ht="57" customHeight="1">
      <c r="A8" s="3221" t="s">
        <v>4473</v>
      </c>
      <c r="B8" s="3221"/>
      <c r="C8" s="3221"/>
      <c r="D8" s="3221"/>
      <c r="E8" s="3221"/>
      <c r="F8" s="3221"/>
      <c r="G8" s="3221"/>
      <c r="H8" s="3221"/>
      <c r="I8" s="3221"/>
      <c r="J8" s="3221"/>
      <c r="K8" s="611"/>
    </row>
    <row r="9" spans="1:16" ht="45.75" customHeight="1">
      <c r="A9" s="322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Columbus, Muscogee County, Georgia, with the development of 48 units (UNIT DESCRIPTION) set aside for HFOP.</v>
      </c>
      <c r="B9" s="3221"/>
      <c r="C9" s="3221"/>
      <c r="D9" s="3221"/>
      <c r="E9" s="3221"/>
      <c r="F9" s="3221"/>
      <c r="G9" s="3221"/>
      <c r="H9" s="3221"/>
      <c r="I9" s="3221"/>
      <c r="J9" s="3221"/>
      <c r="K9" s="611"/>
    </row>
    <row r="10" spans="1:16" ht="15.6">
      <c r="A10" s="612" t="s">
        <v>2812</v>
      </c>
    </row>
    <row r="11" spans="1:16" ht="16.5" customHeight="1">
      <c r="A11" s="3221" t="str">
        <f>'Subsidy Layering Memo'!A44</f>
        <v xml:space="preserve">Ownership entity:  (NAME) LP, a Georgia Limited Partnership, will be the ownership entity for the proposed project. </v>
      </c>
      <c r="B11" s="3223"/>
      <c r="C11" s="3223"/>
      <c r="D11" s="3223"/>
      <c r="E11" s="3223"/>
      <c r="F11" s="3223"/>
      <c r="G11" s="3223"/>
      <c r="H11" s="3223"/>
      <c r="I11" s="3223"/>
      <c r="J11" s="3221"/>
    </row>
    <row r="12" spans="1:16" ht="63.75" customHeight="1">
      <c r="A12" s="3221" t="s">
        <v>2842</v>
      </c>
      <c r="B12" s="3221"/>
      <c r="C12" s="3221"/>
      <c r="D12" s="3221"/>
      <c r="E12" s="3221"/>
      <c r="F12" s="3221"/>
      <c r="G12" s="3221"/>
      <c r="H12" s="3221"/>
      <c r="I12" s="3221"/>
      <c r="J12" s="3221"/>
    </row>
    <row r="13" spans="1:16" ht="48.75" customHeight="1">
      <c r="A13" s="3221" t="s">
        <v>2843</v>
      </c>
      <c r="B13" s="3221"/>
      <c r="C13" s="3221"/>
      <c r="D13" s="3221"/>
      <c r="E13" s="3221"/>
      <c r="F13" s="3221"/>
      <c r="G13" s="3221"/>
      <c r="H13" s="3221"/>
      <c r="I13" s="3221"/>
      <c r="J13" s="3221"/>
    </row>
    <row r="14" spans="1:16" ht="15.6">
      <c r="A14" s="612" t="s">
        <v>2813</v>
      </c>
      <c r="B14" s="613"/>
    </row>
    <row r="15" spans="1:16">
      <c r="A15" s="610" t="s">
        <v>2814</v>
      </c>
      <c r="D15" s="1530" t="s">
        <v>2815</v>
      </c>
    </row>
    <row r="16" spans="1:16">
      <c r="A16" s="610" t="s">
        <v>2816</v>
      </c>
      <c r="D16" s="1528">
        <f>'Sensitivity Analysis'!C25</f>
        <v>0</v>
      </c>
    </row>
    <row r="17" spans="1:11">
      <c r="A17" s="614" t="s">
        <v>2817</v>
      </c>
      <c r="D17" s="1529">
        <f>'Sensitivity Analysis'!C13</f>
        <v>48</v>
      </c>
    </row>
    <row r="18" spans="1:11" ht="14.25" customHeight="1"/>
    <row r="19" spans="1:11" ht="15.6">
      <c r="A19" s="612" t="s">
        <v>2818</v>
      </c>
      <c r="B19" s="613"/>
      <c r="C19" s="613"/>
    </row>
    <row r="20" spans="1:11" ht="48.75" customHeight="1">
      <c r="A20" s="3224" t="s">
        <v>2845</v>
      </c>
      <c r="B20" s="3224"/>
      <c r="C20" s="3224"/>
      <c r="D20" s="3224"/>
      <c r="E20" s="3224"/>
      <c r="F20" s="3224"/>
      <c r="G20" s="3224"/>
      <c r="H20" s="3224"/>
      <c r="I20" s="3224"/>
      <c r="J20" s="3224"/>
    </row>
    <row r="21" spans="1:11" ht="72.75" customHeight="1">
      <c r="A21" s="3221" t="s">
        <v>4472</v>
      </c>
      <c r="B21" s="3221"/>
      <c r="C21" s="3221"/>
      <c r="D21" s="3221"/>
      <c r="E21" s="3221"/>
      <c r="F21" s="3221"/>
      <c r="G21" s="3221"/>
      <c r="H21" s="3221"/>
      <c r="I21" s="3221"/>
      <c r="J21" s="3221"/>
    </row>
    <row r="22" spans="1:11" ht="15.6">
      <c r="A22" s="612" t="s">
        <v>2819</v>
      </c>
      <c r="B22" s="613"/>
      <c r="C22" s="613"/>
      <c r="D22" s="613"/>
      <c r="E22" s="613"/>
      <c r="F22" s="613"/>
    </row>
    <row r="23" spans="1:11" ht="102.75" customHeight="1">
      <c r="A23" s="3225" t="s">
        <v>2838</v>
      </c>
      <c r="B23" s="3225"/>
      <c r="C23" s="3225"/>
      <c r="D23" s="3225"/>
      <c r="E23" s="3225"/>
      <c r="F23" s="3225"/>
      <c r="G23" s="3225"/>
      <c r="H23" s="3225"/>
      <c r="I23" s="3225"/>
      <c r="J23" s="3225"/>
      <c r="K23" s="1232"/>
    </row>
    <row r="24" spans="1:11" ht="15" customHeight="1">
      <c r="A24" s="3222"/>
      <c r="B24" s="3222"/>
      <c r="C24" s="3222"/>
      <c r="D24" s="3222"/>
      <c r="E24" s="3222"/>
      <c r="F24" s="3222"/>
      <c r="G24" s="3222"/>
      <c r="H24" s="3222"/>
      <c r="I24" s="3222"/>
      <c r="J24" s="3222"/>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Boxwood Heights</v>
      </c>
    </row>
    <row r="13" spans="1:10">
      <c r="A13" s="620"/>
      <c r="D13" s="619" t="s">
        <v>2833</v>
      </c>
      <c r="F13" s="1527" t="str">
        <f>'Sensitivity Analysis'!E8</f>
        <v>2020-067</v>
      </c>
    </row>
    <row r="14" spans="1:10">
      <c r="A14" s="620"/>
      <c r="D14" s="619" t="s">
        <v>2834</v>
      </c>
      <c r="F14" s="1527" t="str">
        <f>'Sensitivity Analysis'!H8</f>
        <v>Columbus, Muscogee</v>
      </c>
    </row>
    <row r="15" spans="1:10">
      <c r="A15" s="620"/>
      <c r="D15" s="619" t="s">
        <v>3196</v>
      </c>
      <c r="F15" s="3238">
        <f>'Sensitivity Analysis'!$C$25</f>
        <v>0</v>
      </c>
      <c r="G15" s="3238"/>
      <c r="H15" s="3238"/>
    </row>
    <row r="16" spans="1:10">
      <c r="A16" s="620"/>
      <c r="D16" s="622" t="s">
        <v>2835</v>
      </c>
      <c r="F16" s="623">
        <f>'Sensitivity Analysis'!C13</f>
        <v>48</v>
      </c>
      <c r="G16" s="624" t="s">
        <v>3197</v>
      </c>
      <c r="H16" s="1168">
        <f>'Sensitivity Analysis'!E13</f>
        <v>48</v>
      </c>
    </row>
    <row r="17" spans="1:18">
      <c r="A17" s="620"/>
      <c r="D17" s="622" t="s">
        <v>2799</v>
      </c>
      <c r="F17" s="623" t="str">
        <f>'Sensitivity Analysis'!C14</f>
        <v>HFOP</v>
      </c>
    </row>
    <row r="18" spans="1:18">
      <c r="A18" s="620"/>
      <c r="D18" s="622" t="s">
        <v>3201</v>
      </c>
      <c r="F18" s="1527" t="str">
        <f>'Sensitivity Analysis'!H15</f>
        <v>Urban</v>
      </c>
    </row>
    <row r="19" spans="1:18">
      <c r="A19" s="620"/>
      <c r="D19" s="622" t="s">
        <v>3198</v>
      </c>
      <c r="F19" s="1527" t="str">
        <f>'Sensitivity Analysis'!E16</f>
        <v>No</v>
      </c>
    </row>
    <row r="20" spans="1:18">
      <c r="A20" s="620"/>
      <c r="D20" s="622"/>
    </row>
    <row r="21" spans="1:18">
      <c r="A21" s="625" t="s">
        <v>2836</v>
      </c>
    </row>
    <row r="22" spans="1:18" ht="111.75" customHeight="1">
      <c r="A22" s="3227" t="s">
        <v>3374</v>
      </c>
      <c r="B22" s="3227"/>
      <c r="C22" s="3227"/>
      <c r="D22" s="3227"/>
      <c r="E22" s="3227"/>
      <c r="F22" s="3227"/>
      <c r="G22" s="3227"/>
      <c r="H22" s="3227"/>
      <c r="I22" s="3227"/>
      <c r="J22" s="3227"/>
      <c r="K22" s="3226" t="s">
        <v>4474</v>
      </c>
      <c r="L22" s="3226"/>
      <c r="M22" s="3226"/>
      <c r="N22" s="3226"/>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28"/>
      <c r="B24" s="3228"/>
      <c r="C24" s="3228"/>
      <c r="D24" s="3228"/>
      <c r="E24" s="3228"/>
      <c r="F24" s="3228"/>
      <c r="G24" s="3228"/>
      <c r="H24" s="3228"/>
      <c r="I24" s="3228"/>
      <c r="J24" s="3228"/>
    </row>
    <row r="25" spans="1:18" ht="10.5" hidden="1" customHeight="1">
      <c r="A25" s="3229"/>
      <c r="B25" s="3229"/>
      <c r="C25" s="3229"/>
      <c r="D25" s="3229"/>
      <c r="E25" s="3229"/>
      <c r="F25" s="3229"/>
      <c r="G25" s="3229"/>
      <c r="H25" s="3229"/>
      <c r="I25" s="3229"/>
      <c r="J25" s="3229"/>
    </row>
    <row r="26" spans="1:18">
      <c r="A26" s="625" t="s">
        <v>2837</v>
      </c>
    </row>
    <row r="27" spans="1:18" ht="14.25" customHeight="1">
      <c r="A27" s="3230" t="s">
        <v>2838</v>
      </c>
      <c r="B27" s="3230"/>
      <c r="C27" s="3230"/>
      <c r="D27" s="3230"/>
      <c r="E27" s="3230"/>
      <c r="F27" s="3230"/>
      <c r="G27" s="3230"/>
      <c r="H27" s="3230"/>
      <c r="I27" s="3230"/>
      <c r="J27" s="3230"/>
    </row>
    <row r="28" spans="1:18" ht="14.25" customHeight="1">
      <c r="A28" s="3230"/>
      <c r="B28" s="3230"/>
      <c r="C28" s="3230"/>
      <c r="D28" s="3230"/>
      <c r="E28" s="3230"/>
      <c r="F28" s="3230"/>
      <c r="G28" s="3230"/>
      <c r="H28" s="3230"/>
      <c r="I28" s="3230"/>
      <c r="J28" s="3230"/>
    </row>
    <row r="29" spans="1:18" ht="6.75" customHeight="1">
      <c r="A29" s="3230"/>
      <c r="B29" s="3230"/>
      <c r="C29" s="3230"/>
      <c r="D29" s="3230"/>
      <c r="E29" s="3230"/>
      <c r="F29" s="3230"/>
      <c r="G29" s="3230"/>
      <c r="H29" s="3230"/>
      <c r="I29" s="3230"/>
      <c r="J29" s="3230"/>
    </row>
    <row r="30" spans="1:18" ht="14.25" customHeight="1">
      <c r="A30" s="3230"/>
      <c r="B30" s="3230"/>
      <c r="C30" s="3230"/>
      <c r="D30" s="3230"/>
      <c r="E30" s="3230"/>
      <c r="F30" s="3230"/>
      <c r="G30" s="3230"/>
      <c r="H30" s="3230"/>
      <c r="I30" s="3230"/>
      <c r="J30" s="3230"/>
    </row>
    <row r="31" spans="1:18" ht="14.25" customHeight="1">
      <c r="A31" s="3230"/>
      <c r="B31" s="3230"/>
      <c r="C31" s="3230"/>
      <c r="D31" s="3230"/>
      <c r="E31" s="3230"/>
      <c r="F31" s="3230"/>
      <c r="G31" s="3230"/>
      <c r="H31" s="3230"/>
      <c r="I31" s="3230"/>
      <c r="J31" s="3230"/>
    </row>
    <row r="32" spans="1:18" ht="54.75" customHeight="1">
      <c r="A32" s="3230"/>
      <c r="B32" s="3230"/>
      <c r="C32" s="3230"/>
      <c r="D32" s="3230"/>
      <c r="E32" s="3230"/>
      <c r="F32" s="3230"/>
      <c r="G32" s="3230"/>
      <c r="H32" s="3230"/>
      <c r="I32" s="3230"/>
      <c r="J32" s="3230"/>
    </row>
    <row r="33" spans="1:10" ht="0.75" hidden="1" customHeight="1">
      <c r="A33" s="3230"/>
      <c r="B33" s="3230"/>
      <c r="C33" s="3230"/>
      <c r="D33" s="3230"/>
      <c r="E33" s="3230"/>
      <c r="F33" s="3230"/>
      <c r="G33" s="3230"/>
      <c r="H33" s="3230"/>
      <c r="I33" s="3230"/>
      <c r="J33" s="3230"/>
    </row>
    <row r="34" spans="1:10" ht="3.75" hidden="1" customHeight="1">
      <c r="A34" s="3230"/>
      <c r="B34" s="3230"/>
      <c r="C34" s="3230"/>
      <c r="D34" s="3230"/>
      <c r="E34" s="3230"/>
      <c r="F34" s="3230"/>
      <c r="G34" s="3230"/>
      <c r="H34" s="3230"/>
      <c r="I34" s="3230"/>
      <c r="J34" s="3230"/>
    </row>
    <row r="35" spans="1:10" ht="5.25" customHeight="1">
      <c r="A35" s="1523"/>
      <c r="B35" s="1523"/>
      <c r="C35" s="1523"/>
      <c r="D35" s="1523"/>
      <c r="E35" s="1523"/>
      <c r="F35" s="1523"/>
      <c r="G35" s="1523"/>
      <c r="H35" s="1523"/>
      <c r="I35" s="1523"/>
      <c r="J35" s="1523"/>
    </row>
    <row r="36" spans="1:10" ht="19.5" customHeight="1">
      <c r="A36" s="3228" t="s">
        <v>2839</v>
      </c>
      <c r="B36" s="3228"/>
      <c r="C36" s="3228"/>
      <c r="D36" s="1521"/>
      <c r="E36" s="1521"/>
      <c r="F36" s="1521"/>
      <c r="G36" s="1521"/>
      <c r="H36" s="1521"/>
      <c r="I36" s="1521"/>
      <c r="J36" s="1521"/>
    </row>
    <row r="37" spans="1:10" ht="15" customHeight="1">
      <c r="A37" s="3221"/>
      <c r="B37" s="3221"/>
      <c r="C37" s="3221"/>
      <c r="D37" s="3221"/>
      <c r="E37" s="3221"/>
      <c r="F37" s="3221"/>
      <c r="G37" s="3221"/>
      <c r="H37" s="3221"/>
      <c r="I37" s="3221"/>
      <c r="J37" s="3221"/>
    </row>
    <row r="38" spans="1:10" ht="33.75" customHeight="1">
      <c r="A38" s="3221"/>
      <c r="B38" s="3221"/>
      <c r="C38" s="3221"/>
      <c r="D38" s="3221"/>
      <c r="E38" s="3221"/>
      <c r="F38" s="3221"/>
      <c r="G38" s="3221"/>
      <c r="H38" s="3221"/>
      <c r="I38" s="3221"/>
      <c r="J38" s="3221"/>
    </row>
    <row r="39" spans="1:10" ht="2.25" customHeight="1">
      <c r="A39" s="1521"/>
      <c r="B39" s="1521"/>
      <c r="C39" s="1521"/>
      <c r="D39" s="1521"/>
      <c r="E39" s="1521"/>
      <c r="F39" s="1521"/>
      <c r="G39" s="1521"/>
      <c r="H39" s="1521"/>
      <c r="I39" s="1521"/>
      <c r="J39" s="1521"/>
    </row>
    <row r="40" spans="1:10">
      <c r="A40" s="625" t="s">
        <v>2840</v>
      </c>
    </row>
    <row r="41" spans="1:10" ht="135" customHeight="1">
      <c r="A41" s="3229" t="s">
        <v>4471</v>
      </c>
      <c r="B41" s="3229"/>
      <c r="C41" s="3229"/>
      <c r="D41" s="3229"/>
      <c r="E41" s="3229"/>
      <c r="F41" s="3229"/>
      <c r="G41" s="3229"/>
      <c r="H41" s="3229"/>
      <c r="I41" s="3229"/>
      <c r="J41" s="3229"/>
    </row>
    <row r="42" spans="1:10" ht="6" customHeight="1">
      <c r="A42" s="1522"/>
      <c r="B42" s="1522"/>
      <c r="C42" s="1522"/>
      <c r="D42" s="1522"/>
      <c r="E42" s="1522"/>
      <c r="F42" s="1522"/>
      <c r="G42" s="1522"/>
      <c r="H42" s="1522"/>
      <c r="I42" s="1522"/>
      <c r="J42" s="1522"/>
    </row>
    <row r="43" spans="1:10">
      <c r="A43" s="625" t="s">
        <v>2841</v>
      </c>
    </row>
    <row r="44" spans="1:10" ht="33" customHeight="1">
      <c r="A44" s="3221" t="s">
        <v>3881</v>
      </c>
      <c r="B44" s="3223"/>
      <c r="C44" s="3223"/>
      <c r="D44" s="3223"/>
      <c r="E44" s="3223"/>
      <c r="F44" s="3223"/>
      <c r="G44" s="3223"/>
      <c r="H44" s="3223"/>
      <c r="I44" s="3223"/>
      <c r="J44" s="3221"/>
    </row>
    <row r="45" spans="1:10" ht="3" customHeight="1"/>
    <row r="46" spans="1:10" ht="72.75" customHeight="1">
      <c r="A46" s="3221" t="s">
        <v>3882</v>
      </c>
      <c r="B46" s="3221"/>
      <c r="C46" s="3221"/>
      <c r="D46" s="3221"/>
      <c r="E46" s="3221"/>
      <c r="F46" s="3221"/>
      <c r="G46" s="3221"/>
      <c r="H46" s="3221"/>
      <c r="I46" s="3221"/>
      <c r="J46" s="3221"/>
    </row>
    <row r="47" spans="1:10" ht="3" customHeight="1">
      <c r="A47" s="1521"/>
      <c r="B47" s="1521"/>
      <c r="C47" s="1521"/>
      <c r="D47" s="1521"/>
      <c r="E47" s="1521"/>
      <c r="F47" s="1521"/>
      <c r="G47" s="1521"/>
      <c r="H47" s="1521"/>
      <c r="I47" s="1521"/>
      <c r="J47" s="1521"/>
    </row>
    <row r="48" spans="1:10" ht="56.25" customHeight="1">
      <c r="A48" s="3221" t="s">
        <v>3883</v>
      </c>
      <c r="B48" s="3221"/>
      <c r="C48" s="3221"/>
      <c r="D48" s="3221"/>
      <c r="E48" s="3221"/>
      <c r="F48" s="3221"/>
      <c r="G48" s="3221"/>
      <c r="H48" s="3221"/>
      <c r="I48" s="3221"/>
      <c r="J48" s="3221"/>
    </row>
    <row r="49" spans="1:17" ht="3" customHeight="1">
      <c r="A49" s="1521"/>
      <c r="B49" s="1521"/>
      <c r="C49" s="1521"/>
      <c r="D49" s="1521"/>
      <c r="E49" s="1521"/>
      <c r="F49" s="1521"/>
      <c r="G49" s="1521"/>
      <c r="H49" s="1521"/>
      <c r="I49" s="1521"/>
      <c r="J49" s="1521"/>
    </row>
    <row r="50" spans="1:17" ht="49.5" customHeight="1">
      <c r="A50" s="3221" t="s">
        <v>3884</v>
      </c>
      <c r="B50" s="3221"/>
      <c r="C50" s="3221"/>
      <c r="D50" s="3221"/>
      <c r="E50" s="3221"/>
      <c r="F50" s="3221"/>
      <c r="G50" s="3221"/>
      <c r="H50" s="3221"/>
      <c r="I50" s="3221"/>
      <c r="J50" s="1521"/>
    </row>
    <row r="51" spans="1:17" ht="3" customHeight="1">
      <c r="A51" s="1521"/>
      <c r="B51" s="1521"/>
      <c r="C51" s="1521"/>
      <c r="D51" s="1521"/>
      <c r="E51" s="1521"/>
      <c r="F51" s="1521"/>
      <c r="G51" s="1521"/>
      <c r="H51" s="1521"/>
      <c r="I51" s="1521"/>
      <c r="J51" s="1521"/>
    </row>
    <row r="52" spans="1:17" ht="54.75" customHeight="1">
      <c r="A52" s="3243" t="s">
        <v>3206</v>
      </c>
      <c r="B52" s="3233"/>
      <c r="C52" s="3233"/>
      <c r="D52" s="3233"/>
      <c r="E52" s="3233"/>
      <c r="F52" s="3233"/>
      <c r="G52" s="3233"/>
      <c r="H52" s="3233"/>
      <c r="I52" s="3233"/>
      <c r="J52" s="1521"/>
    </row>
    <row r="53" spans="1:17" ht="3" customHeight="1">
      <c r="A53" s="1521"/>
      <c r="B53" s="1521"/>
      <c r="C53" s="1521"/>
      <c r="D53" s="1521"/>
      <c r="E53" s="1521"/>
      <c r="F53" s="1521"/>
      <c r="G53" s="1521"/>
      <c r="H53" s="1521"/>
      <c r="I53" s="1521"/>
      <c r="J53" s="1521"/>
    </row>
    <row r="54" spans="1:17" ht="62.25" customHeight="1">
      <c r="A54" s="3233" t="s">
        <v>3885</v>
      </c>
      <c r="B54" s="3233"/>
      <c r="C54" s="3233"/>
      <c r="D54" s="3233"/>
      <c r="E54" s="3233"/>
      <c r="F54" s="3233"/>
      <c r="G54" s="3233"/>
      <c r="H54" s="3233"/>
      <c r="I54" s="3233"/>
      <c r="J54" s="3233"/>
    </row>
    <row r="55" spans="1:17" ht="3" customHeight="1"/>
    <row r="56" spans="1:17" ht="73.5" customHeight="1">
      <c r="A56" s="3221" t="s">
        <v>3886</v>
      </c>
      <c r="B56" s="3221"/>
      <c r="C56" s="3221"/>
      <c r="D56" s="3221"/>
      <c r="E56" s="3221"/>
      <c r="F56" s="3221"/>
      <c r="G56" s="3221"/>
      <c r="H56" s="3221"/>
      <c r="I56" s="3221"/>
      <c r="J56" s="3221"/>
    </row>
    <row r="57" spans="1:17" ht="6" customHeight="1">
      <c r="A57" s="1521" t="s">
        <v>238</v>
      </c>
      <c r="B57" s="1521"/>
      <c r="C57" s="1521"/>
      <c r="D57" s="1521"/>
      <c r="E57" s="1521"/>
      <c r="F57" s="1521"/>
      <c r="G57" s="1521"/>
      <c r="H57" s="1521"/>
      <c r="I57" s="1521"/>
      <c r="J57" s="1521"/>
    </row>
    <row r="58" spans="1:17">
      <c r="A58" s="625" t="s">
        <v>2844</v>
      </c>
      <c r="L58" s="626" t="s">
        <v>3366</v>
      </c>
    </row>
    <row r="59" spans="1:17" ht="73.5" customHeight="1">
      <c r="A59" s="3227" t="s">
        <v>2845</v>
      </c>
      <c r="B59" s="3227"/>
      <c r="C59" s="3227"/>
      <c r="D59" s="3227"/>
      <c r="E59" s="3227"/>
      <c r="F59" s="3227"/>
      <c r="G59" s="3227"/>
      <c r="H59" s="3227"/>
      <c r="I59" s="3227"/>
      <c r="J59" s="3227"/>
      <c r="L59" s="627">
        <f>'Closing term sheet'!C133</f>
        <v>590436.5</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3" t="s">
        <v>3278</v>
      </c>
      <c r="B61" s="3233"/>
      <c r="C61" s="3233"/>
      <c r="D61" s="3233"/>
      <c r="E61" s="3233"/>
      <c r="F61" s="3233"/>
      <c r="G61" s="3233"/>
      <c r="H61" s="3233"/>
      <c r="I61" s="3233"/>
      <c r="J61" s="632"/>
      <c r="L61" s="633">
        <f>'Part III-Sources of Funds'!I49</f>
        <v>6655168</v>
      </c>
      <c r="M61" s="634">
        <f>'Part IV-A-Uses of Funds'!$J$184</f>
        <v>825000</v>
      </c>
      <c r="N61" s="635">
        <f>'Part IV-A-Uses of Funds'!N175</f>
        <v>0.81499999999999995</v>
      </c>
      <c r="O61" s="633">
        <f>'Part III-Sources of Funds'!I50</f>
        <v>3284738</v>
      </c>
      <c r="P61" s="634">
        <f>M61</f>
        <v>825000</v>
      </c>
      <c r="Q61" s="635">
        <f>'Part IV-A-Uses of Funds'!Q175</f>
        <v>0.39</v>
      </c>
    </row>
    <row r="62" spans="1:17" ht="18.75" customHeight="1">
      <c r="A62" s="636" t="s">
        <v>2846</v>
      </c>
    </row>
    <row r="63" spans="1:17" ht="177" customHeight="1">
      <c r="A63" s="3233" t="s">
        <v>3887</v>
      </c>
      <c r="B63" s="3233"/>
      <c r="C63" s="3233"/>
      <c r="D63" s="3233"/>
      <c r="E63" s="3233"/>
      <c r="F63" s="3233"/>
      <c r="G63" s="3233"/>
      <c r="H63" s="3233"/>
      <c r="I63" s="3233"/>
      <c r="J63" s="3233"/>
      <c r="L63" s="637" t="str">
        <f>'Part VII-Pro Forma'!K71</f>
        <v/>
      </c>
      <c r="M63" s="3231" t="s">
        <v>3373</v>
      </c>
      <c r="N63" s="3232"/>
    </row>
    <row r="64" spans="1:17" ht="6" customHeight="1">
      <c r="A64" s="625"/>
    </row>
    <row r="65" spans="1:10">
      <c r="A65" s="625" t="s">
        <v>2847</v>
      </c>
    </row>
    <row r="66" spans="1:10" ht="72.599999999999994" customHeight="1">
      <c r="A66" s="3233" t="s">
        <v>2848</v>
      </c>
      <c r="B66" s="3233"/>
      <c r="C66" s="3233"/>
      <c r="D66" s="3233"/>
      <c r="E66" s="3233"/>
      <c r="F66" s="3233"/>
      <c r="G66" s="3233"/>
      <c r="H66" s="3233"/>
      <c r="I66" s="3233"/>
      <c r="J66" s="3233"/>
    </row>
    <row r="67" spans="1:10" ht="36" customHeight="1">
      <c r="A67" s="3233" t="s">
        <v>2849</v>
      </c>
      <c r="B67" s="3233"/>
      <c r="C67" s="3233"/>
      <c r="D67" s="3233"/>
      <c r="E67" s="3233"/>
      <c r="F67" s="3233"/>
      <c r="G67" s="3233"/>
      <c r="H67" s="3233"/>
      <c r="I67" s="3233"/>
      <c r="J67" s="3233"/>
    </row>
    <row r="68" spans="1:10" ht="6" customHeight="1">
      <c r="A68" s="625"/>
    </row>
    <row r="69" spans="1:10">
      <c r="A69" s="625" t="s">
        <v>2850</v>
      </c>
    </row>
    <row r="70" spans="1:10" ht="105.75" customHeight="1">
      <c r="A70" s="3221" t="s">
        <v>2851</v>
      </c>
      <c r="B70" s="3221"/>
      <c r="C70" s="3221"/>
      <c r="D70" s="3221"/>
      <c r="E70" s="3221"/>
      <c r="F70" s="3221"/>
      <c r="G70" s="3221"/>
      <c r="H70" s="3221"/>
      <c r="I70" s="3221"/>
      <c r="J70" s="3221"/>
    </row>
    <row r="71" spans="1:10" ht="6" customHeight="1">
      <c r="A71" s="625"/>
    </row>
    <row r="72" spans="1:10">
      <c r="A72" s="625" t="s">
        <v>2852</v>
      </c>
    </row>
    <row r="73" spans="1:10" ht="66" customHeight="1">
      <c r="A73" s="3221" t="s">
        <v>2853</v>
      </c>
      <c r="B73" s="3221"/>
      <c r="C73" s="3221"/>
      <c r="D73" s="3221"/>
      <c r="E73" s="3221"/>
      <c r="F73" s="3221"/>
      <c r="G73" s="3221"/>
      <c r="H73" s="3221"/>
      <c r="I73" s="3221"/>
      <c r="J73" s="3221"/>
    </row>
    <row r="74" spans="1:10" s="1523" customFormat="1" ht="6" customHeight="1">
      <c r="A74" s="3221"/>
      <c r="B74" s="3221"/>
      <c r="C74" s="3221"/>
      <c r="D74" s="3221"/>
      <c r="E74" s="3221"/>
      <c r="F74" s="3221"/>
      <c r="G74" s="3221"/>
      <c r="H74" s="3221"/>
      <c r="I74" s="3221"/>
      <c r="J74" s="3221"/>
    </row>
    <row r="75" spans="1:10" ht="16.5" customHeight="1">
      <c r="A75" s="1525" t="s">
        <v>2854</v>
      </c>
      <c r="B75" s="624"/>
      <c r="C75" s="624"/>
      <c r="D75" s="1527"/>
      <c r="E75" s="624"/>
      <c r="F75" s="624"/>
      <c r="G75" s="624"/>
      <c r="H75" s="624"/>
      <c r="I75" s="624"/>
      <c r="J75" s="638"/>
    </row>
    <row r="76" spans="1:10" s="1523" customFormat="1" ht="63" customHeight="1">
      <c r="A76" s="3221" t="s">
        <v>4095</v>
      </c>
      <c r="B76" s="3221"/>
      <c r="C76" s="3221"/>
      <c r="D76" s="3221"/>
      <c r="E76" s="3221"/>
      <c r="F76" s="3221"/>
      <c r="G76" s="3221"/>
      <c r="H76" s="3221"/>
      <c r="I76" s="3221"/>
      <c r="J76" s="3221"/>
    </row>
    <row r="77" spans="1:10" s="1523" customFormat="1" ht="6" customHeight="1">
      <c r="A77" s="1521"/>
      <c r="B77" s="1521"/>
      <c r="C77" s="1521"/>
      <c r="D77" s="1521"/>
      <c r="E77" s="1521"/>
      <c r="F77" s="1521"/>
      <c r="G77" s="1521"/>
      <c r="H77" s="1521"/>
      <c r="I77" s="1521"/>
      <c r="J77" s="1521"/>
    </row>
    <row r="78" spans="1:10" ht="16.5" customHeight="1">
      <c r="A78" s="3235" t="s">
        <v>2855</v>
      </c>
      <c r="B78" s="3236"/>
      <c r="C78" s="3236"/>
      <c r="D78" s="624"/>
      <c r="E78" s="624"/>
      <c r="F78" s="624"/>
      <c r="G78" s="624"/>
      <c r="H78" s="624"/>
      <c r="I78" s="624"/>
      <c r="J78" s="638"/>
    </row>
    <row r="79" spans="1:10" ht="41.25" customHeight="1">
      <c r="A79" s="3233" t="s">
        <v>3888</v>
      </c>
      <c r="B79" s="3237"/>
      <c r="C79" s="3237"/>
      <c r="D79" s="3237"/>
      <c r="E79" s="3237"/>
      <c r="F79" s="3237"/>
      <c r="G79" s="3237"/>
      <c r="H79" s="3237"/>
      <c r="I79" s="3237"/>
      <c r="J79" s="3237"/>
    </row>
    <row r="80" spans="1:10" ht="6" customHeight="1">
      <c r="A80" s="639"/>
      <c r="B80" s="624"/>
      <c r="C80" s="624"/>
      <c r="D80" s="624"/>
      <c r="E80" s="624"/>
      <c r="F80" s="624"/>
      <c r="G80" s="624"/>
      <c r="H80" s="624"/>
      <c r="I80" s="624"/>
      <c r="J80" s="638"/>
    </row>
    <row r="81" spans="1:15">
      <c r="A81" s="625" t="s">
        <v>2856</v>
      </c>
    </row>
    <row r="82" spans="1:15" ht="124.2" customHeight="1">
      <c r="A82" s="3233" t="s">
        <v>2857</v>
      </c>
      <c r="B82" s="3233"/>
      <c r="C82" s="3233"/>
      <c r="D82" s="3233"/>
      <c r="E82" s="3233"/>
      <c r="F82" s="3233"/>
      <c r="G82" s="3233"/>
      <c r="H82" s="3233"/>
      <c r="I82" s="3233"/>
      <c r="J82" s="3233"/>
      <c r="L82" s="3226" t="s">
        <v>2858</v>
      </c>
      <c r="M82" s="3226"/>
      <c r="N82" s="3226"/>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33" t="s">
        <v>2860</v>
      </c>
      <c r="B85" s="3233"/>
      <c r="C85" s="3233"/>
      <c r="D85" s="3233"/>
      <c r="E85" s="3233"/>
      <c r="F85" s="3233"/>
      <c r="G85" s="3233"/>
      <c r="H85" s="3233"/>
      <c r="I85" s="3233"/>
      <c r="J85" s="3233"/>
      <c r="L85" s="3226" t="s">
        <v>2861</v>
      </c>
      <c r="M85" s="3226"/>
      <c r="N85" s="640" t="e">
        <f>'After-Tax Analysis'!G66</f>
        <v>#VALUE!</v>
      </c>
      <c r="O85" s="641" t="s">
        <v>2862</v>
      </c>
    </row>
    <row r="86" spans="1:15" ht="6" customHeight="1">
      <c r="A86" s="625"/>
    </row>
    <row r="87" spans="1:15">
      <c r="A87" s="625" t="s">
        <v>2863</v>
      </c>
    </row>
    <row r="88" spans="1:15" ht="118.5" customHeight="1">
      <c r="A88" s="3221" t="s">
        <v>2864</v>
      </c>
      <c r="B88" s="3221"/>
      <c r="C88" s="3221"/>
      <c r="D88" s="3221"/>
      <c r="E88" s="3221"/>
      <c r="F88" s="3221"/>
      <c r="G88" s="3221"/>
      <c r="H88" s="3221"/>
      <c r="I88" s="3221"/>
      <c r="J88" s="3221"/>
    </row>
    <row r="89" spans="1:15" ht="20.25" customHeight="1">
      <c r="A89" s="3223" t="s">
        <v>2865</v>
      </c>
      <c r="B89" s="3223"/>
      <c r="C89" s="3223"/>
      <c r="D89" s="3221"/>
      <c r="E89" s="1521"/>
      <c r="F89" s="1521"/>
      <c r="G89" s="1521"/>
      <c r="H89" s="1521"/>
      <c r="I89" s="1521"/>
      <c r="J89" s="1521"/>
    </row>
    <row r="90" spans="1:15" ht="109.5" customHeight="1">
      <c r="A90" s="3241" t="s">
        <v>2866</v>
      </c>
      <c r="B90" s="3242"/>
      <c r="C90" s="3242"/>
      <c r="D90" s="3242"/>
      <c r="E90" s="3242"/>
      <c r="F90" s="3242"/>
      <c r="G90" s="3242"/>
      <c r="H90" s="3242"/>
      <c r="I90" s="3242"/>
      <c r="J90" s="3242"/>
    </row>
    <row r="91" spans="1:15" ht="11.25" customHeight="1">
      <c r="A91" s="625"/>
    </row>
    <row r="92" spans="1:15">
      <c r="A92" s="625" t="s">
        <v>2867</v>
      </c>
    </row>
    <row r="93" spans="1:15" ht="110.4" customHeight="1">
      <c r="A93" s="3227" t="s">
        <v>2868</v>
      </c>
      <c r="B93" s="3227"/>
      <c r="C93" s="3227"/>
      <c r="D93" s="3227"/>
      <c r="E93" s="3227"/>
      <c r="F93" s="3227"/>
      <c r="G93" s="3227"/>
      <c r="H93" s="3227"/>
      <c r="I93" s="3227"/>
      <c r="J93" s="3227"/>
      <c r="L93" s="1172" t="str">
        <f>'Part VII-Pro Forma'!K71</f>
        <v/>
      </c>
      <c r="M93" s="3234" t="s">
        <v>2869</v>
      </c>
      <c r="N93" s="3234"/>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3" t="s">
        <v>2870</v>
      </c>
      <c r="B97" s="3223"/>
      <c r="C97" s="3223"/>
      <c r="D97" s="1521"/>
      <c r="E97" s="1521"/>
      <c r="F97" s="1521"/>
      <c r="G97" s="1521"/>
      <c r="H97" s="1521"/>
      <c r="I97" s="1521"/>
      <c r="J97" s="638"/>
    </row>
    <row r="98" spans="1:10" ht="37.5" customHeight="1">
      <c r="A98" s="3233" t="s">
        <v>2871</v>
      </c>
      <c r="B98" s="3233"/>
      <c r="C98" s="3233"/>
      <c r="D98" s="3233"/>
      <c r="E98" s="3233"/>
      <c r="F98" s="3233"/>
      <c r="G98" s="3233"/>
      <c r="H98" s="3233"/>
      <c r="I98" s="3233"/>
      <c r="J98" s="3233"/>
    </row>
    <row r="99" spans="1:10" ht="6" customHeight="1">
      <c r="A99" s="625"/>
    </row>
    <row r="100" spans="1:10">
      <c r="A100" s="625" t="s">
        <v>2872</v>
      </c>
    </row>
    <row r="101" spans="1:10" ht="43.5" customHeight="1">
      <c r="A101" s="3221" t="s">
        <v>2873</v>
      </c>
      <c r="B101" s="3221"/>
      <c r="C101" s="3221"/>
      <c r="D101" s="3221"/>
      <c r="E101" s="3221"/>
      <c r="F101" s="3221"/>
      <c r="G101" s="3221"/>
      <c r="H101" s="3221"/>
      <c r="I101" s="3221"/>
      <c r="J101" s="3221"/>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39" t="s">
        <v>6837</v>
      </c>
      <c r="B113" s="3239"/>
      <c r="C113" s="3239"/>
      <c r="D113" s="3239"/>
      <c r="E113" s="3240"/>
      <c r="F113" s="2022" t="s">
        <v>6838</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2020-067  Boxwood Heights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4"/>
      <c r="J7" s="3244"/>
      <c r="K7" s="3244"/>
      <c r="L7" s="610"/>
      <c r="M7" s="610"/>
    </row>
    <row r="8" spans="1:14" ht="15.6">
      <c r="A8" s="613" t="s">
        <v>2882</v>
      </c>
      <c r="B8" s="613"/>
      <c r="C8" s="3244" t="str">
        <f>'Part I-Project Information'!F34</f>
        <v>Boxwood Heights</v>
      </c>
      <c r="D8" s="3244"/>
      <c r="E8" s="1233" t="str">
        <f>'Part I-Project Information'!O6</f>
        <v>2020-067</v>
      </c>
      <c r="F8" s="649" t="s">
        <v>2883</v>
      </c>
      <c r="G8" s="648"/>
      <c r="H8" s="3244" t="str">
        <f>CONCATENATE('Part I-Project Information'!F38,", ",'Part I-Project Information'!J39)</f>
        <v>Columbus, Muscogee</v>
      </c>
      <c r="I8" s="3244"/>
      <c r="J8" s="3244"/>
      <c r="K8" s="3244"/>
      <c r="L8" s="610"/>
      <c r="M8" s="650"/>
    </row>
    <row r="9" spans="1:14" ht="15.6">
      <c r="A9" s="613" t="s">
        <v>2885</v>
      </c>
      <c r="B9" s="613"/>
      <c r="C9" s="3244" t="s">
        <v>1727</v>
      </c>
      <c r="D9" s="3244"/>
      <c r="E9" s="648"/>
      <c r="F9" s="649" t="s">
        <v>2886</v>
      </c>
      <c r="G9" s="648"/>
      <c r="H9" s="3244" t="str">
        <f>'Part II-Development Team'!H5</f>
        <v>Boxwood Heights Columbus, LP</v>
      </c>
      <c r="I9" s="3244"/>
      <c r="J9" s="3244"/>
      <c r="K9" s="3244"/>
      <c r="L9" s="3244"/>
      <c r="M9" s="650"/>
    </row>
    <row r="10" spans="1:14" ht="15.6">
      <c r="A10" s="613" t="s">
        <v>2888</v>
      </c>
      <c r="B10" s="610"/>
      <c r="C10" s="1233" t="str">
        <f>'Part II-Development Team'!H14</f>
        <v>Columbus Boxwood GP, LLC</v>
      </c>
      <c r="D10" s="648"/>
      <c r="E10" s="648"/>
      <c r="F10" s="649" t="s">
        <v>3428</v>
      </c>
      <c r="G10" s="648"/>
      <c r="H10" s="3244" t="str">
        <f>'Part II-Development Team'!H33</f>
        <v>Affordable Equity Partners, Inc</v>
      </c>
      <c r="I10" s="3244"/>
      <c r="J10" s="3244"/>
      <c r="K10" s="3244" t="str">
        <f>'Part II-Development Team'!H39</f>
        <v>Affordable Equity Partners, Inc</v>
      </c>
      <c r="L10" s="3244"/>
    </row>
    <row r="11" spans="1:14" ht="15.6">
      <c r="A11" s="613" t="s">
        <v>2889</v>
      </c>
      <c r="B11" s="610"/>
      <c r="C11" s="1233" t="str">
        <f>IF('Part II-Development Team'!H20="","",'Part II-Development Team'!H20)</f>
        <v/>
      </c>
      <c r="D11" s="648"/>
      <c r="E11" s="1165" t="str">
        <f>IF('Part II-Development Team'!H26="","",'Part II-Development Team'!H26)</f>
        <v/>
      </c>
      <c r="F11" s="649" t="s">
        <v>634</v>
      </c>
      <c r="G11" s="648"/>
      <c r="H11" s="3244" t="str">
        <f>'Part II-Development Team'!H54</f>
        <v>Main Street Homes, LLC</v>
      </c>
      <c r="I11" s="3244"/>
      <c r="J11" s="3244"/>
      <c r="K11" s="3244">
        <f>'Part II-Development Team'!H60</f>
        <v>0</v>
      </c>
      <c r="L11" s="3244"/>
      <c r="M11" s="3244">
        <f>'Part II-Development Team'!H66</f>
        <v>0</v>
      </c>
      <c r="N11" s="3244"/>
    </row>
    <row r="12" spans="1:14" ht="15.6">
      <c r="A12" s="613" t="s">
        <v>2890</v>
      </c>
      <c r="B12" s="610"/>
      <c r="C12" s="1233" t="str">
        <f>'Part II-Development Team'!H86</f>
        <v>Fairway Construction Company, Inc</v>
      </c>
      <c r="D12" s="648"/>
      <c r="E12" s="648"/>
      <c r="F12" s="649" t="s">
        <v>2891</v>
      </c>
      <c r="G12" s="648"/>
      <c r="H12" s="3244" t="str">
        <f>'Part II-Development Team'!H92</f>
        <v>Fairway Management Co., Inc</v>
      </c>
      <c r="I12" s="3244"/>
      <c r="J12" s="3244"/>
      <c r="K12" s="3244"/>
      <c r="L12" s="610"/>
      <c r="M12" s="610"/>
    </row>
    <row r="13" spans="1:14" ht="15.6">
      <c r="A13" s="613" t="s">
        <v>2892</v>
      </c>
      <c r="B13" s="649"/>
      <c r="C13" s="609">
        <f>'Part VI-Revenues &amp; Expenses'!$P$67</f>
        <v>48</v>
      </c>
      <c r="E13" s="1166">
        <f>'Part VI-Revenues &amp; Expenses'!$P$63</f>
        <v>48</v>
      </c>
      <c r="F13" s="649" t="s">
        <v>3880</v>
      </c>
      <c r="G13" s="648"/>
      <c r="H13" s="1234">
        <f>'Part I-Project Information'!H76</f>
        <v>1</v>
      </c>
      <c r="I13" s="1167"/>
      <c r="J13" s="1167"/>
      <c r="K13" s="1234">
        <f>'Part I-Project Information'!P75</f>
        <v>50400</v>
      </c>
      <c r="L13" s="610"/>
      <c r="M13" s="610"/>
    </row>
    <row r="14" spans="1:14" ht="15.6">
      <c r="A14" s="613" t="s">
        <v>3199</v>
      </c>
      <c r="B14" s="610"/>
      <c r="C14" s="1234" t="str">
        <f>'Part I-Project Information'!H82</f>
        <v>HFOP</v>
      </c>
      <c r="D14" s="3244" t="str">
        <f>IF('Part I-Project Information'!N74=0,"",'Part I-Project Information'!N74)</f>
        <v/>
      </c>
      <c r="E14" s="3244"/>
      <c r="F14" s="649" t="s">
        <v>2893</v>
      </c>
      <c r="G14" s="648"/>
      <c r="H14" s="3245" t="s">
        <v>3375</v>
      </c>
      <c r="I14" s="3245"/>
      <c r="J14" s="3245"/>
      <c r="K14" s="3245" t="s">
        <v>3375</v>
      </c>
      <c r="L14" s="3245"/>
      <c r="M14" s="610"/>
    </row>
    <row r="15" spans="1:14" ht="15.6">
      <c r="A15" s="613" t="s">
        <v>2894</v>
      </c>
      <c r="B15" s="610"/>
      <c r="C15" s="651" t="s">
        <v>1727</v>
      </c>
      <c r="D15" s="648"/>
      <c r="E15" s="648"/>
      <c r="F15" s="649" t="s">
        <v>3200</v>
      </c>
      <c r="G15" s="648"/>
      <c r="H15" s="1233" t="str">
        <f>'Part I-Project Information'!K40</f>
        <v>Urban</v>
      </c>
      <c r="I15" s="648"/>
      <c r="J15" s="648"/>
      <c r="K15" s="648"/>
      <c r="L15" s="610"/>
      <c r="M15" s="610"/>
    </row>
    <row r="16" spans="1:14" ht="15.6">
      <c r="A16" s="613" t="s">
        <v>3404</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9959143</v>
      </c>
      <c r="D18" s="1212">
        <f>IF(C18=0,"",$C$29/C18)</f>
        <v>0</v>
      </c>
      <c r="E18" s="648" t="s">
        <v>3203</v>
      </c>
      <c r="F18" s="649" t="s">
        <v>3204</v>
      </c>
      <c r="G18" s="648"/>
      <c r="H18" s="3246">
        <f>'Part IV-A-Uses of Funds'!B44</f>
        <v>6423216</v>
      </c>
      <c r="I18" s="3246"/>
      <c r="J18" s="1211">
        <f>IF(H18=0,"",$C$29/H18)</f>
        <v>0</v>
      </c>
      <c r="K18" s="3244" t="s">
        <v>3205</v>
      </c>
      <c r="L18" s="3244"/>
      <c r="M18" s="610"/>
    </row>
    <row r="19" spans="1:13" ht="15.6">
      <c r="A19" s="613" t="s">
        <v>2895</v>
      </c>
      <c r="B19" s="610"/>
      <c r="C19" s="1235">
        <f>C18/C13</f>
        <v>207482.14583333334</v>
      </c>
      <c r="D19" s="648"/>
      <c r="E19" s="610"/>
      <c r="F19" s="613" t="s">
        <v>2895</v>
      </c>
      <c r="G19" s="610"/>
      <c r="H19" s="3247">
        <f>H18/C13</f>
        <v>133817</v>
      </c>
      <c r="I19" s="3247"/>
      <c r="J19" s="610"/>
      <c r="K19" s="610"/>
      <c r="L19" s="610"/>
      <c r="M19" s="610"/>
    </row>
    <row r="20" spans="1:13" ht="15.6">
      <c r="A20" s="613" t="s">
        <v>2896</v>
      </c>
      <c r="B20" s="610"/>
      <c r="C20" s="1237">
        <f>C18/K13</f>
        <v>197.60204365079366</v>
      </c>
      <c r="D20" s="653"/>
      <c r="E20" s="654"/>
      <c r="F20" s="613" t="s">
        <v>2896</v>
      </c>
      <c r="G20" s="610"/>
      <c r="H20" s="3248">
        <f>H18/K13</f>
        <v>127.4447619047619</v>
      </c>
      <c r="I20" s="3247"/>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f>'Part III-Sources of Funds'!E38</f>
        <v>0</v>
      </c>
      <c r="C25" s="660">
        <f>'Part III-Sources of Funds'!I38</f>
        <v>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9939906</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v>
      </c>
      <c r="D40" s="610"/>
      <c r="E40" s="610"/>
      <c r="F40" s="613"/>
      <c r="G40" s="613" t="s">
        <v>2916</v>
      </c>
      <c r="H40" s="610"/>
      <c r="I40" s="610"/>
      <c r="K40" s="662">
        <f>C30/C18</f>
        <v>0.99806840809495356</v>
      </c>
      <c r="L40" s="610"/>
      <c r="M40" s="610"/>
    </row>
    <row r="46" spans="1:13" ht="15.6">
      <c r="A46" s="673" t="s">
        <v>2917</v>
      </c>
      <c r="B46" s="643"/>
      <c r="C46" s="643"/>
      <c r="D46" s="643"/>
      <c r="E46" s="643"/>
      <c r="F46" s="643"/>
      <c r="G46" s="643"/>
      <c r="H46" s="643"/>
      <c r="I46" s="643"/>
      <c r="J46" s="643"/>
      <c r="K46" s="643"/>
      <c r="L46" s="643"/>
      <c r="M46" s="610"/>
    </row>
    <row r="47" spans="1:13" ht="15.6">
      <c r="A47" s="673" t="str">
        <f>C8</f>
        <v>Boxwood Heights</v>
      </c>
      <c r="B47" s="643"/>
      <c r="C47" s="643"/>
      <c r="D47" s="643"/>
      <c r="E47" s="643"/>
      <c r="F47" s="643"/>
      <c r="G47" s="643"/>
      <c r="H47" s="643"/>
      <c r="I47" s="643"/>
      <c r="J47" s="643"/>
      <c r="K47" s="643"/>
      <c r="L47" s="643"/>
      <c r="M47" s="610"/>
    </row>
    <row r="50" spans="1:14" s="610" customFormat="1" ht="15.6">
      <c r="A50" s="613" t="s">
        <v>2918</v>
      </c>
      <c r="C50" s="674" t="s">
        <v>2919</v>
      </c>
      <c r="E50" s="675" t="s">
        <v>3376</v>
      </c>
      <c r="F50" s="676">
        <v>0.1</v>
      </c>
      <c r="G50" s="675" t="s">
        <v>3377</v>
      </c>
      <c r="H50" s="676">
        <v>0.05</v>
      </c>
      <c r="I50" s="675" t="s">
        <v>3378</v>
      </c>
      <c r="J50" s="676">
        <v>0.03</v>
      </c>
      <c r="K50" s="3249" t="s">
        <v>2920</v>
      </c>
      <c r="L50" s="3250"/>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329112</v>
      </c>
      <c r="D52" s="679"/>
      <c r="E52" s="679">
        <f>$C$52</f>
        <v>329112</v>
      </c>
      <c r="F52" s="679"/>
      <c r="G52" s="679">
        <f>$C$52</f>
        <v>329112</v>
      </c>
      <c r="H52" s="679"/>
      <c r="I52" s="679">
        <f>$C$52</f>
        <v>329112</v>
      </c>
      <c r="J52" s="679"/>
      <c r="K52" s="679">
        <f>$C$52</f>
        <v>329112</v>
      </c>
      <c r="L52" s="680"/>
      <c r="M52" s="27"/>
      <c r="N52" s="27"/>
    </row>
    <row r="53" spans="1:14" s="610" customFormat="1" ht="18.75" customHeight="1">
      <c r="B53" s="678" t="s">
        <v>2924</v>
      </c>
      <c r="C53" s="679">
        <f>'Part VII-Pro Forma'!B15</f>
        <v>6582.24</v>
      </c>
      <c r="D53" s="679"/>
      <c r="E53" s="679">
        <f>$C$53</f>
        <v>6582.24</v>
      </c>
      <c r="F53" s="679"/>
      <c r="G53" s="679">
        <f>$C$53</f>
        <v>6582.24</v>
      </c>
      <c r="H53" s="679"/>
      <c r="I53" s="679">
        <f>$C$53</f>
        <v>6582.24</v>
      </c>
      <c r="J53" s="679"/>
      <c r="K53" s="679">
        <f>$C$53</f>
        <v>6582.24</v>
      </c>
      <c r="L53" s="680"/>
      <c r="M53" s="27"/>
      <c r="N53" s="27"/>
    </row>
    <row r="54" spans="1:14" s="610" customFormat="1" ht="18.75" customHeight="1">
      <c r="B54" s="678" t="s">
        <v>2922</v>
      </c>
      <c r="C54" s="679">
        <f>'Part VII-Pro Forma'!B16</f>
        <v>-23498.596800000003</v>
      </c>
      <c r="D54" s="679"/>
      <c r="E54" s="679">
        <f>-($C$52+E53)*F50</f>
        <v>-33569.423999999999</v>
      </c>
      <c r="F54" s="681"/>
      <c r="G54" s="679">
        <f>-($C$52+G53)*0.07</f>
        <v>-23498.596800000003</v>
      </c>
      <c r="H54" s="679"/>
      <c r="I54" s="679">
        <f>-($C$52+I53)*0.07</f>
        <v>-23498.596800000003</v>
      </c>
      <c r="J54" s="679"/>
      <c r="K54" s="679">
        <f>-($C$52+K53)*L54</f>
        <v>-33569.423999999999</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312195.64319999999</v>
      </c>
      <c r="D56" s="679"/>
      <c r="E56" s="685">
        <f>SUM(E52:E55)</f>
        <v>302124.81599999999</v>
      </c>
      <c r="F56" s="679"/>
      <c r="G56" s="685">
        <f>SUM(G52:G55)</f>
        <v>312195.64319999999</v>
      </c>
      <c r="H56" s="679"/>
      <c r="I56" s="685">
        <f>SUM(I52:I55)</f>
        <v>312195.64319999999</v>
      </c>
      <c r="J56" s="679"/>
      <c r="K56" s="685">
        <f>SUM(K52:K55)</f>
        <v>302124.81599999999</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97707</v>
      </c>
      <c r="D58" s="679"/>
      <c r="E58" s="679">
        <f>$C$58</f>
        <v>97707</v>
      </c>
      <c r="F58" s="679"/>
      <c r="G58" s="679">
        <f>$C$58</f>
        <v>97707</v>
      </c>
      <c r="H58" s="679"/>
      <c r="I58" s="679">
        <f>$C$58</f>
        <v>97707</v>
      </c>
      <c r="J58" s="679"/>
      <c r="K58" s="679">
        <f>$C$58</f>
        <v>97707</v>
      </c>
      <c r="L58" s="680"/>
      <c r="M58" s="27"/>
      <c r="N58" s="27"/>
    </row>
    <row r="59" spans="1:14" s="610" customFormat="1" ht="18.75" customHeight="1">
      <c r="B59" s="678" t="s">
        <v>2927</v>
      </c>
      <c r="C59" s="679">
        <f>+'Part VI-Revenues &amp; Expenses'!F246</f>
        <v>30200</v>
      </c>
      <c r="D59" s="679"/>
      <c r="E59" s="679">
        <f>$C$59</f>
        <v>30200</v>
      </c>
      <c r="F59" s="679"/>
      <c r="G59" s="679">
        <f>$C$59</f>
        <v>30200</v>
      </c>
      <c r="H59" s="679"/>
      <c r="I59" s="679">
        <f>$C$59</f>
        <v>30200</v>
      </c>
      <c r="J59" s="679"/>
      <c r="K59" s="679">
        <f>$C$59*(1+$L$59)</f>
        <v>31408</v>
      </c>
      <c r="L59" s="687">
        <v>0.04</v>
      </c>
      <c r="M59" s="27"/>
      <c r="N59" s="27"/>
    </row>
    <row r="60" spans="1:14" s="610" customFormat="1" ht="18.75" customHeight="1">
      <c r="B60" s="678" t="s">
        <v>1348</v>
      </c>
      <c r="C60" s="679">
        <f>+'Part VI-Revenues &amp; Expenses'!L239</f>
        <v>27200</v>
      </c>
      <c r="D60" s="679"/>
      <c r="E60" s="679">
        <f>$C$60</f>
        <v>27200</v>
      </c>
      <c r="F60" s="679"/>
      <c r="G60" s="679">
        <f>$C$60</f>
        <v>27200</v>
      </c>
      <c r="H60" s="679"/>
      <c r="I60" s="679">
        <f>$C$60*(1+$J$50)</f>
        <v>28016</v>
      </c>
      <c r="J60" s="681"/>
      <c r="K60" s="679">
        <f>$C$60*(1+$J$50)</f>
        <v>28016</v>
      </c>
      <c r="L60" s="682">
        <v>0.03</v>
      </c>
      <c r="M60" s="27"/>
      <c r="N60" s="27"/>
    </row>
    <row r="61" spans="1:14" s="610" customFormat="1" ht="18.75" customHeight="1">
      <c r="B61" s="678" t="s">
        <v>1349</v>
      </c>
      <c r="C61" s="679">
        <f>+'Part VI-Revenues &amp; Expenses'!L246</f>
        <v>57030</v>
      </c>
      <c r="D61" s="679"/>
      <c r="E61" s="679">
        <f>$C$61</f>
        <v>57030</v>
      </c>
      <c r="F61" s="679"/>
      <c r="G61" s="679">
        <f>$C$61*(1+H50)</f>
        <v>59881.5</v>
      </c>
      <c r="H61" s="681"/>
      <c r="I61" s="679">
        <f>$C$61</f>
        <v>57030</v>
      </c>
      <c r="J61" s="679"/>
      <c r="K61" s="679">
        <f>$C$61*(1+$L$61)</f>
        <v>59881.5</v>
      </c>
      <c r="L61" s="682">
        <v>0.05</v>
      </c>
      <c r="M61" s="27"/>
      <c r="N61" s="27"/>
    </row>
    <row r="62" spans="1:14" s="610" customFormat="1" ht="18.75" customHeight="1">
      <c r="B62" s="684" t="s">
        <v>2928</v>
      </c>
      <c r="C62" s="685">
        <f>SUM(C58:C61)</f>
        <v>212137</v>
      </c>
      <c r="D62" s="679"/>
      <c r="E62" s="685">
        <f>SUM(E58:E61)</f>
        <v>212137</v>
      </c>
      <c r="F62" s="679"/>
      <c r="G62" s="685">
        <f>SUM(G58:G61)</f>
        <v>214988.5</v>
      </c>
      <c r="H62" s="679"/>
      <c r="I62" s="685">
        <f>SUM(I58:I61)</f>
        <v>212953</v>
      </c>
      <c r="J62" s="679"/>
      <c r="K62" s="685">
        <f>SUM(K58:K61)</f>
        <v>217012.5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100058.64319999999</v>
      </c>
      <c r="D64" s="691"/>
      <c r="E64" s="691">
        <f>E56-E62</f>
        <v>89987.815999999992</v>
      </c>
      <c r="F64" s="691"/>
      <c r="G64" s="691">
        <f>G56-G62</f>
        <v>97207.143199999991</v>
      </c>
      <c r="H64" s="691"/>
      <c r="I64" s="691">
        <f>I56-I62</f>
        <v>99242.643199999991</v>
      </c>
      <c r="J64" s="691"/>
      <c r="K64" s="691">
        <f>K56-K62</f>
        <v>85112.315999999992</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12000</v>
      </c>
      <c r="D66" s="686"/>
      <c r="E66" s="686">
        <f>$C$66</f>
        <v>12000</v>
      </c>
      <c r="F66" s="686"/>
      <c r="G66" s="686">
        <f>$C$66</f>
        <v>12000</v>
      </c>
      <c r="H66" s="686"/>
      <c r="I66" s="686">
        <f>$C$66</f>
        <v>12000</v>
      </c>
      <c r="J66" s="686"/>
      <c r="K66" s="686">
        <f>$C$66</f>
        <v>12000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23040</v>
      </c>
      <c r="D68" s="686"/>
      <c r="E68" s="686">
        <f>$C$68</f>
        <v>23040</v>
      </c>
      <c r="F68" s="686"/>
      <c r="G68" s="686">
        <f>$C$68</f>
        <v>23040</v>
      </c>
      <c r="H68" s="686"/>
      <c r="I68" s="686">
        <f>$C$68</f>
        <v>23040</v>
      </c>
      <c r="J68" s="686"/>
      <c r="K68" s="686">
        <f>$C$68</f>
        <v>23040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65018.643199999991</v>
      </c>
      <c r="D70" s="695"/>
      <c r="E70" s="694">
        <f>E64-E66-E68</f>
        <v>54947.815999999992</v>
      </c>
      <c r="F70" s="695"/>
      <c r="G70" s="694">
        <f>G64-G66-G68</f>
        <v>62167.143199999991</v>
      </c>
      <c r="H70" s="695"/>
      <c r="I70" s="694">
        <f>I64-I66-I68</f>
        <v>64202.643199999991</v>
      </c>
      <c r="J70" s="695"/>
      <c r="K70" s="694">
        <f>K64-K66-K68</f>
        <v>50072.315999999992</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2934</v>
      </c>
      <c r="C73" s="1214">
        <f>C76/C62</f>
        <v>0.30649364891555925</v>
      </c>
      <c r="D73" s="699"/>
      <c r="E73" s="1214">
        <f>E76/E62</f>
        <v>0.25902042547976067</v>
      </c>
      <c r="F73" s="699"/>
      <c r="G73" s="1214">
        <f>G76/G62</f>
        <v>0.28916497021933729</v>
      </c>
      <c r="H73" s="699"/>
      <c r="I73" s="1214">
        <f>I76/I62</f>
        <v>0.301487385479425</v>
      </c>
      <c r="J73" s="699"/>
      <c r="K73" s="1214">
        <f>K76/K62</f>
        <v>0.23073470883013647</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65018.643199999991</v>
      </c>
      <c r="D76" s="679"/>
      <c r="E76" s="679">
        <f>E70+E75</f>
        <v>54947.815999999992</v>
      </c>
      <c r="F76" s="679"/>
      <c r="G76" s="679">
        <f>G70+G75</f>
        <v>62167.143199999991</v>
      </c>
      <c r="H76" s="679"/>
      <c r="I76" s="679">
        <f>I70+I75</f>
        <v>64202.643199999991</v>
      </c>
      <c r="J76" s="679"/>
      <c r="K76" s="679">
        <f>K70+K75</f>
        <v>50072.315999999992</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9959143</v>
      </c>
    </row>
    <row r="5" spans="1:7">
      <c r="A5" s="1150" t="s">
        <v>3876</v>
      </c>
      <c r="B5" s="1151">
        <f>+B18+B26+B38</f>
        <v>110</v>
      </c>
    </row>
    <row r="6" spans="1:7">
      <c r="A6" s="1150" t="s">
        <v>3846</v>
      </c>
      <c r="B6" s="1152">
        <f>+B5-B4</f>
        <v>-9959033</v>
      </c>
    </row>
    <row r="7" spans="1:7">
      <c r="A7" s="1150" t="s">
        <v>3847</v>
      </c>
      <c r="B7" s="1153">
        <f>+B6/B4</f>
        <v>-0.99998895487292427</v>
      </c>
    </row>
    <row r="8" spans="1:7" ht="9" customHeight="1"/>
    <row r="9" spans="1:7">
      <c r="A9" s="1150" t="s">
        <v>3848</v>
      </c>
      <c r="B9" s="1151">
        <f>+B18+B26+B33</f>
        <v>0</v>
      </c>
    </row>
    <row r="10" spans="1:7">
      <c r="A10" s="1150" t="s">
        <v>3846</v>
      </c>
      <c r="B10" s="1152">
        <f>+B9-B4</f>
        <v>-9959143</v>
      </c>
    </row>
    <row r="11" spans="1:7">
      <c r="A11" s="1150" t="s">
        <v>3847</v>
      </c>
      <c r="B11" s="1153">
        <f>+B10/B4</f>
        <v>-1</v>
      </c>
    </row>
    <row r="12" spans="1:7" ht="24" customHeight="1"/>
    <row r="13" spans="1:7">
      <c r="A13" s="1149" t="s">
        <v>3849</v>
      </c>
      <c r="D13" s="1219" t="s">
        <v>4105</v>
      </c>
      <c r="E13" s="1220"/>
    </row>
    <row r="14" spans="1:7">
      <c r="A14" s="1150" t="s">
        <v>3850</v>
      </c>
      <c r="B14" s="1154">
        <f>+SUM('Part III-Sources of Funds'!L49:M50)</f>
        <v>9941250</v>
      </c>
      <c r="D14" s="1220"/>
      <c r="E14" s="1220"/>
    </row>
    <row r="15" spans="1:7">
      <c r="A15" s="1150" t="s">
        <v>3851</v>
      </c>
      <c r="B15" s="1155">
        <f>+'Part IV-A-Uses of Funds'!J173</f>
        <v>995903.3</v>
      </c>
      <c r="D15" s="1220" t="s">
        <v>1996</v>
      </c>
      <c r="G15" s="1221">
        <f>'Part IV-A-Uses of Funds'!J155</f>
        <v>11533286.700000001</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5485231.1545200013</v>
      </c>
    </row>
    <row r="20" spans="1:7">
      <c r="A20" s="1150" t="s">
        <v>3854</v>
      </c>
      <c r="B20" s="1154">
        <f>+B18-B14</f>
        <v>-9941250</v>
      </c>
      <c r="D20" s="1220" t="s">
        <v>4110</v>
      </c>
      <c r="G20" s="1223">
        <f>+B14-G19</f>
        <v>4456018.8454799987</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0</v>
      </c>
    </row>
    <row r="25" spans="1:7">
      <c r="A25" s="1150" t="s">
        <v>3858</v>
      </c>
      <c r="B25" s="1158">
        <f>IF('Part III-Sources of Funds'!E5="Yes","N/A",MAX(B46:P46))</f>
        <v>-42160.621700539283</v>
      </c>
    </row>
    <row r="26" spans="1:7">
      <c r="A26" s="1150" t="s">
        <v>3859</v>
      </c>
      <c r="B26" s="1148">
        <f>IFERROR(PV('Part III-Sources of Funds'!K38,'Part III-Sources of Funds'!L38,B25+B45),B24)</f>
        <v>0</v>
      </c>
    </row>
    <row r="27" spans="1:7" ht="9" customHeight="1">
      <c r="B27" s="1148"/>
    </row>
    <row r="28" spans="1:7">
      <c r="A28" s="1150" t="s">
        <v>3860</v>
      </c>
      <c r="B28" s="1159">
        <f>+B26-B24</f>
        <v>0</v>
      </c>
      <c r="C28" s="1160"/>
    </row>
    <row r="29" spans="1:7">
      <c r="A29" s="1150" t="s">
        <v>3855</v>
      </c>
      <c r="B29" s="1161" t="e">
        <f>+B28/B24</f>
        <v>#DIV/0!</v>
      </c>
    </row>
    <row r="30" spans="1:7" ht="24" customHeight="1"/>
    <row r="31" spans="1:7">
      <c r="A31" s="1149" t="s">
        <v>3768</v>
      </c>
    </row>
    <row r="32" spans="1:7">
      <c r="A32" s="1150" t="s">
        <v>3861</v>
      </c>
      <c r="B32" s="1162">
        <f>+'Part III-Sources of Funds'!I43</f>
        <v>19127</v>
      </c>
    </row>
    <row r="33" spans="1:11">
      <c r="A33" s="1150" t="s">
        <v>3862</v>
      </c>
      <c r="B33" s="1148"/>
    </row>
    <row r="34" spans="1:11" ht="9" customHeight="1">
      <c r="B34" s="1148"/>
    </row>
    <row r="35" spans="1:11">
      <c r="A35" s="1150" t="s">
        <v>3863</v>
      </c>
      <c r="B35" s="1162">
        <f>+B33-B32</f>
        <v>-19127</v>
      </c>
    </row>
    <row r="36" spans="1:11">
      <c r="A36" s="1150" t="s">
        <v>3864</v>
      </c>
      <c r="B36" s="1147">
        <f>+B35/B32</f>
        <v>-1</v>
      </c>
    </row>
    <row r="37" spans="1:11" ht="24" customHeight="1">
      <c r="B37" s="1148"/>
    </row>
    <row r="38" spans="1:11">
      <c r="A38" s="1149" t="s">
        <v>3865</v>
      </c>
      <c r="B38" s="1148">
        <f>+SUM('Part III-Sources of Funds'!I42,'Part III-Sources of Funds'!I47,'Part III-Sources of Funds'!I48,'Part III-Sources of Funds'!I51:I57)</f>
        <v>110</v>
      </c>
    </row>
    <row r="39" spans="1:11">
      <c r="B39" s="1148"/>
    </row>
    <row r="40" spans="1:11">
      <c r="B40" s="1148"/>
    </row>
    <row r="41" spans="1:11">
      <c r="B41" s="1148"/>
    </row>
    <row r="42" spans="1:11">
      <c r="A42" s="1149" t="s">
        <v>3866</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65018.643199999991</v>
      </c>
      <c r="C44" s="1151">
        <f>+'Part VII-Pro Forma'!C24</f>
        <v>63847.446063999989</v>
      </c>
      <c r="D44" s="1151">
        <f>+'Part VII-Pro Forma'!D24</f>
        <v>62578.40388528</v>
      </c>
      <c r="E44" s="1151">
        <f>+'Part VII-Pro Forma'!E24</f>
        <v>61207.962529985569</v>
      </c>
      <c r="F44" s="1151">
        <f>+'Part VII-Pro Forma'!F24</f>
        <v>59730.436264595301</v>
      </c>
      <c r="G44" s="1151">
        <f>+'Part VII-Pro Forma'!G24</f>
        <v>58143.003308417552</v>
      </c>
      <c r="H44" s="1151">
        <f>+'Part VII-Pro Forma'!H24</f>
        <v>56440.701242672134</v>
      </c>
      <c r="I44" s="1151">
        <f>+'Part VII-Pro Forma'!I24</f>
        <v>54618.422271654286</v>
      </c>
      <c r="J44" s="1151">
        <f>+'Part VII-Pro Forma'!J24</f>
        <v>52670.908331340106</v>
      </c>
      <c r="K44" s="1151">
        <f>+'Part VII-Pro Forma'!K24</f>
        <v>50592.746040647136</v>
      </c>
    </row>
    <row r="45" spans="1:11">
      <c r="A45" s="1150" t="s">
        <v>3867</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3868</v>
      </c>
      <c r="B46" s="1152">
        <f t="shared" ref="B46:K46" si="0">-B44/B48-B45</f>
        <v>-54182.202666666664</v>
      </c>
      <c r="C46" s="1152">
        <f t="shared" si="0"/>
        <v>-53206.205053333324</v>
      </c>
      <c r="D46" s="1152">
        <f t="shared" si="0"/>
        <v>-52148.669904400005</v>
      </c>
      <c r="E46" s="1152">
        <f t="shared" si="0"/>
        <v>-51006.635441654646</v>
      </c>
      <c r="F46" s="1152">
        <f t="shared" si="0"/>
        <v>-49775.363553829418</v>
      </c>
      <c r="G46" s="1152">
        <f t="shared" si="0"/>
        <v>-48452.502757014627</v>
      </c>
      <c r="H46" s="1152">
        <f t="shared" si="0"/>
        <v>-47033.917702226783</v>
      </c>
      <c r="I46" s="1152">
        <f t="shared" si="0"/>
        <v>-45515.351893045241</v>
      </c>
      <c r="J46" s="1152">
        <f t="shared" si="0"/>
        <v>-43892.423609450088</v>
      </c>
      <c r="K46" s="1152">
        <f t="shared" si="0"/>
        <v>-42160.621700539283</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65018.643199999991</v>
      </c>
      <c r="C51" s="1152">
        <f t="shared" ref="C51:K51" si="2">+C44</f>
        <v>63847.446063999989</v>
      </c>
      <c r="D51" s="1152">
        <f t="shared" si="2"/>
        <v>62578.40388528</v>
      </c>
      <c r="E51" s="1152">
        <f t="shared" si="2"/>
        <v>61207.962529985569</v>
      </c>
      <c r="F51" s="1152">
        <f t="shared" si="2"/>
        <v>59730.436264595301</v>
      </c>
      <c r="G51" s="1152">
        <f t="shared" si="2"/>
        <v>58143.003308417552</v>
      </c>
      <c r="H51" s="1152">
        <f t="shared" si="2"/>
        <v>56440.701242672134</v>
      </c>
      <c r="I51" s="1152">
        <f t="shared" si="2"/>
        <v>54618.422271654286</v>
      </c>
      <c r="J51" s="1152">
        <f t="shared" si="2"/>
        <v>52670.908331340106</v>
      </c>
      <c r="K51" s="1152">
        <f t="shared" si="2"/>
        <v>50592.746040647136</v>
      </c>
    </row>
    <row r="52" spans="1:17">
      <c r="A52" s="1150" t="s">
        <v>3870</v>
      </c>
      <c r="B52" s="1152">
        <f>IF($B$25="N/A",B45,B45+$B$25)</f>
        <v>-42160.621700539283</v>
      </c>
      <c r="C52" s="1152">
        <f t="shared" ref="C52:K52" si="3">IF($B$25="N/A",C45,C45+$B$25)</f>
        <v>-42160.621700539283</v>
      </c>
      <c r="D52" s="1152">
        <f t="shared" si="3"/>
        <v>-42160.621700539283</v>
      </c>
      <c r="E52" s="1152">
        <f t="shared" si="3"/>
        <v>-42160.621700539283</v>
      </c>
      <c r="F52" s="1152">
        <f t="shared" si="3"/>
        <v>-42160.621700539283</v>
      </c>
      <c r="G52" s="1152">
        <f t="shared" si="3"/>
        <v>-42160.621700539283</v>
      </c>
      <c r="H52" s="1152">
        <f t="shared" si="3"/>
        <v>-42160.621700539283</v>
      </c>
      <c r="I52" s="1152">
        <f t="shared" si="3"/>
        <v>-42160.621700539283</v>
      </c>
      <c r="J52" s="1152">
        <f t="shared" si="3"/>
        <v>-42160.621700539283</v>
      </c>
      <c r="K52" s="1152">
        <f t="shared" si="3"/>
        <v>-42160.621700539283</v>
      </c>
    </row>
    <row r="53" spans="1:17">
      <c r="A53" s="1150" t="s">
        <v>3871</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3872</v>
      </c>
      <c r="B54" s="1152">
        <f>+SUM(B51:B53)</f>
        <v>17858.021499460709</v>
      </c>
      <c r="C54" s="1152">
        <f t="shared" ref="C54:K54" si="4">+SUM(C51:C53)</f>
        <v>16686.824363460706</v>
      </c>
      <c r="D54" s="1152">
        <f t="shared" si="4"/>
        <v>15417.782184740718</v>
      </c>
      <c r="E54" s="1152">
        <f t="shared" si="4"/>
        <v>14047.340829446286</v>
      </c>
      <c r="F54" s="1152">
        <f t="shared" si="4"/>
        <v>12569.814564056018</v>
      </c>
      <c r="G54" s="1152">
        <f t="shared" si="4"/>
        <v>10982.381607878269</v>
      </c>
      <c r="H54" s="1152">
        <f t="shared" si="4"/>
        <v>9280.0795421328512</v>
      </c>
      <c r="I54" s="1152">
        <f t="shared" si="4"/>
        <v>7457.8005711150035</v>
      </c>
      <c r="J54" s="1152">
        <f t="shared" si="4"/>
        <v>5510.2866308008233</v>
      </c>
      <c r="K54" s="1152">
        <f t="shared" si="4"/>
        <v>3432.1243401078536</v>
      </c>
    </row>
    <row r="55" spans="1:17">
      <c r="A55" s="1150" t="s">
        <v>3768</v>
      </c>
      <c r="B55" s="1152">
        <f>-B54</f>
        <v>-17858.021499460709</v>
      </c>
      <c r="C55" s="1152">
        <f t="shared" ref="C55:K55" si="5">-C54</f>
        <v>-16686.824363460706</v>
      </c>
      <c r="D55" s="1152">
        <f t="shared" si="5"/>
        <v>-15417.782184740718</v>
      </c>
      <c r="E55" s="1152">
        <f t="shared" si="5"/>
        <v>-14047.340829446286</v>
      </c>
      <c r="F55" s="1152">
        <f t="shared" si="5"/>
        <v>-12569.814564056018</v>
      </c>
      <c r="G55" s="1152">
        <f t="shared" si="5"/>
        <v>-10982.381607878269</v>
      </c>
      <c r="H55" s="1152">
        <f t="shared" si="5"/>
        <v>-9280.0795421328512</v>
      </c>
      <c r="I55" s="1152">
        <f t="shared" si="5"/>
        <v>-7457.8005711150035</v>
      </c>
      <c r="J55" s="1152">
        <f t="shared" si="5"/>
        <v>-5510.2866308008233</v>
      </c>
      <c r="K55" s="1152">
        <f t="shared" si="5"/>
        <v>-3432.1243401078536</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-42160.621700539283</v>
      </c>
      <c r="C58" s="1151">
        <f>IF($B$26="","",-FV('Part III-Sources of Funds'!$K$38/12,12,C52/12,B58))</f>
        <v>-84321.243401078566</v>
      </c>
      <c r="D58" s="1151">
        <f>IF($B$26="","",-FV('Part III-Sources of Funds'!$K$38/12,12,D52/12,C58))</f>
        <v>-126481.86510161785</v>
      </c>
      <c r="E58" s="1151">
        <f>IF($B$26="","",-FV('Part III-Sources of Funds'!$K$38/12,12,E52/12,D58))</f>
        <v>-168642.48680215713</v>
      </c>
      <c r="F58" s="1151">
        <f>IF($B$26="","",-FV('Part III-Sources of Funds'!$K$38/12,12,F52/12,E58))</f>
        <v>-210803.10850269641</v>
      </c>
      <c r="G58" s="1151">
        <f>IF($B$26="","",-FV('Part III-Sources of Funds'!$K$38/12,12,G52/12,F58))</f>
        <v>-252963.7302032357</v>
      </c>
      <c r="H58" s="1151">
        <f>IF($B$26="","",-FV('Part III-Sources of Funds'!$K$38/12,12,H52/12,G58))</f>
        <v>-295124.35190377501</v>
      </c>
      <c r="I58" s="1151">
        <f>IF($B$26="","",-FV('Part III-Sources of Funds'!$K$38/12,12,I52/12,H58))</f>
        <v>-337284.97360431426</v>
      </c>
      <c r="J58" s="1151">
        <f>IF($B$26="","",-FV('Part III-Sources of Funds'!$K$38/12,12,J52/12,I58))</f>
        <v>-379445.59530485352</v>
      </c>
      <c r="K58" s="1151">
        <f>IF($B$26="","",-FV('Part III-Sources of Funds'!$K$38/12,12,K52/12,J58))</f>
        <v>-421606.21700539277</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48379.361490420692</v>
      </c>
      <c r="C64" s="1151">
        <f>+'Part VII-Pro Forma'!C56</f>
        <v>46025.014865058518</v>
      </c>
      <c r="D64" s="1151">
        <f>+'Part VII-Pro Forma'!D56</f>
        <v>43523.794891534191</v>
      </c>
      <c r="E64" s="1151">
        <f>+'Part VII-Pro Forma'!E56</f>
        <v>40870.613110414459</v>
      </c>
      <c r="F64" s="1151">
        <f>+'Part VII-Pro Forma'!F56</f>
        <v>38058.197963303755</v>
      </c>
      <c r="G64" s="1151">
        <f>+'Part VII-Pro Forma'!G56</f>
        <v>35080.088690971155</v>
      </c>
      <c r="H64" s="1151">
        <f>+'Part VII-Pro Forma'!H56</f>
        <v>31931.629036244325</v>
      </c>
      <c r="I64" s="1151">
        <f>+'Part VII-Pro Forma'!I56</f>
        <v>28602.960745566306</v>
      </c>
      <c r="J64" s="1151">
        <f>+'Part VII-Pro Forma'!J56</f>
        <v>25090.016862932687</v>
      </c>
      <c r="K64" s="1151">
        <f>+'Part VII-Pro Forma'!K56</f>
        <v>21383.514809720105</v>
      </c>
    </row>
    <row r="65" spans="1:11">
      <c r="A65" s="1150" t="s">
        <v>3867</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3868</v>
      </c>
      <c r="B66" s="1152">
        <f t="shared" ref="B66:K66" si="7">-B64/B68-B65</f>
        <v>-40316.134575350581</v>
      </c>
      <c r="C66" s="1152">
        <f t="shared" si="7"/>
        <v>-38354.179054215434</v>
      </c>
      <c r="D66" s="1152">
        <f t="shared" si="7"/>
        <v>-36269.829076278496</v>
      </c>
      <c r="E66" s="1152">
        <f t="shared" si="7"/>
        <v>-34058.844258678721</v>
      </c>
      <c r="F66" s="1152">
        <f t="shared" si="7"/>
        <v>-31715.164969419799</v>
      </c>
      <c r="G66" s="1152">
        <f t="shared" si="7"/>
        <v>-29233.407242475965</v>
      </c>
      <c r="H66" s="1152">
        <f t="shared" si="7"/>
        <v>-26609.69086353694</v>
      </c>
      <c r="I66" s="1152">
        <f t="shared" si="7"/>
        <v>-23835.800621305258</v>
      </c>
      <c r="J66" s="1152">
        <f t="shared" si="7"/>
        <v>-20908.347385777241</v>
      </c>
      <c r="K66" s="1152">
        <f t="shared" si="7"/>
        <v>-17819.595674766755</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48379.361490420692</v>
      </c>
      <c r="C71" s="1152">
        <f t="shared" si="9"/>
        <v>46025.014865058518</v>
      </c>
      <c r="D71" s="1152">
        <f t="shared" si="9"/>
        <v>43523.794891534191</v>
      </c>
      <c r="E71" s="1152">
        <f t="shared" si="9"/>
        <v>40870.613110414459</v>
      </c>
      <c r="F71" s="1152">
        <f t="shared" si="9"/>
        <v>38058.197963303755</v>
      </c>
      <c r="G71" s="1152">
        <f t="shared" si="9"/>
        <v>35080.088690971155</v>
      </c>
      <c r="H71" s="1152">
        <f>+H64</f>
        <v>31931.629036244325</v>
      </c>
      <c r="I71" s="1152">
        <f>+I64</f>
        <v>28602.960745566306</v>
      </c>
      <c r="J71" s="1152">
        <f>+J64</f>
        <v>25090.016862932687</v>
      </c>
      <c r="K71" s="1152">
        <f>+K64</f>
        <v>21383.514809720105</v>
      </c>
    </row>
    <row r="72" spans="1:11">
      <c r="A72" s="1150" t="s">
        <v>3870</v>
      </c>
      <c r="B72" s="1152">
        <f t="shared" ref="B72:G72" si="10">IF($B$25="N/A",B65,B65+$B$25)</f>
        <v>-42160.621700539283</v>
      </c>
      <c r="C72" s="1152">
        <f t="shared" si="10"/>
        <v>-42160.621700539283</v>
      </c>
      <c r="D72" s="1152">
        <f t="shared" si="10"/>
        <v>-42160.621700539283</v>
      </c>
      <c r="E72" s="1152">
        <f t="shared" si="10"/>
        <v>-42160.621700539283</v>
      </c>
      <c r="F72" s="1152">
        <f t="shared" si="10"/>
        <v>-42160.621700539283</v>
      </c>
      <c r="G72" s="1152">
        <f t="shared" si="10"/>
        <v>-42160.621700539283</v>
      </c>
      <c r="H72" s="1152">
        <f>IF($B$25="N/A",H65,H65+$B$25)</f>
        <v>-42160.621700539283</v>
      </c>
      <c r="I72" s="1152">
        <f>IF($B$25="N/A",I65,I65+$B$25)</f>
        <v>-42160.621700539283</v>
      </c>
      <c r="J72" s="1152">
        <f>IF($B$25="N/A",J65,J65+$B$25)</f>
        <v>-42160.621700539283</v>
      </c>
      <c r="K72" s="1152">
        <f>IF($B$25="N/A",K65,K65+$B$25)</f>
        <v>-42160.621700539283</v>
      </c>
    </row>
    <row r="73" spans="1:11">
      <c r="A73" s="1150" t="s">
        <v>3871</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3872</v>
      </c>
      <c r="B74" s="1152">
        <f t="shared" ref="B74:G74" si="11">+SUM(B71:B73)</f>
        <v>1218.7397898814088</v>
      </c>
      <c r="C74" s="1152">
        <f t="shared" si="11"/>
        <v>-1135.6068354807649</v>
      </c>
      <c r="D74" s="1152">
        <f t="shared" si="11"/>
        <v>-3636.8268090050915</v>
      </c>
      <c r="E74" s="1152">
        <f t="shared" si="11"/>
        <v>-6290.008590124824</v>
      </c>
      <c r="F74" s="1152">
        <f t="shared" si="11"/>
        <v>-9102.4237372355274</v>
      </c>
      <c r="G74" s="1152">
        <f t="shared" si="11"/>
        <v>-12080.533009568127</v>
      </c>
      <c r="H74" s="1152">
        <f>+SUM(H71:H73)</f>
        <v>-15228.992664294958</v>
      </c>
      <c r="I74" s="1152">
        <f>+SUM(I71:I73)</f>
        <v>-18557.660954972976</v>
      </c>
      <c r="J74" s="1152">
        <f>+SUM(J71:J73)</f>
        <v>-22070.604837606596</v>
      </c>
      <c r="K74" s="1152">
        <f>+SUM(K71:K73)</f>
        <v>-25777.106890819177</v>
      </c>
    </row>
    <row r="75" spans="1:11">
      <c r="A75" s="1150" t="s">
        <v>3768</v>
      </c>
      <c r="B75" s="1152">
        <f t="shared" ref="B75:G75" si="12">-B74</f>
        <v>-1218.7397898814088</v>
      </c>
      <c r="C75" s="1152">
        <f t="shared" si="12"/>
        <v>1135.6068354807649</v>
      </c>
      <c r="D75" s="1152">
        <f t="shared" si="12"/>
        <v>3636.8268090050915</v>
      </c>
      <c r="E75" s="1152">
        <f t="shared" si="12"/>
        <v>6290.008590124824</v>
      </c>
      <c r="F75" s="1152">
        <f t="shared" si="12"/>
        <v>9102.4237372355274</v>
      </c>
      <c r="G75" s="1152">
        <f t="shared" si="12"/>
        <v>12080.533009568127</v>
      </c>
      <c r="H75" s="1152">
        <f>-H74</f>
        <v>15228.992664294958</v>
      </c>
      <c r="I75" s="1152">
        <f>-I74</f>
        <v>18557.660954972976</v>
      </c>
      <c r="J75" s="1152">
        <f>-J74</f>
        <v>22070.604837606596</v>
      </c>
      <c r="K75" s="1152">
        <f>-K74</f>
        <v>25777.106890819177</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-463766.83870593202</v>
      </c>
      <c r="C78" s="1151">
        <f>IF($B$26="","",-FV('Part III-Sources of Funds'!$K$38/12,12,C72/12,B78))</f>
        <v>-505927.46040647128</v>
      </c>
      <c r="D78" s="1151">
        <f>IF($B$26="","",-FV('Part III-Sources of Funds'!$K$38/12,12,D72/12,C78))</f>
        <v>-548088.08210701053</v>
      </c>
      <c r="E78" s="1151">
        <f>IF($B$26="","",-FV('Part III-Sources of Funds'!$K$38/12,12,E72/12,D78))</f>
        <v>-590248.70380754978</v>
      </c>
      <c r="F78" s="1151">
        <f>IF($B$26="","",-FV('Part III-Sources of Funds'!$K$38/12,12,F72/12,E78))</f>
        <v>-632409.32550808904</v>
      </c>
      <c r="G78" s="1151">
        <f>IF($B$26="","",-FV('Part III-Sources of Funds'!$K$38/12,12,G72/12,F78))</f>
        <v>-674569.94720862829</v>
      </c>
      <c r="H78" s="1151">
        <f>IF($B$26="","",-FV('Part III-Sources of Funds'!$K$38/12,12,H72/12,G78))</f>
        <v>-716730.56890916754</v>
      </c>
      <c r="I78" s="1151">
        <f>IF($B$26="","",-FV('Part III-Sources of Funds'!$K$38/12,12,I72/12,H78))</f>
        <v>-758891.1906097068</v>
      </c>
      <c r="J78" s="1151">
        <f>IF($B$26="","",-FV('Part III-Sources of Funds'!$K$38/12,12,J72/12,I78))</f>
        <v>-801051.81231024605</v>
      </c>
      <c r="K78" s="1151">
        <f>IF($B$26="","",-FV('Part III-Sources of Funds'!$K$38/12,12,K72/12,J78))</f>
        <v>-843212.43401078531</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Boxwood Heights</v>
      </c>
    </row>
    <row r="2" spans="1:15" ht="13.5" customHeight="1"/>
    <row r="3" spans="1:15" ht="13.5" customHeight="1">
      <c r="A3" s="620" t="s">
        <v>2941</v>
      </c>
      <c r="C3" s="619" t="s">
        <v>2942</v>
      </c>
      <c r="E3" s="705">
        <f>SUM('Part IV-A-Uses of Funds'!J149,'Part IV-A-Uses of Funds'!M149,'Part IV-A-Uses of Funds'!P149)</f>
        <v>8871759</v>
      </c>
      <c r="F3" s="1238" t="s">
        <v>2943</v>
      </c>
      <c r="H3" s="1215">
        <v>27.5</v>
      </c>
      <c r="I3" s="619" t="s">
        <v>2404</v>
      </c>
      <c r="K3" s="624" t="s">
        <v>2964</v>
      </c>
      <c r="M3" s="1238"/>
      <c r="O3" s="706"/>
    </row>
    <row r="4" spans="1:15" ht="13.5" customHeight="1">
      <c r="C4" s="619" t="s">
        <v>3424</v>
      </c>
      <c r="E4" s="705">
        <f>SUM('Part IV-A-Uses of Funds'!G85:H89)</f>
        <v>0</v>
      </c>
      <c r="F4" s="1238" t="s">
        <v>4097</v>
      </c>
      <c r="H4" s="620">
        <f>'Part III-Sources of Funds'!M38</f>
        <v>0</v>
      </c>
      <c r="I4" s="619" t="s">
        <v>2404</v>
      </c>
      <c r="K4" s="707" t="s">
        <v>3207</v>
      </c>
      <c r="M4" s="1238"/>
    </row>
    <row r="5" spans="1:15" ht="13.5" customHeight="1">
      <c r="C5" s="619" t="s">
        <v>3425</v>
      </c>
      <c r="E5" s="705">
        <f>SUM('Part IV-A-Uses of Funds'!G96:H102)</f>
        <v>127500</v>
      </c>
      <c r="F5" s="1238" t="s">
        <v>4096</v>
      </c>
      <c r="H5" s="1215">
        <v>15</v>
      </c>
      <c r="I5" s="619" t="s">
        <v>2404</v>
      </c>
      <c r="K5" s="706">
        <f>-E6</f>
        <v>-9939906</v>
      </c>
    </row>
    <row r="6" spans="1:15" ht="13.5" customHeight="1">
      <c r="C6" s="619" t="s">
        <v>2944</v>
      </c>
      <c r="E6" s="708">
        <f>'Part III-Sources of Funds'!$I$49+'Part III-Sources of Funds'!$I$50</f>
        <v>9939906</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40891.643199999991</v>
      </c>
      <c r="D9" s="713">
        <f>'Part VII-Pro Forma'!C32</f>
        <v>58847.446063999989</v>
      </c>
      <c r="E9" s="713">
        <f>'Part VII-Pro Forma'!D32</f>
        <v>57578.40388528</v>
      </c>
      <c r="F9" s="713">
        <f>'Part VII-Pro Forma'!E32</f>
        <v>56207.962529985569</v>
      </c>
      <c r="G9" s="713">
        <f>'Part VII-Pro Forma'!F32</f>
        <v>54730.436264595301</v>
      </c>
      <c r="H9" s="713">
        <f>'Part VII-Pro Forma'!G32</f>
        <v>53143.003308417552</v>
      </c>
      <c r="I9" s="713">
        <f>'Part VII-Pro Forma'!H32</f>
        <v>51440.701242672134</v>
      </c>
      <c r="K9" s="706" t="e">
        <f>F24</f>
        <v>#VALUE!</v>
      </c>
      <c r="N9" s="714" t="s">
        <v>2950</v>
      </c>
    </row>
    <row r="10" spans="1:15" ht="13.5" customHeight="1">
      <c r="A10" s="619" t="s">
        <v>2949</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3426</v>
      </c>
      <c r="B13" s="718"/>
      <c r="C13" s="1176">
        <f>'Part VII-Pro Forma'!B22</f>
        <v>-12000</v>
      </c>
      <c r="D13" s="1176">
        <f>'Part VII-Pro Forma'!C22</f>
        <v>-12360</v>
      </c>
      <c r="E13" s="1176">
        <f>'Part VII-Pro Forma'!D22</f>
        <v>-12730.8</v>
      </c>
      <c r="F13" s="1176">
        <f>'Part VII-Pro Forma'!E22</f>
        <v>-13112.724</v>
      </c>
      <c r="G13" s="1176">
        <f>'Part VII-Pro Forma'!F22</f>
        <v>-13506.10572</v>
      </c>
      <c r="H13" s="1176">
        <f>'Part VII-Pro Forma'!G22</f>
        <v>-13911.288891599997</v>
      </c>
      <c r="I13" s="1176">
        <f>'Part VII-Pro Forma'!H22</f>
        <v>-14328.627558347998</v>
      </c>
      <c r="K13" s="706" t="e">
        <f>C44</f>
        <v>#VALUE!</v>
      </c>
      <c r="O13" s="711"/>
    </row>
    <row r="14" spans="1:15" ht="13.5" customHeight="1">
      <c r="A14" s="717" t="s">
        <v>3427</v>
      </c>
      <c r="B14" s="718"/>
      <c r="C14" s="1176">
        <f>'Part VII-Pro Forma'!B31</f>
        <v>-19127</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2956</v>
      </c>
      <c r="O14" s="711" t="e">
        <f>O6-O8-O12</f>
        <v>#VALUE!</v>
      </c>
    </row>
    <row r="15" spans="1:15" ht="13.5" customHeight="1">
      <c r="A15" s="719" t="s">
        <v>2952</v>
      </c>
      <c r="C15" s="720">
        <f t="shared" ref="C15:I15" si="0">$E$3/$H$3</f>
        <v>322609.41818181815</v>
      </c>
      <c r="D15" s="720">
        <f t="shared" si="0"/>
        <v>322609.41818181815</v>
      </c>
      <c r="E15" s="720">
        <f t="shared" si="0"/>
        <v>322609.41818181815</v>
      </c>
      <c r="F15" s="720">
        <f t="shared" si="0"/>
        <v>322609.41818181815</v>
      </c>
      <c r="G15" s="720">
        <f t="shared" si="0"/>
        <v>322609.41818181815</v>
      </c>
      <c r="H15" s="720">
        <f t="shared" si="0"/>
        <v>322609.41818181815</v>
      </c>
      <c r="I15" s="720">
        <f t="shared" si="0"/>
        <v>322609.41818181815</v>
      </c>
      <c r="K15" s="706" t="e">
        <f>E44</f>
        <v>#VALUE!</v>
      </c>
      <c r="O15" s="711"/>
    </row>
    <row r="16" spans="1:15" ht="13.5" customHeight="1">
      <c r="A16" s="719" t="s">
        <v>2954</v>
      </c>
      <c r="C16" s="720">
        <f>IF(C$8&lt;=$H$4,($E$4/$H$4),0)+IF(C$8&lt;=$H$5,($E$5/$H$5),0)</f>
        <v>8500</v>
      </c>
      <c r="D16" s="720">
        <f t="shared" ref="D16:I16" si="1">IF(D$8&lt;=$H$4,($E$4/$H$4),0)+IF(D$8&lt;=$H$5,($E$5/$H$5),0)</f>
        <v>8500</v>
      </c>
      <c r="E16" s="720">
        <f t="shared" si="1"/>
        <v>8500</v>
      </c>
      <c r="F16" s="720">
        <f t="shared" si="1"/>
        <v>8500</v>
      </c>
      <c r="G16" s="720">
        <f t="shared" si="1"/>
        <v>8500</v>
      </c>
      <c r="H16" s="720">
        <f t="shared" si="1"/>
        <v>8500</v>
      </c>
      <c r="I16" s="720">
        <f t="shared" si="1"/>
        <v>8500</v>
      </c>
      <c r="K16" s="706" t="e">
        <f>F44</f>
        <v>#VALUE!</v>
      </c>
      <c r="M16" s="619" t="s">
        <v>2958</v>
      </c>
      <c r="O16" s="711">
        <f>E3</f>
        <v>8871759</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6452188.3636363633</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2419570.6363636367</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825000</v>
      </c>
      <c r="D21" s="721">
        <f t="shared" ref="D21:I21" si="5">C21</f>
        <v>825000</v>
      </c>
      <c r="E21" s="721">
        <f t="shared" si="5"/>
        <v>825000</v>
      </c>
      <c r="F21" s="721">
        <f t="shared" si="5"/>
        <v>825000</v>
      </c>
      <c r="G21" s="721">
        <f t="shared" si="5"/>
        <v>825000</v>
      </c>
      <c r="H21" s="721">
        <f t="shared" si="5"/>
        <v>825000</v>
      </c>
      <c r="I21" s="721">
        <f t="shared" si="5"/>
        <v>825000</v>
      </c>
      <c r="J21" s="619" t="s">
        <v>238</v>
      </c>
      <c r="K21" s="706" t="e">
        <f>D64</f>
        <v>#VALUE!</v>
      </c>
      <c r="O21" s="711"/>
    </row>
    <row r="22" spans="1:17" ht="13.5" customHeight="1">
      <c r="A22" s="619" t="s">
        <v>2961</v>
      </c>
      <c r="C22" s="721">
        <f>C21</f>
        <v>825000</v>
      </c>
      <c r="D22" s="721">
        <f t="shared" ref="D22:I22" si="6">D21</f>
        <v>825000</v>
      </c>
      <c r="E22" s="721">
        <f t="shared" si="6"/>
        <v>825000</v>
      </c>
      <c r="F22" s="721">
        <f t="shared" si="6"/>
        <v>825000</v>
      </c>
      <c r="G22" s="721">
        <f t="shared" si="6"/>
        <v>825000</v>
      </c>
      <c r="H22" s="721">
        <f t="shared" si="6"/>
        <v>825000</v>
      </c>
      <c r="I22" s="721">
        <f t="shared" si="6"/>
        <v>825000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2419570.6363636367</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-2419570.6363636367</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49618.422271654286</v>
      </c>
      <c r="D29" s="713">
        <f>'Part VII-Pro Forma'!J32</f>
        <v>47670.908331340106</v>
      </c>
      <c r="E29" s="713">
        <f>'Part VII-Pro Forma'!K32</f>
        <v>45592.746040647136</v>
      </c>
      <c r="F29" s="713">
        <f>'Part VII-Pro Forma'!B64</f>
        <v>43379.361490420692</v>
      </c>
      <c r="G29" s="713">
        <f>'Part VII-Pro Forma'!C64</f>
        <v>41025.014865058518</v>
      </c>
      <c r="H29" s="713">
        <f>'Part VII-Pro Forma'!D64</f>
        <v>38523.794891534191</v>
      </c>
      <c r="I29" s="713">
        <f>'Part VII-Pro Forma'!E64</f>
        <v>35870.613110414459</v>
      </c>
      <c r="N29" s="724"/>
      <c r="O29" s="724"/>
    </row>
    <row r="30" spans="1:17" ht="13.5" customHeight="1">
      <c r="A30" s="619" t="s">
        <v>2949</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-483914.12727272738</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-14758.48638509844</v>
      </c>
      <c r="D33" s="1176">
        <f>'Part VII-Pro Forma'!J22</f>
        <v>-15201.240976651392</v>
      </c>
      <c r="E33" s="1176">
        <f>'Part VII-Pro Forma'!K22</f>
        <v>-15657.278205950934</v>
      </c>
      <c r="F33" s="1176">
        <f>'Part VII-Pro Forma'!B54</f>
        <v>-16126.996552129462</v>
      </c>
      <c r="G33" s="1176">
        <f>'Part VII-Pro Forma'!C54</f>
        <v>-16610.806448693347</v>
      </c>
      <c r="H33" s="1176">
        <f>'Part VII-Pro Forma'!D54</f>
        <v>-17109.130642154145</v>
      </c>
      <c r="I33" s="1176">
        <f>'Part VII-Pro Forma'!E54</f>
        <v>-17622.404561418767</v>
      </c>
      <c r="K33" s="619" t="s">
        <v>238</v>
      </c>
      <c r="M33" s="619" t="s">
        <v>2969</v>
      </c>
      <c r="O33" s="713" t="e">
        <f>O14-O31</f>
        <v>#VALUE!</v>
      </c>
    </row>
    <row r="34" spans="1:15" ht="13.5" customHeight="1">
      <c r="A34" s="717" t="s">
        <v>3427</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322609.41818181815</v>
      </c>
      <c r="D35" s="720">
        <f t="shared" si="8"/>
        <v>322609.41818181815</v>
      </c>
      <c r="E35" s="720">
        <f t="shared" si="8"/>
        <v>322609.41818181815</v>
      </c>
      <c r="F35" s="720">
        <f t="shared" si="8"/>
        <v>322609.41818181815</v>
      </c>
      <c r="G35" s="720">
        <f t="shared" si="8"/>
        <v>322609.41818181815</v>
      </c>
      <c r="H35" s="720">
        <f t="shared" si="8"/>
        <v>322609.41818181815</v>
      </c>
      <c r="I35" s="720">
        <f t="shared" si="8"/>
        <v>322609.41818181815</v>
      </c>
    </row>
    <row r="36" spans="1:15" ht="13.5" customHeight="1">
      <c r="A36" s="719" t="s">
        <v>2954</v>
      </c>
      <c r="C36" s="713">
        <f>IF(C$28&lt;=$H$4,($E$4/$H$4),0)+IF(C$28&lt;=$H$5,($E$5/$H$5),0)</f>
        <v>8500</v>
      </c>
      <c r="D36" s="713">
        <f t="shared" ref="D36:I36" si="9">IF(D$28&lt;=$H$4,($E$4/$H$4),0)+IF(D$28&lt;=$H$5,($E$5/$H$5),0)</f>
        <v>8500</v>
      </c>
      <c r="E36" s="713">
        <f t="shared" si="9"/>
        <v>8500</v>
      </c>
      <c r="F36" s="713">
        <f t="shared" si="9"/>
        <v>8500</v>
      </c>
      <c r="G36" s="713">
        <f t="shared" si="9"/>
        <v>8500</v>
      </c>
      <c r="H36" s="713">
        <f t="shared" si="9"/>
        <v>8500</v>
      </c>
      <c r="I36" s="713">
        <f t="shared" si="9"/>
        <v>8500</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825000</v>
      </c>
      <c r="D41" s="721">
        <f>C41</f>
        <v>825000</v>
      </c>
      <c r="E41" s="721">
        <f>D41</f>
        <v>825000</v>
      </c>
      <c r="F41" s="721">
        <v>0</v>
      </c>
      <c r="G41" s="721">
        <v>0</v>
      </c>
      <c r="H41" s="721">
        <v>0</v>
      </c>
      <c r="I41" s="721">
        <v>0</v>
      </c>
    </row>
    <row r="42" spans="1:15" ht="13.5" customHeight="1">
      <c r="A42" s="619" t="s">
        <v>2961</v>
      </c>
      <c r="C42" s="721">
        <f>C22</f>
        <v>825000</v>
      </c>
      <c r="D42" s="721">
        <f>C42</f>
        <v>825000</v>
      </c>
      <c r="E42" s="721">
        <f>D42</f>
        <v>825000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33058.197963303755</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-18151.076698261331</v>
      </c>
      <c r="D53" s="1176">
        <f>'Part VII-Pro Forma'!G54</f>
        <v>-18695.608999209173</v>
      </c>
      <c r="E53" s="1176">
        <f>'Part VII-Pro Forma'!H54</f>
        <v>-19256.477269185445</v>
      </c>
      <c r="F53" s="1176">
        <f>'Part VII-Pro Forma'!I54</f>
        <v>-19834.171587261008</v>
      </c>
      <c r="G53" s="1176">
        <f>'Part VII-Pro Forma'!J54</f>
        <v>-20429.196734878838</v>
      </c>
      <c r="H53" s="1176">
        <f>'Part VII-Pro Forma'!K54</f>
        <v>-21042.072636925204</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322609.41818181815</v>
      </c>
      <c r="D55" s="720">
        <f t="shared" si="14"/>
        <v>322609.41818181815</v>
      </c>
      <c r="E55" s="720">
        <f t="shared" si="14"/>
        <v>322609.41818181815</v>
      </c>
      <c r="F55" s="720">
        <f t="shared" si="14"/>
        <v>322609.41818181815</v>
      </c>
      <c r="G55" s="720">
        <f t="shared" si="14"/>
        <v>322609.41818181815</v>
      </c>
      <c r="H55" s="720">
        <f t="shared" si="14"/>
        <v>322609.41818181815</v>
      </c>
    </row>
    <row r="56" spans="1:10" ht="13.5" customHeight="1">
      <c r="A56" s="719" t="s">
        <v>2954</v>
      </c>
      <c r="C56" s="713">
        <f t="shared" ref="C56:H56" si="15">IF(C$48&lt;=$H$4,($E$4/$H$4),0)+IF(C$48&lt;=$H$5,($E$5/$H$5),0)</f>
        <v>8500</v>
      </c>
      <c r="D56" s="713">
        <f t="shared" si="15"/>
        <v>0</v>
      </c>
      <c r="E56" s="713">
        <f t="shared" si="15"/>
        <v>0</v>
      </c>
      <c r="F56" s="713">
        <f t="shared" si="15"/>
        <v>0</v>
      </c>
      <c r="G56" s="713">
        <f t="shared" si="15"/>
        <v>0</v>
      </c>
      <c r="H56" s="713">
        <f t="shared" si="15"/>
        <v>0</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51" t="e">
        <f>IRR(K5:K25)</f>
        <v>#VALUE!</v>
      </c>
      <c r="H66" s="3252"/>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4" t="str">
        <f>'Sensitivity Analysis'!C8</f>
        <v>Boxwood Heights</v>
      </c>
      <c r="B1" s="3254"/>
      <c r="C1" s="3254"/>
      <c r="D1" s="3254"/>
      <c r="E1" s="3254"/>
      <c r="F1" s="3254"/>
      <c r="G1" s="3254"/>
      <c r="H1" s="3254"/>
    </row>
    <row r="2" spans="1:8" s="2005" customFormat="1" ht="17.399999999999999" customHeight="1">
      <c r="A2" s="3253" t="s">
        <v>2971</v>
      </c>
      <c r="B2" s="3253"/>
      <c r="C2" s="3253"/>
      <c r="D2" s="3253"/>
      <c r="E2" s="3253"/>
      <c r="F2" s="3253"/>
      <c r="G2" s="3253"/>
      <c r="H2" s="3253"/>
    </row>
    <row r="3" spans="1:8" ht="9" customHeight="1">
      <c r="A3" s="2004"/>
      <c r="B3" s="2004"/>
      <c r="C3" s="2004"/>
      <c r="D3" s="2004"/>
      <c r="E3" s="2004"/>
      <c r="G3" s="2004"/>
      <c r="H3" s="2004"/>
    </row>
    <row r="4" spans="1:8" ht="12.6" customHeight="1">
      <c r="A4" s="3255" t="s">
        <v>6833</v>
      </c>
      <c r="B4" s="3255"/>
      <c r="C4" s="2006"/>
      <c r="D4" s="3255" t="s">
        <v>6834</v>
      </c>
      <c r="E4" s="3255"/>
      <c r="F4" s="2007"/>
      <c r="G4" s="3255" t="s">
        <v>6835</v>
      </c>
      <c r="H4" s="3255"/>
    </row>
    <row r="5" spans="1:8" ht="25.95" customHeight="1">
      <c r="A5" s="3256">
        <f>'Part III-Sources of Funds'!E38</f>
        <v>0</v>
      </c>
      <c r="B5" s="3257"/>
      <c r="C5" s="2005"/>
      <c r="D5" s="3256">
        <f>'Part III-Sources of Funds'!E39</f>
        <v>0</v>
      </c>
      <c r="E5" s="3257"/>
      <c r="F5" s="2008"/>
      <c r="G5" s="3256">
        <f>'Part III-Sources of Funds'!E40</f>
        <v>0</v>
      </c>
      <c r="H5" s="3257"/>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- 2020-067 Boxwood Heights, Columbus, Muscogee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6981</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2303</v>
      </c>
      <c r="F5" s="294"/>
      <c r="G5" s="269" t="s">
        <v>4323</v>
      </c>
      <c r="L5" s="841"/>
      <c r="P5" s="1030" t="s">
        <v>3647</v>
      </c>
    </row>
    <row r="6" spans="1:16" s="293" customFormat="1" ht="12" customHeight="1" thickBot="1">
      <c r="B6" s="2418" t="s">
        <v>6985</v>
      </c>
      <c r="C6" s="2418"/>
      <c r="D6" s="2418"/>
      <c r="E6" s="1208"/>
      <c r="F6" s="296"/>
      <c r="G6" s="269" t="s">
        <v>4322</v>
      </c>
      <c r="H6" s="2356"/>
      <c r="I6" s="2356"/>
      <c r="J6" s="2356"/>
      <c r="O6" s="3461" t="s">
        <v>7150</v>
      </c>
      <c r="P6" s="3462"/>
    </row>
    <row r="7" spans="1:16" s="293" customFormat="1" ht="12" customHeight="1">
      <c r="B7" s="2418"/>
      <c r="C7" s="2418"/>
      <c r="D7" s="2418"/>
      <c r="E7" s="1208"/>
      <c r="F7" s="511"/>
      <c r="G7" s="172" t="s">
        <v>3211</v>
      </c>
      <c r="H7" s="2356"/>
      <c r="I7" s="2356"/>
      <c r="J7" s="2356"/>
    </row>
    <row r="8" spans="1:16" s="293" customFormat="1" ht="6" customHeight="1">
      <c r="A8" s="471"/>
      <c r="B8" s="2418"/>
      <c r="C8" s="2418"/>
      <c r="D8" s="2418"/>
      <c r="E8" s="2356"/>
      <c r="H8" s="2356"/>
      <c r="I8" s="2356"/>
      <c r="M8" s="2356"/>
    </row>
    <row r="9" spans="1:16" s="293" customFormat="1" ht="13.35" customHeight="1">
      <c r="A9" s="295" t="s">
        <v>598</v>
      </c>
      <c r="B9" s="295" t="s">
        <v>2314</v>
      </c>
      <c r="D9" s="270"/>
      <c r="E9" s="297"/>
      <c r="F9" s="2345" t="s">
        <v>3603</v>
      </c>
      <c r="I9" s="2413">
        <f>'Part IV-A-Uses of Funds'!$J$184</f>
        <v>825000</v>
      </c>
      <c r="J9" s="2414"/>
      <c r="L9" s="293" t="s">
        <v>3604</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1991</v>
      </c>
      <c r="F11" s="3463" t="s">
        <v>6986</v>
      </c>
      <c r="G11" s="3464"/>
      <c r="H11" s="3465"/>
      <c r="I11" s="3466" t="s">
        <v>3534</v>
      </c>
      <c r="J11" s="492" t="s">
        <v>4792</v>
      </c>
      <c r="K11" s="303"/>
      <c r="L11" s="2356"/>
      <c r="O11" s="3467" t="s">
        <v>6987</v>
      </c>
      <c r="P11" s="3468"/>
    </row>
    <row r="12" spans="1:16" s="293" customFormat="1" ht="12.75" customHeight="1">
      <c r="A12" s="471"/>
      <c r="B12" s="1519"/>
      <c r="C12" s="1519"/>
      <c r="D12" s="1519"/>
      <c r="E12" s="1519"/>
      <c r="H12" s="2356"/>
      <c r="J12" s="1140" t="s">
        <v>4460</v>
      </c>
      <c r="K12" s="2347"/>
      <c r="M12" s="2356"/>
      <c r="O12" s="3469" t="s">
        <v>2887</v>
      </c>
      <c r="P12" s="3470"/>
    </row>
    <row r="13" spans="1:16" s="293" customFormat="1" ht="3" customHeight="1">
      <c r="A13" s="471"/>
      <c r="B13" s="1519"/>
      <c r="C13" s="1519"/>
      <c r="D13" s="1519"/>
      <c r="E13" s="1519"/>
      <c r="H13" s="2356"/>
      <c r="J13" s="493"/>
      <c r="K13" s="2347"/>
      <c r="M13" s="2356"/>
    </row>
    <row r="14" spans="1:16" s="293" customFormat="1" ht="12.75" customHeight="1">
      <c r="A14" s="471"/>
      <c r="B14" s="1519" t="s">
        <v>4817</v>
      </c>
      <c r="C14" s="1519"/>
      <c r="D14" s="1519"/>
      <c r="E14" s="1519"/>
      <c r="F14" s="3471" t="s">
        <v>2887</v>
      </c>
      <c r="G14" s="2348" t="s">
        <v>4818</v>
      </c>
      <c r="N14" s="3463" t="s">
        <v>4461</v>
      </c>
      <c r="O14" s="3464"/>
      <c r="P14" s="3465"/>
    </row>
    <row r="15" spans="1:16" s="293" customFormat="1" ht="12.75" customHeight="1">
      <c r="A15" s="471"/>
      <c r="B15" s="293" t="s">
        <v>4800</v>
      </c>
      <c r="D15" s="303"/>
      <c r="F15" s="3472"/>
      <c r="G15" s="3473"/>
      <c r="H15" s="3473"/>
      <c r="I15" s="3474"/>
      <c r="J15" s="293" t="s">
        <v>4514</v>
      </c>
      <c r="L15" s="3475"/>
      <c r="M15" s="3476"/>
      <c r="N15" s="293" t="s">
        <v>4513</v>
      </c>
      <c r="P15" s="3477"/>
    </row>
    <row r="16" spans="1:16" s="293" customFormat="1" ht="12.75" customHeight="1">
      <c r="A16" s="471"/>
      <c r="B16" s="293" t="s">
        <v>3602</v>
      </c>
      <c r="F16" s="3471"/>
      <c r="G16" s="293" t="s">
        <v>4451</v>
      </c>
      <c r="H16" s="2356"/>
      <c r="I16" s="172"/>
      <c r="J16" s="493"/>
      <c r="N16" s="3478" t="s">
        <v>2781</v>
      </c>
      <c r="O16" s="3479"/>
      <c r="P16" s="3480"/>
    </row>
    <row r="17" spans="1:16" s="293" customFormat="1" ht="6" customHeight="1">
      <c r="I17" s="270"/>
      <c r="J17" s="270"/>
      <c r="K17" s="270"/>
      <c r="L17" s="270"/>
      <c r="M17" s="270"/>
      <c r="N17" s="270"/>
      <c r="O17" s="270"/>
      <c r="P17" s="270"/>
    </row>
    <row r="18" spans="1:16" s="293" customFormat="1" ht="13.35" customHeight="1">
      <c r="A18" s="298" t="s">
        <v>724</v>
      </c>
      <c r="B18" s="295" t="s">
        <v>4113</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3654</v>
      </c>
      <c r="F20" s="3481" t="s">
        <v>6988</v>
      </c>
      <c r="G20" s="3482"/>
      <c r="H20" s="3483"/>
      <c r="I20" s="1402" t="s">
        <v>1753</v>
      </c>
      <c r="J20" s="3481" t="s">
        <v>6992</v>
      </c>
      <c r="K20" s="3482"/>
      <c r="L20" s="3483"/>
      <c r="M20" s="325" t="s">
        <v>1932</v>
      </c>
      <c r="N20" s="3475" t="s">
        <v>2409</v>
      </c>
      <c r="O20" s="3484"/>
      <c r="P20" s="3476"/>
    </row>
    <row r="21" spans="1:16" s="293" customFormat="1" ht="13.35" customHeight="1">
      <c r="B21" s="2345" t="s">
        <v>1933</v>
      </c>
      <c r="F21" s="3485" t="s">
        <v>6989</v>
      </c>
      <c r="G21" s="3486"/>
      <c r="H21" s="3486"/>
      <c r="I21" s="3487"/>
      <c r="J21" s="3486"/>
      <c r="K21" s="3488"/>
      <c r="L21" s="3489"/>
      <c r="M21" s="2402" t="s">
        <v>3653</v>
      </c>
      <c r="N21" s="2403"/>
      <c r="O21" s="2403"/>
      <c r="P21" s="2403"/>
    </row>
    <row r="22" spans="1:16" s="293" customFormat="1" ht="13.35" customHeight="1">
      <c r="B22" s="2345" t="s">
        <v>600</v>
      </c>
      <c r="F22" s="3485" t="s">
        <v>180</v>
      </c>
      <c r="G22" s="3486"/>
      <c r="H22" s="3490"/>
      <c r="I22" s="2345" t="s">
        <v>1754</v>
      </c>
      <c r="J22" s="3491" t="s">
        <v>818</v>
      </c>
      <c r="M22" s="2402"/>
      <c r="N22" s="2402"/>
      <c r="O22" s="2402"/>
      <c r="P22" s="2402"/>
    </row>
    <row r="23" spans="1:16" s="293" customFormat="1" ht="13.35" customHeight="1">
      <c r="B23" s="2348" t="s">
        <v>2172</v>
      </c>
      <c r="F23" s="3492">
        <v>361176972</v>
      </c>
      <c r="G23" s="3493"/>
      <c r="H23" s="3494"/>
      <c r="I23" s="2345" t="s">
        <v>1678</v>
      </c>
      <c r="J23" s="3495">
        <v>3342816820</v>
      </c>
      <c r="K23" s="3496"/>
      <c r="L23" s="2362" t="s">
        <v>1677</v>
      </c>
      <c r="M23" s="3497"/>
      <c r="N23" s="2348" t="s">
        <v>1679</v>
      </c>
      <c r="O23" s="3498">
        <v>3342816820</v>
      </c>
      <c r="P23" s="3496"/>
    </row>
    <row r="24" spans="1:16" s="293" customFormat="1" ht="13.35" customHeight="1">
      <c r="B24" s="2348" t="s">
        <v>1936</v>
      </c>
      <c r="F24" s="3499" t="s">
        <v>6990</v>
      </c>
      <c r="G24" s="3487"/>
      <c r="H24" s="3487"/>
      <c r="I24" s="3484"/>
      <c r="J24" s="3487"/>
      <c r="K24" s="3500"/>
      <c r="N24" s="2348" t="s">
        <v>1931</v>
      </c>
      <c r="O24" s="3501"/>
      <c r="P24" s="3502"/>
    </row>
    <row r="25" spans="1:16" s="293" customFormat="1" ht="13.5" customHeight="1">
      <c r="A25" s="471"/>
      <c r="B25" s="295" t="s">
        <v>4112</v>
      </c>
      <c r="C25" s="301"/>
      <c r="D25" s="2353"/>
      <c r="E25" s="2353"/>
      <c r="F25" s="2353"/>
      <c r="H25" s="2356"/>
      <c r="I25" s="2353"/>
      <c r="J25" s="301"/>
      <c r="K25" s="2353"/>
      <c r="P25" s="302"/>
    </row>
    <row r="26" spans="1:16" s="293" customFormat="1" ht="13.35" customHeight="1">
      <c r="B26" s="293" t="s">
        <v>3654</v>
      </c>
      <c r="F26" s="3481" t="s">
        <v>6988</v>
      </c>
      <c r="G26" s="3482"/>
      <c r="H26" s="3483"/>
      <c r="I26" s="1402" t="s">
        <v>1753</v>
      </c>
      <c r="J26" s="3481" t="s">
        <v>6993</v>
      </c>
      <c r="K26" s="3482"/>
      <c r="L26" s="3483"/>
      <c r="M26" s="325" t="s">
        <v>1932</v>
      </c>
      <c r="N26" s="3475" t="s">
        <v>6994</v>
      </c>
      <c r="O26" s="3484"/>
      <c r="P26" s="3476"/>
    </row>
    <row r="27" spans="1:16" s="293" customFormat="1" ht="13.35" customHeight="1">
      <c r="B27" s="2345" t="s">
        <v>1933</v>
      </c>
      <c r="F27" s="3485" t="s">
        <v>6989</v>
      </c>
      <c r="G27" s="3486"/>
      <c r="H27" s="3486"/>
      <c r="I27" s="3487"/>
      <c r="J27" s="3486"/>
      <c r="K27" s="3488"/>
      <c r="L27" s="3489"/>
      <c r="M27" s="2402" t="s">
        <v>3653</v>
      </c>
      <c r="N27" s="2403"/>
      <c r="O27" s="2403"/>
      <c r="P27" s="2403"/>
    </row>
    <row r="28" spans="1:16" s="293" customFormat="1" ht="13.35" customHeight="1">
      <c r="B28" s="2345" t="s">
        <v>600</v>
      </c>
      <c r="F28" s="3485" t="s">
        <v>180</v>
      </c>
      <c r="G28" s="3486"/>
      <c r="H28" s="3490"/>
      <c r="I28" s="2345" t="s">
        <v>1754</v>
      </c>
      <c r="J28" s="3491"/>
      <c r="M28" s="2402"/>
      <c r="N28" s="2402"/>
      <c r="O28" s="2402"/>
      <c r="P28" s="2402"/>
    </row>
    <row r="29" spans="1:16" s="293" customFormat="1" ht="13.35" customHeight="1">
      <c r="B29" s="2348" t="s">
        <v>2172</v>
      </c>
      <c r="F29" s="3492">
        <v>361176972</v>
      </c>
      <c r="G29" s="3493"/>
      <c r="H29" s="3494"/>
      <c r="I29" s="2345" t="s">
        <v>1678</v>
      </c>
      <c r="J29" s="3495">
        <v>3342816820</v>
      </c>
      <c r="K29" s="3496"/>
      <c r="L29" s="2362" t="s">
        <v>1677</v>
      </c>
      <c r="M29" s="3497"/>
      <c r="N29" s="2348" t="s">
        <v>1679</v>
      </c>
      <c r="O29" s="3498">
        <v>3345233611</v>
      </c>
      <c r="P29" s="3496"/>
    </row>
    <row r="30" spans="1:16" s="293" customFormat="1" ht="13.35" customHeight="1">
      <c r="B30" s="2348" t="s">
        <v>1936</v>
      </c>
      <c r="F30" s="3499" t="s">
        <v>6995</v>
      </c>
      <c r="G30" s="3487"/>
      <c r="H30" s="3487"/>
      <c r="I30" s="3484"/>
      <c r="J30" s="3487"/>
      <c r="K30" s="3500"/>
      <c r="N30" s="2348" t="s">
        <v>1931</v>
      </c>
      <c r="O30" s="3501"/>
      <c r="P30" s="3502"/>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503" t="s">
        <v>6998</v>
      </c>
      <c r="G34" s="3504"/>
      <c r="H34" s="3504"/>
      <c r="I34" s="3504"/>
      <c r="J34" s="3504"/>
      <c r="K34" s="3505"/>
      <c r="L34" s="2348" t="s">
        <v>2141</v>
      </c>
      <c r="O34" s="3481" t="s">
        <v>2887</v>
      </c>
      <c r="P34" s="3483"/>
    </row>
    <row r="35" spans="1:16" s="293" customFormat="1" ht="13.35" customHeight="1">
      <c r="A35" s="304"/>
      <c r="B35" s="293" t="s">
        <v>2619</v>
      </c>
      <c r="D35" s="305"/>
      <c r="F35" s="3506" t="s">
        <v>7074</v>
      </c>
      <c r="G35" s="3507"/>
      <c r="H35" s="3507"/>
      <c r="I35" s="3507"/>
      <c r="J35" s="3507"/>
      <c r="K35" s="3508"/>
      <c r="L35" s="293" t="s">
        <v>3506</v>
      </c>
      <c r="O35" s="3509"/>
      <c r="P35" s="3490"/>
    </row>
    <row r="36" spans="1:16" s="293" customFormat="1" ht="13.35" customHeight="1">
      <c r="A36" s="304"/>
      <c r="B36" s="293" t="s">
        <v>2648</v>
      </c>
      <c r="D36" s="305"/>
      <c r="F36" s="3509" t="s">
        <v>7075</v>
      </c>
      <c r="G36" s="3486"/>
      <c r="H36" s="3486"/>
      <c r="I36" s="3488"/>
      <c r="J36" s="3486"/>
      <c r="K36" s="3490"/>
      <c r="L36" s="2348" t="s">
        <v>2001</v>
      </c>
      <c r="N36" s="3497" t="s">
        <v>2887</v>
      </c>
      <c r="O36" s="2356" t="s">
        <v>3505</v>
      </c>
      <c r="P36" s="3510">
        <v>1</v>
      </c>
    </row>
    <row r="37" spans="1:16" s="293" customFormat="1" ht="13.35" customHeight="1">
      <c r="A37" s="304"/>
      <c r="B37" s="293" t="s">
        <v>3552</v>
      </c>
      <c r="D37" s="305"/>
      <c r="F37" s="293" t="s">
        <v>3535</v>
      </c>
      <c r="G37" s="3511">
        <v>32.477781</v>
      </c>
      <c r="H37" s="3512"/>
      <c r="I37" s="2362" t="s">
        <v>3536</v>
      </c>
      <c r="J37" s="3511">
        <v>-84.939988</v>
      </c>
      <c r="K37" s="3512"/>
      <c r="L37" s="2348" t="s">
        <v>2224</v>
      </c>
      <c r="O37" s="3513">
        <v>4.28</v>
      </c>
      <c r="P37" s="3514"/>
    </row>
    <row r="38" spans="1:16" s="293" customFormat="1" ht="13.35" customHeight="1">
      <c r="A38" s="471"/>
      <c r="B38" s="293" t="s">
        <v>600</v>
      </c>
      <c r="F38" s="3481" t="s">
        <v>157</v>
      </c>
      <c r="G38" s="3515"/>
      <c r="H38" s="3516"/>
      <c r="I38" s="309" t="s">
        <v>2620</v>
      </c>
      <c r="J38" s="3492">
        <v>319062330</v>
      </c>
      <c r="K38" s="3494"/>
      <c r="L38" s="363" t="str">
        <f>IF(AND(NOT(F34=""),NOT(F38="Select from list"),J38=""),"Enter Zip!","")</f>
        <v/>
      </c>
      <c r="M38" s="307" t="s">
        <v>2801</v>
      </c>
      <c r="O38" s="3517" t="s">
        <v>6400</v>
      </c>
      <c r="P38" s="3518"/>
    </row>
    <row r="39" spans="1:16" s="293" customFormat="1" ht="13.35" customHeight="1">
      <c r="A39" s="471"/>
      <c r="B39" s="2353" t="s">
        <v>4489</v>
      </c>
      <c r="D39" s="2353"/>
      <c r="F39" s="3509" t="s">
        <v>7073</v>
      </c>
      <c r="G39" s="3488"/>
      <c r="H39" s="3489"/>
      <c r="I39" s="306" t="s">
        <v>601</v>
      </c>
      <c r="J39" s="3519" t="str">
        <f>IF(F38="","",VLOOKUP(F38,'DCA Underwriting Assumptions'!$T$173:$U$801,2,FALSE))</f>
        <v>Muscogee</v>
      </c>
      <c r="K39" s="3520"/>
      <c r="M39" s="2348" t="s">
        <v>442</v>
      </c>
      <c r="N39" s="3521" t="s">
        <v>2884</v>
      </c>
      <c r="O39" s="2356" t="s">
        <v>443</v>
      </c>
      <c r="P39" s="3477" t="s">
        <v>2887</v>
      </c>
    </row>
    <row r="40" spans="1:16" s="293" customFormat="1" ht="13.35" customHeight="1">
      <c r="A40" s="471"/>
      <c r="B40" s="295"/>
      <c r="C40" s="293" t="s">
        <v>1525</v>
      </c>
      <c r="F40" s="3522" t="s">
        <v>2887</v>
      </c>
      <c r="G40" s="2406" t="s">
        <v>2689</v>
      </c>
      <c r="H40" s="2407"/>
      <c r="I40" s="499" t="str">
        <f>IF($J$39="","",IF(VLOOKUP($J$39,'DCA Underwriting Assumptions'!G173:M332,7,FALSE)="Rural","Yes",IF(VLOOKUP($J$39,'DCA Underwriting Assumptions'!G173:M332,7,FALSE)="Urban","No","")))</f>
        <v>No</v>
      </c>
      <c r="J40" s="2362" t="s">
        <v>2707</v>
      </c>
      <c r="K40" s="1557" t="str">
        <f>IF(OR(F40="Yes",I40="Yes"),"Rural","Urban")</f>
        <v>Urban</v>
      </c>
      <c r="M40" s="2348" t="s">
        <v>2543</v>
      </c>
      <c r="N40" s="1558" t="str">
        <f>VLOOKUP($J$39,'DCA Underwriting Assumptions'!$G$173:$J$332,4)</f>
        <v>MSA</v>
      </c>
      <c r="O40" s="3523" t="str">
        <f>IF($F$38="","",VLOOKUP($J$39,'DCA Underwriting Assumptions'!$G$173:$L$332,3,FALSE))</f>
        <v>Columbus</v>
      </c>
      <c r="P40" s="3524"/>
    </row>
    <row r="41" spans="1:16" s="293" customFormat="1" ht="6" customHeight="1">
      <c r="A41" s="471"/>
      <c r="B41" s="295"/>
      <c r="C41" s="295"/>
      <c r="I41" s="2345"/>
      <c r="J41" s="2353"/>
      <c r="L41" s="2365"/>
      <c r="M41" s="2365"/>
      <c r="N41" s="2365"/>
      <c r="O41" s="2365"/>
      <c r="P41" s="2365"/>
    </row>
    <row r="42" spans="1:16" s="293" customFormat="1" ht="13.35" customHeight="1">
      <c r="A42" s="471"/>
      <c r="C42" s="293" t="s">
        <v>2657</v>
      </c>
      <c r="F42" s="2408" t="s">
        <v>2672</v>
      </c>
      <c r="G42" s="2408"/>
      <c r="H42" s="2409" t="s">
        <v>718</v>
      </c>
      <c r="I42" s="2409"/>
      <c r="J42" s="2409" t="s">
        <v>719</v>
      </c>
      <c r="K42" s="2409"/>
      <c r="L42" s="486" t="s">
        <v>4378</v>
      </c>
    </row>
    <row r="43" spans="1:16" s="293" customFormat="1" ht="13.35" customHeight="1">
      <c r="A43" s="471"/>
      <c r="B43" s="293" t="s">
        <v>2671</v>
      </c>
      <c r="D43" s="295"/>
      <c r="F43" s="3525">
        <v>2</v>
      </c>
      <c r="G43" s="3526"/>
      <c r="H43" s="3525">
        <v>15</v>
      </c>
      <c r="I43" s="3526"/>
      <c r="J43" s="3525">
        <v>135</v>
      </c>
      <c r="K43" s="3526"/>
      <c r="L43" s="482" t="s">
        <v>1257</v>
      </c>
      <c r="N43" s="2404" t="s">
        <v>1258</v>
      </c>
      <c r="O43" s="2404"/>
      <c r="P43" s="2404"/>
    </row>
    <row r="44" spans="1:16" s="293" customFormat="1" ht="12.75" customHeight="1">
      <c r="A44" s="471"/>
      <c r="B44" s="2345" t="s">
        <v>720</v>
      </c>
      <c r="F44" s="3527"/>
      <c r="G44" s="3528"/>
      <c r="H44" s="3527"/>
      <c r="I44" s="3528"/>
      <c r="J44" s="3527"/>
      <c r="K44" s="3528"/>
      <c r="L44" s="482" t="s">
        <v>2670</v>
      </c>
      <c r="N44" s="2405" t="s">
        <v>2669</v>
      </c>
      <c r="O44" s="2405"/>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29" t="s">
        <v>7077</v>
      </c>
      <c r="G46" s="3530"/>
      <c r="H46" s="3530"/>
      <c r="I46" s="3531"/>
      <c r="J46" s="3530"/>
      <c r="K46" s="3532"/>
      <c r="L46" s="840" t="s">
        <v>2624</v>
      </c>
      <c r="M46" s="3475" t="s">
        <v>7079</v>
      </c>
      <c r="N46" s="3484"/>
      <c r="O46" s="3484"/>
      <c r="P46" s="3476"/>
    </row>
    <row r="47" spans="1:16" s="293" customFormat="1" ht="13.35" customHeight="1">
      <c r="A47" s="471"/>
      <c r="B47" s="293" t="s">
        <v>620</v>
      </c>
      <c r="F47" s="3533" t="s">
        <v>7076</v>
      </c>
      <c r="G47" s="3534"/>
      <c r="H47" s="3535"/>
      <c r="I47" s="1007" t="s">
        <v>1932</v>
      </c>
      <c r="J47" s="3506" t="s">
        <v>7078</v>
      </c>
      <c r="K47" s="3508"/>
      <c r="L47" s="840"/>
    </row>
    <row r="48" spans="1:16" s="293" customFormat="1" ht="13.35" customHeight="1">
      <c r="A48" s="471"/>
      <c r="B48" s="293" t="s">
        <v>1933</v>
      </c>
      <c r="F48" s="3536" t="s">
        <v>7081</v>
      </c>
      <c r="G48" s="3537"/>
      <c r="H48" s="3538"/>
      <c r="I48" s="3530"/>
      <c r="J48" s="3537"/>
      <c r="K48" s="3539"/>
      <c r="L48" s="2346" t="s">
        <v>600</v>
      </c>
      <c r="M48" s="3540" t="s">
        <v>157</v>
      </c>
      <c r="N48" s="3541"/>
      <c r="O48" s="3541"/>
      <c r="P48" s="3542"/>
    </row>
    <row r="49" spans="1:19" s="293" customFormat="1" ht="13.35" customHeight="1">
      <c r="A49" s="471"/>
      <c r="B49" s="2348" t="s">
        <v>2172</v>
      </c>
      <c r="F49" s="3543">
        <v>319010000</v>
      </c>
      <c r="G49" s="3544"/>
      <c r="H49" s="2362" t="s">
        <v>1934</v>
      </c>
      <c r="I49" s="3545">
        <v>7062254712</v>
      </c>
      <c r="J49" s="3546"/>
      <c r="K49" s="3547"/>
      <c r="L49" s="2345" t="s">
        <v>1755</v>
      </c>
      <c r="M49" s="3548" t="s">
        <v>7080</v>
      </c>
      <c r="N49" s="3549"/>
      <c r="O49" s="3549"/>
      <c r="P49" s="3550"/>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1935</v>
      </c>
      <c r="C53" s="295" t="s">
        <v>700</v>
      </c>
      <c r="I53" s="2353"/>
      <c r="J53" s="2353"/>
      <c r="K53" s="483"/>
      <c r="L53" s="2353"/>
      <c r="M53" s="485"/>
      <c r="N53" s="485"/>
      <c r="O53" s="485"/>
      <c r="P53" s="485"/>
      <c r="Q53" s="2356"/>
    </row>
    <row r="54" spans="1:19" ht="13.35" customHeight="1">
      <c r="B54" s="471"/>
      <c r="C54" s="293" t="s">
        <v>2236</v>
      </c>
      <c r="D54" s="293"/>
      <c r="E54" s="293"/>
      <c r="H54" s="1024">
        <f>'Part VI-Revenues &amp; Expenses'!$P$115</f>
        <v>48</v>
      </c>
      <c r="K54" s="2345" t="s">
        <v>3498</v>
      </c>
      <c r="L54" s="293"/>
      <c r="M54" s="883" t="s">
        <v>3497</v>
      </c>
      <c r="N54" s="312">
        <f>'Part VI-Revenues &amp; Expenses'!$P$122</f>
        <v>0</v>
      </c>
      <c r="O54" s="884" t="s">
        <v>3249</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2805</v>
      </c>
      <c r="K56" s="293" t="s">
        <v>343</v>
      </c>
      <c r="P56" s="3551"/>
      <c r="Q56" s="2356"/>
    </row>
    <row r="57" spans="1:19" s="293" customFormat="1" ht="3.6" customHeight="1">
      <c r="A57" s="471"/>
      <c r="P57" s="2353"/>
    </row>
    <row r="58" spans="1:19" s="293" customFormat="1">
      <c r="A58" s="471"/>
      <c r="B58" s="471" t="s">
        <v>1937</v>
      </c>
      <c r="C58" s="295" t="s">
        <v>2237</v>
      </c>
      <c r="H58" s="3552" t="s">
        <v>2887</v>
      </c>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2217</v>
      </c>
      <c r="D60" s="2353"/>
      <c r="I60" s="2357" t="s">
        <v>3432</v>
      </c>
      <c r="J60" s="304" t="s">
        <v>2064</v>
      </c>
      <c r="K60" s="314" t="s">
        <v>2242</v>
      </c>
      <c r="M60" s="2353"/>
      <c r="N60" s="2353"/>
      <c r="O60" s="2353"/>
      <c r="P60" s="2356"/>
      <c r="Q60" s="2356"/>
      <c r="R60" s="2356"/>
      <c r="S60" s="2353"/>
    </row>
    <row r="61" spans="1:19" s="293" customFormat="1" ht="13.35" customHeight="1">
      <c r="A61" s="471"/>
      <c r="B61" s="2349"/>
      <c r="C61" s="301" t="s">
        <v>2218</v>
      </c>
      <c r="D61" s="2353"/>
      <c r="E61" s="2353"/>
      <c r="H61" s="605">
        <f>SUM(H62:H68)</f>
        <v>48</v>
      </c>
      <c r="I61" s="605">
        <f>SUM(I62:I68)</f>
        <v>0</v>
      </c>
      <c r="J61" s="471"/>
      <c r="K61" s="301" t="s">
        <v>2681</v>
      </c>
      <c r="M61" s="2353"/>
      <c r="N61" s="2353"/>
      <c r="O61" s="2353"/>
      <c r="P61" s="1346">
        <f>SUM(P62:P68)</f>
        <v>38400</v>
      </c>
    </row>
    <row r="62" spans="1:19" s="293" customFormat="1" ht="13.35" customHeight="1">
      <c r="A62" s="471"/>
      <c r="B62" s="2349"/>
      <c r="C62" s="301"/>
      <c r="D62" s="316" t="s">
        <v>4214</v>
      </c>
      <c r="E62" s="2353"/>
      <c r="H62" s="818">
        <f>'Part VI-Revenues &amp; Expenses'!$P$56</f>
        <v>0</v>
      </c>
      <c r="I62" s="818">
        <f>'Part VI-Revenues &amp; Expenses'!$P$93</f>
        <v>0</v>
      </c>
      <c r="J62" s="471"/>
      <c r="K62" s="301"/>
      <c r="L62" s="316" t="s">
        <v>4214</v>
      </c>
      <c r="M62" s="2353"/>
      <c r="N62" s="2353"/>
      <c r="O62" s="2353"/>
      <c r="P62" s="818">
        <f>'Part VI-Revenues &amp; Expenses'!$P$159</f>
        <v>0</v>
      </c>
    </row>
    <row r="63" spans="1:19" s="293" customFormat="1" ht="13.35" customHeight="1">
      <c r="A63" s="471"/>
      <c r="B63" s="2349"/>
      <c r="C63" s="301"/>
      <c r="D63" s="316" t="s">
        <v>4215</v>
      </c>
      <c r="E63" s="2353"/>
      <c r="H63" s="1348">
        <f>'Part VI-Revenues &amp; Expenses'!$P$57</f>
        <v>0</v>
      </c>
      <c r="I63" s="1348">
        <f>'Part VI-Revenues &amp; Expenses'!$P$94</f>
        <v>0</v>
      </c>
      <c r="J63" s="471"/>
      <c r="K63" s="301"/>
      <c r="L63" s="316" t="s">
        <v>4215</v>
      </c>
      <c r="M63" s="2353"/>
      <c r="N63" s="2353"/>
      <c r="O63" s="2353"/>
      <c r="P63" s="1348">
        <f>'Part VI-Revenues &amp; Expenses'!$P$160</f>
        <v>0</v>
      </c>
    </row>
    <row r="64" spans="1:19" s="293" customFormat="1" ht="13.35" customHeight="1">
      <c r="A64" s="471"/>
      <c r="B64" s="311"/>
      <c r="D64" s="316" t="s">
        <v>4212</v>
      </c>
      <c r="E64" s="316"/>
      <c r="H64" s="1348">
        <f>'Part VI-Revenues &amp; Expenses'!$P$58</f>
        <v>38</v>
      </c>
      <c r="I64" s="1348">
        <f>'Part VI-Revenues &amp; Expenses'!$P$95</f>
        <v>0</v>
      </c>
      <c r="L64" s="316" t="s">
        <v>4212</v>
      </c>
      <c r="O64" s="2353"/>
      <c r="P64" s="1348">
        <f>'Part VI-Revenues &amp; Expenses'!$P$161</f>
        <v>30400</v>
      </c>
    </row>
    <row r="65" spans="1:16" s="293" customFormat="1" ht="13.35" customHeight="1">
      <c r="A65" s="471"/>
      <c r="D65" s="316" t="s">
        <v>4213</v>
      </c>
      <c r="E65" s="2353"/>
      <c r="H65" s="1348">
        <f>'Part VI-Revenues &amp; Expenses'!$P$59</f>
        <v>10</v>
      </c>
      <c r="I65" s="1348">
        <f>'Part VI-Revenues &amp; Expenses'!$P$96</f>
        <v>0</v>
      </c>
      <c r="L65" s="316" t="s">
        <v>4213</v>
      </c>
      <c r="O65" s="2353"/>
      <c r="P65" s="1348">
        <f>'Part VI-Revenues &amp; Expenses'!$P$162</f>
        <v>8000</v>
      </c>
    </row>
    <row r="66" spans="1:16" s="293" customFormat="1" ht="13.35" customHeight="1">
      <c r="A66" s="471"/>
      <c r="D66" s="316" t="s">
        <v>4216</v>
      </c>
      <c r="E66" s="316"/>
      <c r="H66" s="1348">
        <f>'Part VI-Revenues &amp; Expenses'!$P$60</f>
        <v>0</v>
      </c>
      <c r="I66" s="1348">
        <f>'Part VI-Revenues &amp; Expenses'!$P$97</f>
        <v>0</v>
      </c>
      <c r="L66" s="316" t="s">
        <v>4216</v>
      </c>
      <c r="O66" s="2353"/>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3"/>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3"/>
      <c r="P68" s="819">
        <f>'Part VI-Revenues &amp; Expenses'!$P$165</f>
        <v>0</v>
      </c>
    </row>
    <row r="69" spans="1:16" s="293" customFormat="1" ht="13.35" customHeight="1">
      <c r="A69" s="471"/>
      <c r="C69" s="301" t="s">
        <v>248</v>
      </c>
      <c r="D69" s="2353"/>
      <c r="E69" s="2353"/>
      <c r="H69" s="1347">
        <f>'Part VI-Revenues &amp; Expenses'!$P$64</f>
        <v>0</v>
      </c>
      <c r="J69" s="471"/>
      <c r="K69" s="301" t="s">
        <v>2682</v>
      </c>
      <c r="M69" s="2353"/>
      <c r="N69" s="2353"/>
      <c r="O69" s="2353"/>
      <c r="P69" s="1349">
        <f>'Part VI-Revenues &amp; Expenses'!$P$167</f>
        <v>0</v>
      </c>
    </row>
    <row r="70" spans="1:16" s="293" customFormat="1" ht="13.35" customHeight="1">
      <c r="A70" s="471"/>
      <c r="C70" s="301" t="s">
        <v>2344</v>
      </c>
      <c r="D70" s="2353"/>
      <c r="E70" s="2353"/>
      <c r="H70" s="818">
        <f>H61+H69</f>
        <v>48</v>
      </c>
      <c r="J70" s="471"/>
      <c r="K70" s="301" t="s">
        <v>2683</v>
      </c>
      <c r="M70" s="2353"/>
      <c r="N70" s="2353"/>
      <c r="O70" s="2353"/>
      <c r="P70" s="818">
        <f>P61+P69</f>
        <v>38400</v>
      </c>
    </row>
    <row r="71" spans="1:16" s="293" customFormat="1" ht="13.35" customHeight="1">
      <c r="A71" s="471"/>
      <c r="C71" s="301" t="s">
        <v>2345</v>
      </c>
      <c r="D71" s="2353"/>
      <c r="E71" s="2353"/>
      <c r="H71" s="819">
        <f>'Part VI-Revenues &amp; Expenses'!$P$66</f>
        <v>0</v>
      </c>
      <c r="J71" s="471"/>
      <c r="K71" s="301" t="s">
        <v>2684</v>
      </c>
      <c r="M71" s="2353"/>
      <c r="N71" s="2353"/>
      <c r="O71" s="2353"/>
      <c r="P71" s="819">
        <f>'Part VI-Revenues &amp; Expenses'!$P$169</f>
        <v>0</v>
      </c>
    </row>
    <row r="72" spans="1:16" s="293" customFormat="1" ht="13.35" customHeight="1">
      <c r="A72" s="471"/>
      <c r="C72" s="301" t="s">
        <v>1749</v>
      </c>
      <c r="D72" s="2353"/>
      <c r="E72" s="2353"/>
      <c r="H72" s="315">
        <f>+H70+H71</f>
        <v>48</v>
      </c>
      <c r="J72" s="2353"/>
      <c r="K72" s="301" t="s">
        <v>1392</v>
      </c>
      <c r="M72" s="2353"/>
      <c r="N72" s="2353"/>
      <c r="O72" s="2353"/>
      <c r="P72" s="315">
        <f>+P70+P71</f>
        <v>38400</v>
      </c>
    </row>
    <row r="73" spans="1:16" s="293" customFormat="1" ht="3" customHeight="1">
      <c r="A73" s="471"/>
      <c r="I73" s="2356"/>
      <c r="L73" s="2356"/>
      <c r="M73" s="2356"/>
      <c r="N73" s="2353"/>
      <c r="P73" s="302"/>
    </row>
    <row r="74" spans="1:16" s="293" customFormat="1" ht="13.35" customHeight="1">
      <c r="A74" s="471"/>
      <c r="B74" s="471" t="s">
        <v>1692</v>
      </c>
      <c r="C74" s="303" t="s">
        <v>2238</v>
      </c>
      <c r="D74" s="316" t="s">
        <v>1948</v>
      </c>
      <c r="G74" s="2353"/>
      <c r="H74" s="3553">
        <v>1</v>
      </c>
      <c r="K74" s="301" t="s">
        <v>4443</v>
      </c>
      <c r="O74" s="2353"/>
      <c r="P74" s="3554">
        <v>12000</v>
      </c>
    </row>
    <row r="75" spans="1:16" s="293" customFormat="1" ht="13.35" customHeight="1">
      <c r="A75" s="471"/>
      <c r="B75" s="471"/>
      <c r="D75" s="2349" t="s">
        <v>1949</v>
      </c>
      <c r="H75" s="3555">
        <v>0</v>
      </c>
      <c r="I75" s="2353"/>
      <c r="K75" s="301" t="s">
        <v>247</v>
      </c>
      <c r="O75" s="2353"/>
      <c r="P75" s="315">
        <f>+P72+P74</f>
        <v>50400</v>
      </c>
    </row>
    <row r="76" spans="1:16" s="293" customFormat="1" ht="13.35" customHeight="1">
      <c r="A76" s="471"/>
      <c r="B76" s="471"/>
      <c r="D76" s="2349" t="s">
        <v>1950</v>
      </c>
      <c r="H76" s="315">
        <f>+H74+H75</f>
        <v>1</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2741</v>
      </c>
      <c r="D78" s="2353"/>
      <c r="E78" s="2353"/>
      <c r="F78" s="2353"/>
      <c r="G78" s="2353"/>
      <c r="H78" s="3554">
        <v>126</v>
      </c>
      <c r="K78" s="2420" t="s">
        <v>3635</v>
      </c>
      <c r="L78" s="2420"/>
      <c r="M78" s="2420"/>
      <c r="N78" s="2420"/>
      <c r="O78" s="2420"/>
      <c r="P78" s="2420"/>
    </row>
    <row r="79" spans="1:16" s="293" customFormat="1" ht="6" customHeight="1">
      <c r="A79" s="471"/>
      <c r="B79" s="471"/>
      <c r="C79" s="301"/>
      <c r="D79" s="2353"/>
      <c r="E79" s="2353"/>
      <c r="F79" s="2353"/>
      <c r="G79" s="2356"/>
      <c r="H79" s="2353"/>
      <c r="I79" s="301"/>
      <c r="J79" s="301"/>
      <c r="K79" s="2420"/>
      <c r="L79" s="2420"/>
      <c r="M79" s="2420"/>
      <c r="N79" s="2420"/>
      <c r="O79" s="2420"/>
      <c r="P79" s="2420"/>
    </row>
    <row r="80" spans="1:16" s="293" customFormat="1" ht="13.35" customHeight="1">
      <c r="A80" s="471" t="s">
        <v>516</v>
      </c>
      <c r="B80" s="317" t="s">
        <v>1166</v>
      </c>
      <c r="D80" s="317"/>
      <c r="E80" s="317"/>
      <c r="F80" s="2353"/>
      <c r="G80" s="2356"/>
      <c r="H80" s="497"/>
      <c r="K80" s="2420"/>
      <c r="L80" s="2420"/>
      <c r="M80" s="2420"/>
      <c r="N80" s="2420"/>
      <c r="O80" s="2420"/>
      <c r="P80" s="2420"/>
    </row>
    <row r="81" spans="1:16" s="293" customFormat="1" ht="3" customHeight="1">
      <c r="A81" s="471"/>
      <c r="C81" s="1481"/>
      <c r="D81" s="1481"/>
      <c r="E81" s="1481"/>
      <c r="F81" s="2353"/>
      <c r="G81" s="2356"/>
      <c r="K81" s="2353"/>
      <c r="P81" s="302"/>
    </row>
    <row r="82" spans="1:16" s="293" customFormat="1" ht="13.35" customHeight="1">
      <c r="A82" s="471"/>
      <c r="B82" s="471" t="s">
        <v>1935</v>
      </c>
      <c r="C82" s="2347" t="s">
        <v>2612</v>
      </c>
      <c r="D82" s="1481"/>
      <c r="E82" s="1481"/>
      <c r="F82" s="2353"/>
      <c r="G82" s="2356"/>
      <c r="H82" s="3556" t="s">
        <v>2808</v>
      </c>
      <c r="I82" s="3557"/>
      <c r="K82" s="2419" t="s">
        <v>1728</v>
      </c>
      <c r="L82" s="2419"/>
      <c r="M82" s="3475"/>
      <c r="N82" s="3484"/>
      <c r="O82" s="3484"/>
      <c r="P82" s="3476"/>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3" t="s">
        <v>4390</v>
      </c>
      <c r="L84" s="318" t="s">
        <v>2806</v>
      </c>
      <c r="M84" s="3558"/>
      <c r="N84" s="318" t="s">
        <v>2807</v>
      </c>
      <c r="O84" s="3558"/>
      <c r="P84" s="2345" t="s">
        <v>4389</v>
      </c>
    </row>
    <row r="85" spans="1:16" s="293" customFormat="1">
      <c r="A85" s="471"/>
      <c r="B85" s="471"/>
      <c r="D85" s="2348"/>
      <c r="E85" s="1481"/>
      <c r="J85" s="1479"/>
      <c r="K85" s="2423"/>
      <c r="L85" s="305" t="s">
        <v>2808</v>
      </c>
      <c r="M85" s="3555">
        <v>48</v>
      </c>
      <c r="N85" s="305" t="s">
        <v>3650</v>
      </c>
      <c r="O85" s="3555"/>
      <c r="P85" s="3559"/>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1937</v>
      </c>
      <c r="C87" s="303" t="s">
        <v>1384</v>
      </c>
      <c r="D87" s="2353"/>
      <c r="E87" s="316"/>
      <c r="F87" s="2349" t="s">
        <v>776</v>
      </c>
      <c r="H87" s="605">
        <f>'Part VIII-Threshold Criteria'!K305</f>
        <v>3</v>
      </c>
      <c r="K87" s="2419" t="s">
        <v>506</v>
      </c>
      <c r="L87" s="2419"/>
      <c r="N87" s="1559">
        <f>IF('Part VI-Revenues &amp; Expenses'!$P$67=0,0,H87/'Part VI-Revenues &amp; Expenses'!$P$67)</f>
        <v>6.25E-2</v>
      </c>
      <c r="O87" s="305" t="s">
        <v>3517</v>
      </c>
      <c r="P87" s="895">
        <f>'DCA Underwriting Assumptions'!$Q$154</f>
        <v>0.05</v>
      </c>
    </row>
    <row r="88" spans="1:16" s="293" customFormat="1">
      <c r="A88" s="471"/>
      <c r="B88" s="471"/>
      <c r="D88" s="2349" t="s">
        <v>2739</v>
      </c>
      <c r="E88" s="2349"/>
      <c r="F88" s="2349" t="s">
        <v>776</v>
      </c>
      <c r="H88" s="605">
        <f>'Part VIII-Threshold Criteria'!K306</f>
        <v>2</v>
      </c>
      <c r="K88" s="2353" t="s">
        <v>2740</v>
      </c>
      <c r="L88" s="2353"/>
      <c r="N88" s="1559">
        <f>IF(H87=0,0,H88/H87)</f>
        <v>0.66666666666666663</v>
      </c>
      <c r="O88" s="305" t="s">
        <v>3517</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1797</v>
      </c>
      <c r="D90" s="316"/>
      <c r="E90" s="316"/>
      <c r="F90" s="2349" t="s">
        <v>776</v>
      </c>
      <c r="H90" s="605">
        <f>'Part VIII-Threshold Criteria'!K308</f>
        <v>1</v>
      </c>
      <c r="K90" s="2419" t="s">
        <v>506</v>
      </c>
      <c r="L90" s="2419"/>
      <c r="N90" s="1559">
        <f>IF('Part VI-Revenues &amp; Expenses'!$P$67=0,0,H90/'Part VI-Revenues &amp; Expenses'!$P$67)</f>
        <v>2.0833333333333332E-2</v>
      </c>
      <c r="O90" s="305" t="s">
        <v>3517</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4324</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1935</v>
      </c>
      <c r="C94" s="2347" t="s">
        <v>2315</v>
      </c>
      <c r="D94" s="2349"/>
      <c r="F94" s="2348"/>
      <c r="K94" s="3560" t="s">
        <v>4292</v>
      </c>
      <c r="L94" s="3561"/>
      <c r="M94" s="3562"/>
      <c r="N94" s="2353"/>
    </row>
    <row r="95" spans="1:16" s="293" customFormat="1" ht="1.5" customHeight="1">
      <c r="A95" s="471"/>
      <c r="B95" s="471"/>
      <c r="D95" s="2349"/>
      <c r="F95" s="2349"/>
      <c r="G95" s="2349"/>
      <c r="H95" s="472" t="s">
        <v>4485</v>
      </c>
      <c r="L95" s="2356"/>
      <c r="M95" s="2356"/>
    </row>
    <row r="96" spans="1:16" s="293" customFormat="1" ht="13.35" customHeight="1">
      <c r="B96" s="471" t="s">
        <v>1937</v>
      </c>
      <c r="C96" s="295" t="s">
        <v>1502</v>
      </c>
      <c r="K96" s="2345" t="s">
        <v>4373</v>
      </c>
      <c r="N96" s="320"/>
      <c r="P96" s="3563" t="s">
        <v>6996</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1992</v>
      </c>
      <c r="D98" s="2349"/>
    </row>
    <row r="99" spans="1:16" s="293" customFormat="1" ht="1.5" customHeight="1">
      <c r="A99" s="471"/>
      <c r="B99" s="471"/>
      <c r="D99" s="2349"/>
      <c r="N99" s="2353"/>
      <c r="P99" s="302"/>
    </row>
    <row r="100" spans="1:16" s="293" customFormat="1" ht="13.35" customHeight="1">
      <c r="A100" s="319"/>
      <c r="B100" s="471" t="s">
        <v>1935</v>
      </c>
      <c r="C100" s="295" t="s">
        <v>2627</v>
      </c>
      <c r="F100" s="316" t="s">
        <v>2532</v>
      </c>
      <c r="H100" s="3564" t="s">
        <v>2887</v>
      </c>
      <c r="K100" s="2348" t="s">
        <v>3663</v>
      </c>
      <c r="P100" s="3564" t="s">
        <v>2887</v>
      </c>
    </row>
    <row r="101" spans="1:16" s="293" customFormat="1" ht="13.35" customHeight="1">
      <c r="A101" s="319"/>
      <c r="B101" s="471"/>
      <c r="C101" s="295"/>
      <c r="F101" s="2349" t="s">
        <v>3667</v>
      </c>
      <c r="H101" s="3565" t="s">
        <v>2887</v>
      </c>
      <c r="K101" s="2348" t="s">
        <v>4227</v>
      </c>
      <c r="P101" s="3565" t="s">
        <v>2887</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1937</v>
      </c>
      <c r="C103" s="295" t="s">
        <v>2628</v>
      </c>
      <c r="F103" s="2348" t="s">
        <v>2602</v>
      </c>
      <c r="H103" s="3552" t="s">
        <v>2887</v>
      </c>
      <c r="J103" s="2356"/>
      <c r="K103" s="466" t="s">
        <v>2629</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2691</v>
      </c>
      <c r="D105" s="2349"/>
      <c r="H105" s="3560" t="s">
        <v>2722</v>
      </c>
      <c r="I105" s="3562"/>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481"/>
      <c r="F109" s="3482"/>
      <c r="G109" s="3482"/>
      <c r="H109" s="3482"/>
      <c r="I109" s="3482"/>
      <c r="J109" s="3482"/>
      <c r="K109" s="3482"/>
      <c r="L109" s="3483"/>
      <c r="M109" s="2421" t="s">
        <v>537</v>
      </c>
      <c r="N109" s="2421"/>
      <c r="O109" s="3566"/>
      <c r="P109" s="3567"/>
    </row>
    <row r="110" spans="1:16" s="293" customFormat="1" ht="13.35" customHeight="1">
      <c r="C110" s="2345" t="s">
        <v>999</v>
      </c>
      <c r="D110" s="305"/>
      <c r="E110" s="3485"/>
      <c r="F110" s="3486"/>
      <c r="G110" s="3486"/>
      <c r="H110" s="3488"/>
      <c r="I110" s="3486"/>
      <c r="J110" s="3488"/>
      <c r="K110" s="3486"/>
      <c r="L110" s="3490"/>
      <c r="M110" s="2421" t="s">
        <v>788</v>
      </c>
      <c r="N110" s="2421"/>
      <c r="O110" s="3568"/>
      <c r="P110" s="3569"/>
    </row>
    <row r="111" spans="1:16" s="293" customFormat="1" ht="13.35" customHeight="1">
      <c r="C111" s="2345" t="s">
        <v>600</v>
      </c>
      <c r="E111" s="3506"/>
      <c r="F111" s="3570"/>
      <c r="G111" s="3571"/>
      <c r="H111" s="2362" t="s">
        <v>1754</v>
      </c>
      <c r="I111" s="3572"/>
      <c r="J111" s="321" t="s">
        <v>2172</v>
      </c>
      <c r="K111" s="3573"/>
      <c r="L111" s="3574"/>
      <c r="M111" s="270" t="s">
        <v>3488</v>
      </c>
      <c r="N111" s="270"/>
      <c r="O111" s="3575"/>
      <c r="P111" s="3576"/>
    </row>
    <row r="112" spans="1:16" s="293" customFormat="1" ht="13.35" customHeight="1">
      <c r="C112" s="293" t="s">
        <v>2143</v>
      </c>
      <c r="E112" s="3506"/>
      <c r="F112" s="3570"/>
      <c r="G112" s="3571"/>
      <c r="H112" s="928" t="s">
        <v>1932</v>
      </c>
      <c r="I112" s="3577"/>
      <c r="J112" s="3578"/>
      <c r="K112" s="3579"/>
      <c r="L112" s="2364" t="s">
        <v>1936</v>
      </c>
      <c r="M112" s="3481"/>
      <c r="N112" s="3580"/>
      <c r="O112" s="3581"/>
      <c r="P112" s="3582"/>
    </row>
    <row r="113" spans="1:16" s="293" customFormat="1" ht="13.35" customHeight="1">
      <c r="C113" s="2345" t="s">
        <v>2142</v>
      </c>
      <c r="E113" s="3501"/>
      <c r="F113" s="3583"/>
      <c r="G113" s="3502"/>
      <c r="H113" s="928" t="s">
        <v>1756</v>
      </c>
      <c r="I113" s="3501"/>
      <c r="J113" s="3584"/>
      <c r="K113" s="2362" t="s">
        <v>2624</v>
      </c>
      <c r="L113" s="3472"/>
      <c r="M113" s="3585"/>
      <c r="N113" s="3585"/>
      <c r="O113" s="3585"/>
      <c r="P113" s="3586"/>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9"/>
      <c r="E119" s="2349"/>
      <c r="F119" s="2356"/>
      <c r="G119" s="2356"/>
      <c r="H119" s="3587">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9"/>
      <c r="E121" s="2349"/>
      <c r="F121" s="2356"/>
      <c r="G121" s="2356"/>
      <c r="H121" s="3588">
        <v>1800000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2084</v>
      </c>
      <c r="D124" s="2349"/>
      <c r="F124" s="2349" t="s">
        <v>1112</v>
      </c>
      <c r="G124" s="2356"/>
      <c r="H124" s="2356"/>
      <c r="I124" s="2356" t="s">
        <v>1268</v>
      </c>
      <c r="J124" s="2349" t="s">
        <v>2084</v>
      </c>
      <c r="K124" s="2349"/>
      <c r="M124" s="2349" t="s">
        <v>1112</v>
      </c>
      <c r="N124" s="2356"/>
      <c r="O124" s="2356"/>
      <c r="P124" s="2356" t="s">
        <v>1268</v>
      </c>
    </row>
    <row r="125" spans="1:16" s="293" customFormat="1" ht="13.35" customHeight="1">
      <c r="A125" s="471"/>
      <c r="B125" s="471"/>
      <c r="C125" s="3589" t="s">
        <v>6992</v>
      </c>
      <c r="D125" s="3590"/>
      <c r="E125" s="3590"/>
      <c r="F125" s="3591" t="s">
        <v>6997</v>
      </c>
      <c r="G125" s="3592"/>
      <c r="H125" s="3593"/>
      <c r="I125" s="3594" t="s">
        <v>6999</v>
      </c>
      <c r="J125" s="3589">
        <v>7</v>
      </c>
      <c r="K125" s="3590"/>
      <c r="L125" s="3590"/>
      <c r="M125" s="3591"/>
      <c r="N125" s="3592"/>
      <c r="O125" s="3593"/>
      <c r="P125" s="3594"/>
    </row>
    <row r="126" spans="1:16" s="293" customFormat="1" ht="13.35" customHeight="1">
      <c r="A126" s="471"/>
      <c r="B126" s="471"/>
      <c r="C126" s="3595" t="s">
        <v>6992</v>
      </c>
      <c r="D126" s="3596"/>
      <c r="E126" s="3596"/>
      <c r="F126" s="3597" t="s">
        <v>6998</v>
      </c>
      <c r="G126" s="3598"/>
      <c r="H126" s="3599"/>
      <c r="I126" s="3600" t="s">
        <v>6999</v>
      </c>
      <c r="J126" s="3595">
        <v>8</v>
      </c>
      <c r="K126" s="3596"/>
      <c r="L126" s="3596"/>
      <c r="M126" s="3597"/>
      <c r="N126" s="3598"/>
      <c r="O126" s="3599"/>
      <c r="P126" s="3600"/>
    </row>
    <row r="127" spans="1:16" s="293" customFormat="1" ht="13.35" customHeight="1">
      <c r="A127" s="471"/>
      <c r="B127" s="471"/>
      <c r="C127" s="3595">
        <v>3</v>
      </c>
      <c r="D127" s="3596"/>
      <c r="E127" s="3596"/>
      <c r="F127" s="3597"/>
      <c r="G127" s="3598"/>
      <c r="H127" s="3599"/>
      <c r="I127" s="3600"/>
      <c r="J127" s="3595">
        <v>9</v>
      </c>
      <c r="K127" s="3596"/>
      <c r="L127" s="3596"/>
      <c r="M127" s="3597"/>
      <c r="N127" s="3598"/>
      <c r="O127" s="3599"/>
      <c r="P127" s="3600"/>
    </row>
    <row r="128" spans="1:16" s="293" customFormat="1" ht="13.35" customHeight="1">
      <c r="A128" s="471"/>
      <c r="B128" s="471"/>
      <c r="C128" s="3595">
        <v>4</v>
      </c>
      <c r="D128" s="3596"/>
      <c r="E128" s="3596"/>
      <c r="F128" s="3597"/>
      <c r="G128" s="3598"/>
      <c r="H128" s="3599"/>
      <c r="I128" s="3600"/>
      <c r="J128" s="3595">
        <v>10</v>
      </c>
      <c r="K128" s="3596"/>
      <c r="L128" s="3596"/>
      <c r="M128" s="3597"/>
      <c r="N128" s="3598"/>
      <c r="O128" s="3599"/>
      <c r="P128" s="3600"/>
    </row>
    <row r="129" spans="1:16" s="293" customFormat="1" ht="13.35" customHeight="1">
      <c r="A129" s="471"/>
      <c r="B129" s="471"/>
      <c r="C129" s="3595">
        <v>5</v>
      </c>
      <c r="D129" s="3596"/>
      <c r="E129" s="3596"/>
      <c r="F129" s="3597"/>
      <c r="G129" s="3598"/>
      <c r="H129" s="3599"/>
      <c r="I129" s="3600"/>
      <c r="J129" s="3595">
        <v>11</v>
      </c>
      <c r="K129" s="3596"/>
      <c r="L129" s="3596"/>
      <c r="M129" s="3597"/>
      <c r="N129" s="3598"/>
      <c r="O129" s="3599"/>
      <c r="P129" s="3600"/>
    </row>
    <row r="130" spans="1:16" s="293" customFormat="1" ht="13.35" customHeight="1">
      <c r="A130" s="471"/>
      <c r="B130" s="471"/>
      <c r="C130" s="3601">
        <v>6</v>
      </c>
      <c r="D130" s="3602"/>
      <c r="E130" s="3602"/>
      <c r="F130" s="3603"/>
      <c r="G130" s="3604"/>
      <c r="H130" s="3605"/>
      <c r="I130" s="3606"/>
      <c r="J130" s="3601">
        <v>12</v>
      </c>
      <c r="K130" s="3602"/>
      <c r="L130" s="3602"/>
      <c r="M130" s="3603"/>
      <c r="N130" s="3604"/>
      <c r="O130" s="3605"/>
      <c r="P130" s="3606"/>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2" t="s">
        <v>1800</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9" t="s">
        <v>2084</v>
      </c>
      <c r="D134" s="2349"/>
      <c r="F134" s="2349" t="s">
        <v>1112</v>
      </c>
      <c r="G134" s="2356"/>
      <c r="H134" s="2356"/>
      <c r="I134" s="2356"/>
      <c r="J134" s="2349" t="s">
        <v>2084</v>
      </c>
      <c r="K134" s="2349"/>
      <c r="M134" s="2349" t="s">
        <v>1112</v>
      </c>
      <c r="N134" s="2356"/>
      <c r="O134" s="2356"/>
      <c r="P134" s="2356"/>
    </row>
    <row r="135" spans="1:16" s="293" customFormat="1" ht="13.35" customHeight="1">
      <c r="A135" s="471"/>
      <c r="B135" s="471"/>
      <c r="C135" s="3589">
        <v>1</v>
      </c>
      <c r="D135" s="3590"/>
      <c r="E135" s="3590"/>
      <c r="F135" s="3591"/>
      <c r="G135" s="3592"/>
      <c r="H135" s="3592"/>
      <c r="I135" s="3607"/>
      <c r="J135" s="3589">
        <v>7</v>
      </c>
      <c r="K135" s="3590"/>
      <c r="L135" s="3590"/>
      <c r="M135" s="3591"/>
      <c r="N135" s="3592"/>
      <c r="O135" s="3592"/>
      <c r="P135" s="3607"/>
    </row>
    <row r="136" spans="1:16" s="293" customFormat="1" ht="13.35" customHeight="1">
      <c r="A136" s="471"/>
      <c r="B136" s="471"/>
      <c r="C136" s="3595">
        <v>2</v>
      </c>
      <c r="D136" s="3596"/>
      <c r="E136" s="3596"/>
      <c r="F136" s="3597"/>
      <c r="G136" s="3598"/>
      <c r="H136" s="3598"/>
      <c r="I136" s="3608"/>
      <c r="J136" s="3595">
        <v>8</v>
      </c>
      <c r="K136" s="3596"/>
      <c r="L136" s="3596"/>
      <c r="M136" s="3597"/>
      <c r="N136" s="3598"/>
      <c r="O136" s="3598"/>
      <c r="P136" s="3608"/>
    </row>
    <row r="137" spans="1:16" s="293" customFormat="1" ht="13.35" customHeight="1">
      <c r="A137" s="471"/>
      <c r="B137" s="471"/>
      <c r="C137" s="3595">
        <v>3</v>
      </c>
      <c r="D137" s="3596"/>
      <c r="E137" s="3596"/>
      <c r="F137" s="3597"/>
      <c r="G137" s="3598"/>
      <c r="H137" s="3598"/>
      <c r="I137" s="3608"/>
      <c r="J137" s="3595">
        <v>9</v>
      </c>
      <c r="K137" s="3596"/>
      <c r="L137" s="3596"/>
      <c r="M137" s="3597"/>
      <c r="N137" s="3598"/>
      <c r="O137" s="3598"/>
      <c r="P137" s="3608"/>
    </row>
    <row r="138" spans="1:16" s="293" customFormat="1" ht="13.35" customHeight="1">
      <c r="A138" s="471"/>
      <c r="B138" s="471"/>
      <c r="C138" s="3595">
        <v>4</v>
      </c>
      <c r="D138" s="3596"/>
      <c r="E138" s="3596"/>
      <c r="F138" s="3597"/>
      <c r="G138" s="3598"/>
      <c r="H138" s="3598"/>
      <c r="I138" s="3608"/>
      <c r="J138" s="3595">
        <v>10</v>
      </c>
      <c r="K138" s="3596"/>
      <c r="L138" s="3596"/>
      <c r="M138" s="3597"/>
      <c r="N138" s="3598"/>
      <c r="O138" s="3598"/>
      <c r="P138" s="3608"/>
    </row>
    <row r="139" spans="1:16" s="293" customFormat="1" ht="13.35" customHeight="1">
      <c r="A139" s="471"/>
      <c r="B139" s="471"/>
      <c r="C139" s="3595">
        <v>5</v>
      </c>
      <c r="D139" s="3596"/>
      <c r="E139" s="3596"/>
      <c r="F139" s="3597"/>
      <c r="G139" s="3598"/>
      <c r="H139" s="3598"/>
      <c r="I139" s="3608"/>
      <c r="J139" s="3595">
        <v>11</v>
      </c>
      <c r="K139" s="3596"/>
      <c r="L139" s="3596"/>
      <c r="M139" s="3597"/>
      <c r="N139" s="3598"/>
      <c r="O139" s="3598"/>
      <c r="P139" s="3608"/>
    </row>
    <row r="140" spans="1:16" s="293" customFormat="1" ht="13.35" customHeight="1">
      <c r="A140" s="471"/>
      <c r="B140" s="471"/>
      <c r="C140" s="3601">
        <v>6</v>
      </c>
      <c r="D140" s="3602"/>
      <c r="E140" s="3602"/>
      <c r="F140" s="3603"/>
      <c r="G140" s="3604"/>
      <c r="H140" s="3604"/>
      <c r="I140" s="3609"/>
      <c r="J140" s="3601">
        <v>12</v>
      </c>
      <c r="K140" s="3602"/>
      <c r="L140" s="3602"/>
      <c r="M140" s="3603"/>
      <c r="N140" s="3604"/>
      <c r="O140" s="3604"/>
      <c r="P140" s="3609"/>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4394</v>
      </c>
      <c r="D142" s="303"/>
      <c r="E142" s="303"/>
      <c r="F142" s="303"/>
      <c r="I142" s="3610" t="s">
        <v>2887</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1935</v>
      </c>
      <c r="C144" s="298" t="s">
        <v>1671</v>
      </c>
      <c r="I144" s="3564" t="s">
        <v>2887</v>
      </c>
      <c r="M144" s="2356"/>
      <c r="N144" s="2353"/>
      <c r="O144" s="2353"/>
      <c r="P144" s="302"/>
    </row>
    <row r="145" spans="1:16" s="293" customFormat="1" ht="13.35" customHeight="1">
      <c r="A145" s="471"/>
      <c r="B145" s="471"/>
      <c r="C145" s="2349" t="s">
        <v>2356</v>
      </c>
      <c r="D145" s="2349"/>
      <c r="E145" s="2349"/>
      <c r="F145" s="2356"/>
      <c r="I145" s="3611"/>
      <c r="N145" s="2353"/>
      <c r="O145" s="2353"/>
      <c r="P145" s="302"/>
    </row>
    <row r="146" spans="1:16" s="293" customFormat="1" ht="13.35" customHeight="1">
      <c r="A146" s="471"/>
      <c r="B146" s="471"/>
      <c r="C146" s="324" t="s">
        <v>1670</v>
      </c>
      <c r="D146" s="2345"/>
      <c r="I146" s="3510"/>
      <c r="P146" s="302"/>
    </row>
    <row r="147" spans="1:16" s="293" customFormat="1" ht="13.35" customHeight="1">
      <c r="A147" s="471"/>
      <c r="B147" s="471"/>
      <c r="C147" s="2349" t="s">
        <v>2357</v>
      </c>
      <c r="D147" s="2349"/>
      <c r="E147" s="1481"/>
      <c r="F147" s="2356"/>
      <c r="I147" s="3611"/>
      <c r="K147" s="270" t="s">
        <v>2187</v>
      </c>
      <c r="O147" s="3481" t="s">
        <v>475</v>
      </c>
      <c r="P147" s="3483"/>
    </row>
    <row r="148" spans="1:16" s="293" customFormat="1" ht="13.35" customHeight="1">
      <c r="A148" s="471"/>
      <c r="B148" s="471"/>
      <c r="C148" s="2349" t="s">
        <v>2355</v>
      </c>
      <c r="F148" s="2356"/>
      <c r="I148" s="3612"/>
      <c r="K148" s="270" t="s">
        <v>2188</v>
      </c>
      <c r="O148" s="3509" t="s">
        <v>475</v>
      </c>
      <c r="P148" s="3489"/>
    </row>
    <row r="149" spans="1:16" s="293" customFormat="1" ht="13.35" customHeight="1">
      <c r="A149" s="471"/>
      <c r="B149" s="471"/>
      <c r="C149" s="2349" t="s">
        <v>2115</v>
      </c>
      <c r="D149" s="2349"/>
      <c r="E149" s="2349"/>
      <c r="F149" s="2356"/>
      <c r="I149" s="3613"/>
      <c r="J149" s="3614"/>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1937</v>
      </c>
      <c r="C151" s="1520" t="s">
        <v>2621</v>
      </c>
      <c r="D151" s="2349"/>
      <c r="E151" s="316" t="s">
        <v>4463</v>
      </c>
      <c r="F151" s="316"/>
      <c r="G151" s="316"/>
      <c r="I151" s="3615" t="s">
        <v>2887</v>
      </c>
      <c r="K151" s="316" t="s">
        <v>4465</v>
      </c>
      <c r="L151" s="316"/>
      <c r="M151" s="316"/>
      <c r="O151" s="3616" t="s">
        <v>2887</v>
      </c>
      <c r="P151" s="302"/>
    </row>
    <row r="152" spans="1:16" s="293" customFormat="1" ht="13.35" customHeight="1">
      <c r="A152" s="471"/>
      <c r="C152" s="1481"/>
      <c r="D152" s="2349"/>
      <c r="E152" s="316" t="s">
        <v>4464</v>
      </c>
      <c r="F152" s="316"/>
      <c r="G152" s="316"/>
      <c r="I152" s="3617" t="s">
        <v>2887</v>
      </c>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4462</v>
      </c>
      <c r="D154" s="2349"/>
      <c r="E154" s="2349"/>
      <c r="F154" s="2356"/>
      <c r="I154" s="3587" t="s">
        <v>2887</v>
      </c>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1935</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18" t="s">
        <v>2887</v>
      </c>
      <c r="N159" s="2353"/>
      <c r="O159" s="2353"/>
      <c r="P159" s="302"/>
    </row>
    <row r="160" spans="1:16" s="293" customFormat="1" ht="12.6" customHeight="1">
      <c r="A160" s="471"/>
      <c r="B160" s="471"/>
      <c r="C160" s="2420" t="s">
        <v>4523</v>
      </c>
      <c r="D160" s="2420"/>
      <c r="E160" s="2420"/>
      <c r="F160" s="2420"/>
      <c r="G160" s="293" t="s">
        <v>4271</v>
      </c>
      <c r="I160" s="3619"/>
      <c r="K160" s="2345" t="s">
        <v>1751</v>
      </c>
      <c r="P160" s="1416">
        <f>IF('Part VI-Revenues &amp; Expenses'!$P$65=0,0,I160/'Part VI-Revenues &amp; Expenses'!$P$65)</f>
        <v>0</v>
      </c>
    </row>
    <row r="161" spans="1:16" s="293" customFormat="1" ht="12.6" customHeight="1">
      <c r="A161" s="471"/>
      <c r="B161" s="471"/>
      <c r="C161" s="2420"/>
      <c r="D161" s="2420"/>
      <c r="E161" s="2420"/>
      <c r="F161" s="2420"/>
      <c r="G161" s="293" t="s">
        <v>4270</v>
      </c>
      <c r="I161" s="3619"/>
      <c r="K161" s="2345" t="s">
        <v>1751</v>
      </c>
      <c r="O161" s="2354"/>
      <c r="P161" s="1417">
        <f>IF('Part VI-Revenues &amp; Expenses'!$P$65=0,0,I161/'Part VI-Revenues &amp; Expenses'!$P$65)</f>
        <v>0</v>
      </c>
    </row>
    <row r="162" spans="1:16" s="293" customFormat="1" ht="12" customHeight="1">
      <c r="A162" s="471"/>
      <c r="B162" s="471"/>
      <c r="C162" s="2345" t="s">
        <v>4272</v>
      </c>
      <c r="I162" s="3555"/>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1"/>
      <c r="E164" s="3482"/>
      <c r="F164" s="3482"/>
      <c r="G164" s="3482"/>
      <c r="H164" s="3483"/>
      <c r="I164" s="2345" t="s">
        <v>4225</v>
      </c>
      <c r="N164" s="3498"/>
      <c r="O164" s="3620"/>
      <c r="P164" s="3496"/>
    </row>
    <row r="165" spans="1:16" s="293" customFormat="1" ht="12.6" customHeight="1">
      <c r="A165" s="471"/>
      <c r="B165" s="471"/>
      <c r="C165" s="2345" t="s">
        <v>4226</v>
      </c>
      <c r="D165" s="3506"/>
      <c r="E165" s="3507"/>
      <c r="F165" s="3486"/>
      <c r="G165" s="3507"/>
      <c r="H165" s="3508"/>
      <c r="I165" s="2352" t="s">
        <v>1753</v>
      </c>
      <c r="J165" s="3481"/>
      <c r="K165" s="3482"/>
      <c r="L165" s="3483"/>
      <c r="M165" s="1403" t="s">
        <v>1932</v>
      </c>
      <c r="N165" s="3506"/>
      <c r="O165" s="3507"/>
      <c r="P165" s="3508"/>
    </row>
    <row r="166" spans="1:16" s="293" customFormat="1" ht="12.6" customHeight="1">
      <c r="A166" s="471"/>
      <c r="B166" s="471"/>
      <c r="C166" s="2345" t="s">
        <v>600</v>
      </c>
      <c r="D166" s="3506"/>
      <c r="E166" s="3508"/>
      <c r="F166" s="1401" t="s">
        <v>2172</v>
      </c>
      <c r="G166" s="3621"/>
      <c r="H166" s="3622"/>
      <c r="I166" s="325" t="s">
        <v>1756</v>
      </c>
      <c r="J166" s="3623"/>
      <c r="K166" s="3624"/>
      <c r="L166" s="3625"/>
      <c r="M166" s="1402" t="s">
        <v>1931</v>
      </c>
      <c r="N166" s="3623"/>
      <c r="O166" s="3624"/>
      <c r="P166" s="3625"/>
    </row>
    <row r="167" spans="1:16" s="293" customFormat="1" ht="12.6" customHeight="1">
      <c r="A167" s="471"/>
      <c r="B167" s="471"/>
      <c r="C167" s="293" t="s">
        <v>2624</v>
      </c>
      <c r="D167" s="3499"/>
      <c r="E167" s="3487"/>
      <c r="F167" s="3487"/>
      <c r="G167" s="3487"/>
      <c r="H167" s="3500"/>
      <c r="I167" s="325" t="s">
        <v>1755</v>
      </c>
      <c r="J167" s="3626"/>
      <c r="K167" s="3585"/>
      <c r="L167" s="3585"/>
      <c r="M167" s="3585"/>
      <c r="N167" s="3585"/>
      <c r="O167" s="3585"/>
      <c r="P167" s="3586"/>
    </row>
    <row r="168" spans="1:16" s="293" customFormat="1" ht="12" customHeight="1">
      <c r="A168" s="471"/>
      <c r="B168" s="471"/>
      <c r="C168" s="293" t="s">
        <v>4273</v>
      </c>
      <c r="E168" s="326"/>
      <c r="F168" s="326"/>
      <c r="G168" s="326"/>
      <c r="H168" s="2356"/>
      <c r="I168" s="3616"/>
      <c r="J168" s="2431" t="s">
        <v>743</v>
      </c>
      <c r="K168" s="2432"/>
      <c r="L168" s="3587"/>
      <c r="M168" s="326"/>
      <c r="N168" s="2356"/>
      <c r="O168" s="326"/>
      <c r="P168" s="326"/>
    </row>
    <row r="169" spans="1:16" s="293" customFormat="1" ht="3" customHeight="1">
      <c r="A169" s="471"/>
      <c r="B169" s="471"/>
    </row>
    <row r="170" spans="1:16" s="293" customFormat="1" ht="12.6" customHeight="1">
      <c r="A170" s="471"/>
      <c r="B170" s="471" t="s">
        <v>1937</v>
      </c>
      <c r="C170" s="2347" t="s">
        <v>2622</v>
      </c>
      <c r="D170" s="2347"/>
      <c r="E170" s="2347"/>
      <c r="F170" s="2347"/>
      <c r="G170" s="2347"/>
      <c r="I170" s="3627"/>
      <c r="J170" s="2424" t="s">
        <v>743</v>
      </c>
      <c r="K170" s="2425"/>
      <c r="L170" s="3627"/>
      <c r="M170" s="2426" t="s">
        <v>2266</v>
      </c>
      <c r="N170" s="2427"/>
      <c r="O170" s="2428"/>
      <c r="P170" s="3628"/>
    </row>
    <row r="171" spans="1:16" s="293" customFormat="1" ht="12.6" customHeight="1">
      <c r="A171" s="471"/>
      <c r="B171" s="471"/>
      <c r="C171" s="2347" t="s">
        <v>2623</v>
      </c>
      <c r="D171" s="2347"/>
      <c r="E171" s="2347"/>
      <c r="F171" s="2347"/>
      <c r="G171" s="2347"/>
      <c r="I171" s="3565" t="s">
        <v>2884</v>
      </c>
      <c r="J171" s="2424" t="s">
        <v>743</v>
      </c>
      <c r="K171" s="2425"/>
      <c r="L171" s="3565" t="s">
        <v>7072</v>
      </c>
      <c r="M171" s="2426" t="s">
        <v>2266</v>
      </c>
      <c r="N171" s="2427"/>
      <c r="O171" s="2428"/>
      <c r="P171" s="3629" t="s">
        <v>7072</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52" t="s">
        <v>2887</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2064</v>
      </c>
      <c r="C175" s="2429" t="s">
        <v>1930</v>
      </c>
      <c r="D175" s="2429"/>
      <c r="E175" s="2429"/>
      <c r="F175" s="2429"/>
      <c r="G175" s="2347"/>
      <c r="I175" s="3552" t="s">
        <v>2887</v>
      </c>
      <c r="J175" s="328" t="s">
        <v>2664</v>
      </c>
      <c r="L175" s="2430" t="s">
        <v>3522</v>
      </c>
      <c r="M175" s="2430"/>
      <c r="N175" s="2347"/>
      <c r="O175" s="2347"/>
      <c r="P175" s="3553"/>
    </row>
    <row r="176" spans="1:16" s="293" customFormat="1" ht="12.6" customHeight="1">
      <c r="B176" s="471"/>
      <c r="L176" s="2419" t="s">
        <v>777</v>
      </c>
      <c r="M176" s="2419"/>
      <c r="N176" s="1481"/>
      <c r="O176" s="1481"/>
      <c r="P176" s="3555"/>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2155</v>
      </c>
      <c r="D179" s="303"/>
      <c r="E179" s="2353"/>
      <c r="F179" s="2353"/>
      <c r="I179" s="3618" t="s">
        <v>2887</v>
      </c>
      <c r="L179" s="2353" t="s">
        <v>1577</v>
      </c>
      <c r="M179" s="2353"/>
      <c r="N179" s="2353"/>
      <c r="P179" s="3618" t="s">
        <v>2884</v>
      </c>
    </row>
    <row r="180" spans="1:16" s="293" customFormat="1" ht="12.6" customHeight="1">
      <c r="A180" s="471"/>
      <c r="B180" s="471"/>
      <c r="C180" s="2353" t="s">
        <v>2156</v>
      </c>
      <c r="I180" s="3612" t="s">
        <v>2887</v>
      </c>
      <c r="L180" s="2353" t="s">
        <v>2744</v>
      </c>
      <c r="M180" s="2353"/>
      <c r="N180" s="2353"/>
      <c r="P180" s="3612" t="s">
        <v>2887</v>
      </c>
    </row>
    <row r="181" spans="1:16" s="293" customFormat="1" ht="12.6" customHeight="1">
      <c r="A181" s="471"/>
      <c r="C181" s="2353" t="s">
        <v>2640</v>
      </c>
      <c r="I181" s="3612" t="s">
        <v>2887</v>
      </c>
      <c r="L181" s="2353" t="s">
        <v>2611</v>
      </c>
      <c r="N181" s="3630"/>
      <c r="O181" s="3631"/>
      <c r="P181" s="3612" t="s">
        <v>2887</v>
      </c>
    </row>
    <row r="182" spans="1:16" s="293" customFormat="1" ht="12.6" customHeight="1">
      <c r="A182" s="471"/>
      <c r="B182" s="471"/>
      <c r="C182" s="2353" t="s">
        <v>1259</v>
      </c>
      <c r="D182" s="329"/>
      <c r="I182" s="3612" t="s">
        <v>2887</v>
      </c>
      <c r="K182" s="303"/>
      <c r="L182" s="2353" t="s">
        <v>3360</v>
      </c>
      <c r="M182" s="2353"/>
      <c r="N182" s="2353"/>
      <c r="P182" s="3612" t="s">
        <v>2887</v>
      </c>
    </row>
    <row r="183" spans="1:16" s="293" customFormat="1" ht="12.6" customHeight="1">
      <c r="A183" s="471"/>
      <c r="B183" s="295"/>
      <c r="C183" s="2353" t="s">
        <v>4522</v>
      </c>
      <c r="I183" s="3612" t="s">
        <v>2887</v>
      </c>
      <c r="J183" s="328" t="s">
        <v>2665</v>
      </c>
      <c r="O183" s="3632"/>
      <c r="P183" s="3633"/>
    </row>
    <row r="184" spans="1:16" s="293" customFormat="1" ht="12.6" customHeight="1">
      <c r="A184" s="471"/>
      <c r="B184" s="295"/>
      <c r="C184" s="2353" t="s">
        <v>1761</v>
      </c>
      <c r="I184" s="3612" t="s">
        <v>2887</v>
      </c>
      <c r="J184" s="328" t="s">
        <v>2665</v>
      </c>
      <c r="O184" s="3634"/>
      <c r="P184" s="3635"/>
    </row>
    <row r="185" spans="1:16" s="293" customFormat="1" ht="12.6" customHeight="1">
      <c r="A185" s="471"/>
      <c r="B185" s="471"/>
      <c r="C185" s="2353" t="s">
        <v>2798</v>
      </c>
      <c r="I185" s="3617" t="s">
        <v>2887</v>
      </c>
      <c r="J185" s="328" t="s">
        <v>2665</v>
      </c>
      <c r="O185" s="3636"/>
      <c r="P185" s="3637"/>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566"/>
      <c r="I188" s="3567"/>
      <c r="N188" s="2353"/>
      <c r="O188" s="2353"/>
      <c r="P188" s="302"/>
    </row>
    <row r="189" spans="1:16" s="293" customFormat="1" ht="12.6" customHeight="1">
      <c r="A189" s="471"/>
      <c r="B189" s="471"/>
      <c r="C189" s="2345" t="s">
        <v>271</v>
      </c>
      <c r="D189" s="2349"/>
      <c r="E189" s="2349"/>
      <c r="F189" s="2356"/>
      <c r="G189" s="2356"/>
      <c r="H189" s="3638"/>
      <c r="I189" s="3639"/>
      <c r="N189" s="2353"/>
      <c r="O189" s="2353"/>
      <c r="P189" s="302"/>
    </row>
    <row r="190" spans="1:16" s="293" customFormat="1" ht="12.6" customHeight="1">
      <c r="A190" s="471"/>
      <c r="B190" s="471"/>
      <c r="C190" s="2345" t="s">
        <v>2236</v>
      </c>
      <c r="D190" s="2349"/>
      <c r="E190" s="2349"/>
      <c r="F190" s="2356"/>
      <c r="G190" s="2356"/>
      <c r="H190" s="3640">
        <v>44743</v>
      </c>
      <c r="I190" s="3641"/>
      <c r="N190" s="2353"/>
      <c r="O190" s="2353"/>
      <c r="P190" s="302"/>
    </row>
    <row r="191" spans="1:16" s="293" customFormat="1" ht="2.25" customHeight="1">
      <c r="B191" s="295"/>
      <c r="C191" s="2353"/>
      <c r="H191" s="2353"/>
      <c r="L191" s="311"/>
      <c r="M191" s="311"/>
      <c r="N191" s="311"/>
      <c r="O191" s="311"/>
      <c r="P191" s="299"/>
    </row>
    <row r="192" spans="1:16" ht="12" customHeight="1">
      <c r="A192" s="319" t="s">
        <v>2690</v>
      </c>
      <c r="C192" s="319" t="s">
        <v>555</v>
      </c>
      <c r="M192" s="319" t="s">
        <v>2193</v>
      </c>
      <c r="N192" s="319" t="s">
        <v>77</v>
      </c>
    </row>
    <row r="193" spans="1:44" ht="409.5" customHeight="1">
      <c r="A193" s="3642" t="s">
        <v>7000</v>
      </c>
      <c r="B193" s="3643"/>
      <c r="C193" s="3643"/>
      <c r="D193" s="3643"/>
      <c r="E193" s="3643"/>
      <c r="F193" s="3643"/>
      <c r="G193" s="3643"/>
      <c r="H193" s="3643"/>
      <c r="I193" s="3643"/>
      <c r="J193" s="3643"/>
      <c r="K193" s="3643"/>
      <c r="L193" s="3644"/>
      <c r="M193" s="3645"/>
      <c r="N193" s="3646"/>
      <c r="O193" s="3646"/>
      <c r="P193" s="3647"/>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8"/>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8"/>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8"/>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8"/>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48"/>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48"/>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48"/>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48"/>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48"/>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48"/>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48"/>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48"/>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48"/>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3648"/>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8"/>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8"/>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8"/>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8"/>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8"/>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9"/>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8"/>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8"/>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8"/>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9"/>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8"/>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8"/>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8"/>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8"/>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8"/>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8"/>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8"/>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8"/>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8"/>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8"/>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8"/>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8"/>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8"/>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0"/>
      <c r="Q247" s="3648"/>
      <c r="R247" s="1033"/>
      <c r="S247" s="365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8"/>
      <c r="R248" s="1033"/>
      <c r="S248" s="365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8"/>
      <c r="R249" s="1033"/>
      <c r="S249" s="365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8"/>
      <c r="R250" s="1033"/>
      <c r="S250" s="365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9"/>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8"/>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8"/>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0"/>
      <c r="Q255" s="3648"/>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8"/>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8"/>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8"/>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8"/>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8"/>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8"/>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8"/>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0"/>
      <c r="Q263" s="3648"/>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8"/>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8"/>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8"/>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8"/>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8"/>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8"/>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8"/>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8"/>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8"/>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8"/>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8"/>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8"/>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8"/>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8"/>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8"/>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8"/>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8"/>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8"/>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8"/>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8"/>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8"/>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8"/>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8"/>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8"/>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8"/>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8"/>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8"/>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8"/>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8"/>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8"/>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8"/>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8"/>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8"/>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8"/>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8"/>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8"/>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8"/>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8"/>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8"/>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8"/>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8"/>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0"/>
      <c r="Q305" s="3648"/>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8"/>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8"/>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8"/>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8"/>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8"/>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8"/>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8"/>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8"/>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8"/>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8"/>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8"/>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8"/>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8"/>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9"/>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8"/>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8"/>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8"/>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9"/>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8"/>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8"/>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0"/>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8"/>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8"/>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8"/>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9"/>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8"/>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0"/>
      <c r="Q334" s="3648"/>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8"/>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8"/>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8"/>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9"/>
      <c r="Q340" s="3648"/>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8"/>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8"/>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8"/>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8"/>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8"/>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8"/>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8"/>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8"/>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8"/>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8"/>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8"/>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8"/>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8"/>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8"/>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8"/>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8"/>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8"/>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0"/>
      <c r="Q358" s="3648"/>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8"/>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8"/>
      <c r="R360" s="1033"/>
      <c r="S360" s="365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8"/>
      <c r="R361" s="1033"/>
      <c r="S361" s="365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8"/>
      <c r="R362" s="1033"/>
      <c r="S362" s="365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0"/>
      <c r="Q364" s="1031"/>
      <c r="R364" s="1033"/>
      <c r="S364" s="365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0"/>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0"/>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0"/>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0"/>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0"/>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0"/>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0"/>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0"/>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1" t="s">
        <v>92</v>
      </c>
      <c r="S620" s="3651" t="s">
        <v>94</v>
      </c>
      <c r="T620" s="365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1" t="s">
        <v>2494</v>
      </c>
      <c r="S621" s="3651" t="s">
        <v>610</v>
      </c>
      <c r="T621" s="3654"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3"/>
      <c r="R622" s="3651" t="s">
        <v>2495</v>
      </c>
      <c r="S622" s="3651" t="s">
        <v>314</v>
      </c>
      <c r="T622" s="3654"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1" t="s">
        <v>2496</v>
      </c>
      <c r="S623" s="3651" t="s">
        <v>2418</v>
      </c>
      <c r="T623" s="3654"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1" t="s">
        <v>2497</v>
      </c>
      <c r="S624" s="3651"/>
      <c r="T624" s="3654"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1" t="s">
        <v>2498</v>
      </c>
      <c r="S625" s="3651" t="s">
        <v>1959</v>
      </c>
      <c r="T625" s="3654"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1" t="s">
        <v>2499</v>
      </c>
      <c r="S626" s="3651" t="s">
        <v>2418</v>
      </c>
      <c r="T626" s="3654"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1" t="s">
        <v>2500</v>
      </c>
      <c r="S627" s="3651" t="s">
        <v>1300</v>
      </c>
      <c r="T627" s="3654"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1" t="s">
        <v>2501</v>
      </c>
      <c r="S628" s="3651" t="s">
        <v>1961</v>
      </c>
      <c r="T628" s="3654"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1" t="s">
        <v>2502</v>
      </c>
      <c r="S629" s="3651" t="s">
        <v>648</v>
      </c>
      <c r="T629" s="3654"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1" t="s">
        <v>2503</v>
      </c>
      <c r="S630" s="3651" t="s">
        <v>610</v>
      </c>
      <c r="T630" s="3654"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1" t="s">
        <v>2504</v>
      </c>
      <c r="S631" s="3651" t="s">
        <v>2121</v>
      </c>
      <c r="T631" s="3654"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1" t="s">
        <v>2505</v>
      </c>
      <c r="S632" s="3651" t="s">
        <v>2464</v>
      </c>
      <c r="T632" s="3654"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1" t="s">
        <v>2186</v>
      </c>
      <c r="S633" s="3651" t="s">
        <v>2461</v>
      </c>
      <c r="T633" s="3654"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1" t="s">
        <v>2506</v>
      </c>
      <c r="S634" s="3651" t="s">
        <v>2121</v>
      </c>
      <c r="T634" s="3654"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1" t="s">
        <v>2507</v>
      </c>
      <c r="S635" s="3651" t="s">
        <v>2421</v>
      </c>
      <c r="T635" s="3654"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2"/>
      <c r="R636" s="3651" t="s">
        <v>2508</v>
      </c>
      <c r="S636" s="3651" t="s">
        <v>1959</v>
      </c>
      <c r="T636" s="3654"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1" t="s">
        <v>1023</v>
      </c>
      <c r="S637" s="3651" t="s">
        <v>1427</v>
      </c>
      <c r="T637" s="3654"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3"/>
      <c r="R638" s="3651" t="s">
        <v>883</v>
      </c>
      <c r="S638" s="3651" t="s">
        <v>1081</v>
      </c>
      <c r="T638" s="3654"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1" t="s">
        <v>1024</v>
      </c>
      <c r="S639" s="3651" t="s">
        <v>610</v>
      </c>
      <c r="T639" s="3654"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1" t="s">
        <v>1025</v>
      </c>
      <c r="S640" s="3651" t="s">
        <v>1863</v>
      </c>
      <c r="T640" s="3654"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3"/>
      <c r="R641" s="3651" t="s">
        <v>1026</v>
      </c>
      <c r="S641" s="3651" t="s">
        <v>1957</v>
      </c>
      <c r="T641" s="3654"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1" t="s">
        <v>1027</v>
      </c>
      <c r="S642" s="3651" t="s">
        <v>1074</v>
      </c>
      <c r="T642" s="3654"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5"/>
      <c r="R643" s="3651" t="s">
        <v>1028</v>
      </c>
      <c r="S643" s="3651" t="s">
        <v>1488</v>
      </c>
      <c r="T643" s="3654"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1" t="s">
        <v>1029</v>
      </c>
      <c r="S644" s="3651" t="s">
        <v>2418</v>
      </c>
      <c r="T644" s="3654"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3"/>
      <c r="R645" s="3651" t="s">
        <v>1030</v>
      </c>
      <c r="S645" s="3651" t="s">
        <v>155</v>
      </c>
      <c r="T645" s="3654"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3"/>
      <c r="R646" s="3651" t="s">
        <v>1031</v>
      </c>
      <c r="S646" s="3651" t="s">
        <v>1307</v>
      </c>
      <c r="T646" s="3654"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1" t="s">
        <v>1032</v>
      </c>
      <c r="S647" s="3651" t="s">
        <v>1488</v>
      </c>
      <c r="T647" s="3654"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1" t="s">
        <v>1033</v>
      </c>
      <c r="S648" s="3651" t="s">
        <v>1088</v>
      </c>
      <c r="T648" s="3654"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1" t="s">
        <v>1034</v>
      </c>
      <c r="S649" s="3651" t="s">
        <v>1957</v>
      </c>
      <c r="T649" s="3654"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4"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1" t="s">
        <v>1035</v>
      </c>
      <c r="S651" s="3651" t="s">
        <v>2421</v>
      </c>
      <c r="T651" s="3654"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1" t="s">
        <v>1574</v>
      </c>
      <c r="S652" s="3651" t="s">
        <v>2461</v>
      </c>
      <c r="T652" s="3654"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1" t="s">
        <v>1036</v>
      </c>
      <c r="S653" s="3651"/>
      <c r="T653" s="3654"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1" t="s">
        <v>180</v>
      </c>
      <c r="S654" s="3651" t="s">
        <v>155</v>
      </c>
      <c r="T654" s="3654"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1" t="s">
        <v>1037</v>
      </c>
      <c r="S655" s="3651" t="s">
        <v>171</v>
      </c>
      <c r="T655" s="3654"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1" t="s">
        <v>2226</v>
      </c>
      <c r="S656" s="3651" t="s">
        <v>1180</v>
      </c>
      <c r="T656" s="3654"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1" t="s">
        <v>1038</v>
      </c>
      <c r="S657" s="3651" t="s">
        <v>610</v>
      </c>
      <c r="T657" s="3654"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1" t="s">
        <v>1039</v>
      </c>
      <c r="S658" s="3651" t="s">
        <v>610</v>
      </c>
      <c r="T658" s="3654"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1" t="s">
        <v>1040</v>
      </c>
      <c r="S659" s="3651" t="s">
        <v>610</v>
      </c>
      <c r="T659" s="3654"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1" t="s">
        <v>1041</v>
      </c>
      <c r="S660" s="3651" t="s">
        <v>610</v>
      </c>
      <c r="T660" s="3654"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1" t="s">
        <v>1042</v>
      </c>
      <c r="S661" s="3651" t="s">
        <v>1629</v>
      </c>
      <c r="T661" s="3654"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1" t="s">
        <v>1043</v>
      </c>
      <c r="S662" s="3651" t="s">
        <v>933</v>
      </c>
      <c r="T662" s="3654"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1" t="s">
        <v>1044</v>
      </c>
      <c r="S663" s="3651" t="s">
        <v>119</v>
      </c>
      <c r="T663" s="3654"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3"/>
      <c r="R664" s="3651" t="s">
        <v>1045</v>
      </c>
      <c r="S664" s="3651" t="s">
        <v>610</v>
      </c>
      <c r="T664" s="3654"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1" t="s">
        <v>1046</v>
      </c>
      <c r="S665" s="3651" t="s">
        <v>311</v>
      </c>
      <c r="T665" s="3654"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1" t="s">
        <v>1047</v>
      </c>
      <c r="S666" s="3651" t="s">
        <v>315</v>
      </c>
      <c r="T666" s="3654"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1" t="s">
        <v>812</v>
      </c>
      <c r="S667" s="3651" t="s">
        <v>1286</v>
      </c>
      <c r="T667" s="3654"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1" t="s">
        <v>1048</v>
      </c>
      <c r="S668" s="3651" t="s">
        <v>648</v>
      </c>
      <c r="T668" s="3654"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1" t="s">
        <v>1049</v>
      </c>
      <c r="S669" s="3651" t="s">
        <v>1488</v>
      </c>
      <c r="T669" s="3654"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1" t="s">
        <v>1050</v>
      </c>
      <c r="S670" s="3651" t="s">
        <v>610</v>
      </c>
      <c r="T670" s="3654"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1" t="s">
        <v>1051</v>
      </c>
      <c r="S671" s="3651" t="s">
        <v>640</v>
      </c>
      <c r="T671" s="3654"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1" t="s">
        <v>1052</v>
      </c>
      <c r="S672" s="3651" t="s">
        <v>155</v>
      </c>
      <c r="T672" s="3654"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2"/>
      <c r="R673" s="3651" t="s">
        <v>1053</v>
      </c>
      <c r="S673" s="3651" t="s">
        <v>1863</v>
      </c>
      <c r="T673" s="3654"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3"/>
      <c r="R674" s="3651" t="s">
        <v>1054</v>
      </c>
      <c r="S674" s="3651" t="s">
        <v>1957</v>
      </c>
      <c r="T674" s="3654"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1" t="s">
        <v>1055</v>
      </c>
      <c r="S675" s="3651" t="s">
        <v>610</v>
      </c>
      <c r="T675" s="3654"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1" t="s">
        <v>1056</v>
      </c>
      <c r="S676" s="3651" t="s">
        <v>1629</v>
      </c>
      <c r="T676" s="3654"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3"/>
      <c r="R677" s="3651" t="s">
        <v>1057</v>
      </c>
      <c r="S677" s="3651" t="s">
        <v>2421</v>
      </c>
      <c r="T677" s="3654"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1" t="s">
        <v>1058</v>
      </c>
      <c r="S678" s="3651" t="s">
        <v>155</v>
      </c>
      <c r="T678" s="3654"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1" t="s">
        <v>1059</v>
      </c>
      <c r="S679" s="3651" t="s">
        <v>155</v>
      </c>
      <c r="T679" s="3654"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XNoJYGuFhtRmVmyKJmiw7nYuBZK4GN5ImZh6OHd7ZIr9x+OEllylpHpyy4Nry/nptEAo1wKP9Nl57Wrto8mitA==" saltValue="qeIs9qwv6jxqwNgS2hcGr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8" t="s">
        <v>2974</v>
      </c>
      <c r="B1" s="3258"/>
      <c r="C1" s="3258"/>
      <c r="D1" s="3258"/>
      <c r="E1" s="3258"/>
      <c r="F1" s="3258"/>
      <c r="G1" s="3258"/>
      <c r="H1" s="3258"/>
      <c r="I1" s="3258"/>
      <c r="J1" s="3258"/>
      <c r="K1" s="3258"/>
    </row>
    <row r="2" spans="1:11" ht="15.6">
      <c r="A2" s="3272" t="str">
        <f>'Sensitivity Analysis'!C8</f>
        <v>Boxwood Heights</v>
      </c>
      <c r="B2" s="3272"/>
      <c r="C2" s="3272"/>
      <c r="D2" s="3272"/>
      <c r="E2" s="3272"/>
      <c r="F2" s="3272"/>
      <c r="G2" s="3272"/>
      <c r="H2" s="3272"/>
      <c r="I2" s="3272"/>
      <c r="J2" s="3272"/>
      <c r="K2" s="3272"/>
    </row>
    <row r="3" spans="1:11" ht="9" customHeight="1">
      <c r="A3" s="731"/>
      <c r="B3" s="731"/>
      <c r="C3" s="731"/>
    </row>
    <row r="4" spans="1:11" ht="17.399999999999999">
      <c r="A4" s="732" t="s">
        <v>3421</v>
      </c>
      <c r="B4" s="731"/>
      <c r="C4" s="731"/>
      <c r="K4" s="733"/>
    </row>
    <row r="5" spans="1:11" s="688" customFormat="1" ht="42" customHeight="1">
      <c r="C5" s="3259" t="s">
        <v>4098</v>
      </c>
      <c r="D5" s="3260"/>
      <c r="E5" s="3261"/>
      <c r="F5" s="538"/>
      <c r="G5" s="3259" t="s">
        <v>4099</v>
      </c>
      <c r="H5" s="3260"/>
      <c r="I5" s="3261"/>
      <c r="J5" s="730"/>
      <c r="K5" s="3270" t="s">
        <v>4100</v>
      </c>
    </row>
    <row r="6" spans="1:11" s="735" customFormat="1" ht="15" customHeight="1">
      <c r="A6" s="734" t="s">
        <v>2633</v>
      </c>
      <c r="C6" s="736" t="s">
        <v>3406</v>
      </c>
      <c r="D6" s="736" t="s">
        <v>4101</v>
      </c>
      <c r="E6" s="736" t="s">
        <v>1942</v>
      </c>
      <c r="G6" s="736" t="s">
        <v>3407</v>
      </c>
      <c r="H6" s="736" t="s">
        <v>4102</v>
      </c>
      <c r="I6" s="736" t="s">
        <v>1942</v>
      </c>
      <c r="K6" s="3271"/>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24</v>
      </c>
      <c r="E8" s="740">
        <f>C8*D8</f>
        <v>0</v>
      </c>
      <c r="G8" s="738"/>
      <c r="H8" s="739">
        <f>'Part VI-Revenues &amp; Expenses'!$L$67</f>
        <v>24</v>
      </c>
      <c r="I8" s="740">
        <f>G8*H8</f>
        <v>0</v>
      </c>
      <c r="K8" s="737" t="s">
        <v>3408</v>
      </c>
    </row>
    <row r="9" spans="1:11" s="538" customFormat="1" ht="13.5" customHeight="1">
      <c r="A9" s="538" t="s">
        <v>2632</v>
      </c>
      <c r="C9" s="738"/>
      <c r="D9" s="1184">
        <f>'Part VI-Revenues &amp; Expenses'!$M$63</f>
        <v>24</v>
      </c>
      <c r="E9" s="740">
        <f>C9*D9</f>
        <v>0</v>
      </c>
      <c r="G9" s="738"/>
      <c r="H9" s="739">
        <f>'Part VI-Revenues &amp; Expenses'!$M$67</f>
        <v>24</v>
      </c>
      <c r="I9" s="740">
        <f>G9*H9</f>
        <v>0</v>
      </c>
      <c r="K9" s="1191">
        <f>'Part IV-A-Uses of Funds'!$G$132</f>
        <v>9959143</v>
      </c>
    </row>
    <row r="10" spans="1:11" s="538" customFormat="1" ht="13.5" customHeight="1">
      <c r="A10" s="538" t="s">
        <v>2635</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2" t="s">
        <v>3413</v>
      </c>
    </row>
    <row r="12" spans="1:11" ht="13.5" customHeight="1" thickBot="1">
      <c r="A12" s="746" t="s">
        <v>3380</v>
      </c>
      <c r="D12" s="777">
        <f>SUM(D7:D11)</f>
        <v>48</v>
      </c>
      <c r="E12" s="747"/>
      <c r="G12" s="746" t="s">
        <v>1749</v>
      </c>
      <c r="H12" s="1190">
        <f>SUM(H7:H11)</f>
        <v>48</v>
      </c>
      <c r="I12" s="747"/>
      <c r="K12" s="3263"/>
    </row>
    <row r="13" spans="1:11" s="538" customFormat="1" ht="13.5" customHeight="1" thickBot="1">
      <c r="A13" s="746" t="s">
        <v>2976</v>
      </c>
      <c r="B13" s="748"/>
      <c r="E13" s="749">
        <f>SUM(E7:E11)</f>
        <v>0</v>
      </c>
      <c r="G13" s="746" t="s">
        <v>3210</v>
      </c>
      <c r="H13" s="748"/>
      <c r="I13" s="750">
        <f>SUM(I7:I11)</f>
        <v>0</v>
      </c>
      <c r="K13" s="1191">
        <f>'Part VIII-Threshold Criteria'!$P$63</f>
        <v>9657957.5999999996</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3889</v>
      </c>
      <c r="F18" s="1193"/>
      <c r="G18" s="1193"/>
      <c r="H18" s="1193"/>
      <c r="I18" s="1193"/>
      <c r="K18" s="1169">
        <f>'Sensitivity Analysis'!$E$13</f>
        <v>48</v>
      </c>
    </row>
    <row r="19" spans="1:11" s="538" customFormat="1" ht="13.5" customHeight="1">
      <c r="A19" s="538" t="s">
        <v>2977</v>
      </c>
      <c r="E19" s="1187"/>
      <c r="K19" s="606">
        <f>'Sensitivity Analysis'!$C$13</f>
        <v>48</v>
      </c>
    </row>
    <row r="20" spans="1:11" ht="3" customHeight="1">
      <c r="A20" s="752"/>
      <c r="E20" s="1188"/>
    </row>
    <row r="21" spans="1:11" s="538" customFormat="1" ht="13.5" customHeight="1">
      <c r="A21" s="538" t="s">
        <v>2978</v>
      </c>
      <c r="E21" s="1186" t="s">
        <v>3411</v>
      </c>
      <c r="K21" s="753">
        <f>K18/K19</f>
        <v>1</v>
      </c>
    </row>
    <row r="22" spans="1:11" ht="6.75" customHeight="1">
      <c r="E22" s="1188"/>
    </row>
    <row r="23" spans="1:11" s="538" customFormat="1" ht="13.5" customHeight="1">
      <c r="A23" s="538" t="s">
        <v>3379</v>
      </c>
      <c r="C23" s="754"/>
      <c r="E23" s="1186" t="s">
        <v>2981</v>
      </c>
      <c r="K23" s="606">
        <f>K9</f>
        <v>9959143</v>
      </c>
    </row>
    <row r="24" spans="1:11" s="538" customFormat="1" ht="13.5" customHeight="1">
      <c r="A24" s="755" t="s">
        <v>1716</v>
      </c>
      <c r="E24" s="1187"/>
      <c r="K24" s="741">
        <f>'Part IV-A-Uses of Funds'!$G$122</f>
        <v>117589</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9841554</v>
      </c>
    </row>
    <row r="29" spans="1:11" ht="6.75" customHeight="1">
      <c r="A29" s="752"/>
      <c r="E29" s="1188"/>
      <c r="K29" s="760"/>
    </row>
    <row r="30" spans="1:11" s="538" customFormat="1" ht="15" customHeight="1">
      <c r="A30" s="748" t="s">
        <v>2984</v>
      </c>
      <c r="E30" s="1186" t="s">
        <v>3416</v>
      </c>
      <c r="F30" s="761"/>
      <c r="G30" s="761"/>
      <c r="H30" s="761"/>
      <c r="I30" s="761"/>
      <c r="K30" s="762">
        <f>K21*K28</f>
        <v>9841554</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0</v>
      </c>
    </row>
    <row r="37" spans="1:11" s="538" customFormat="1" ht="9" customHeight="1" thickBot="1">
      <c r="E37" s="767"/>
      <c r="F37" s="767"/>
      <c r="G37" s="767"/>
      <c r="H37" s="767"/>
      <c r="K37" s="768"/>
    </row>
    <row r="38" spans="1:11" s="538" customFormat="1" ht="15.75" customHeight="1">
      <c r="A38" s="3264" t="s">
        <v>3414</v>
      </c>
      <c r="B38" s="3264"/>
      <c r="C38" s="3264"/>
      <c r="D38" s="3265" t="s">
        <v>2979</v>
      </c>
      <c r="E38" s="3265"/>
      <c r="F38" s="3265" t="s">
        <v>2980</v>
      </c>
      <c r="G38" s="3265"/>
      <c r="H38" s="3265"/>
      <c r="I38" s="1239" t="s">
        <v>2730</v>
      </c>
      <c r="K38" s="3266">
        <f>ROUND((D39/F39)*I39,0)</f>
        <v>0</v>
      </c>
    </row>
    <row r="39" spans="1:11" s="538" customFormat="1" ht="15.75" customHeight="1" thickBot="1">
      <c r="A39" s="3264"/>
      <c r="B39" s="3264"/>
      <c r="C39" s="3264"/>
      <c r="D39" s="3268">
        <f>K36</f>
        <v>0</v>
      </c>
      <c r="E39" s="3268"/>
      <c r="F39" s="3269">
        <f>K28</f>
        <v>9841554</v>
      </c>
      <c r="G39" s="3269"/>
      <c r="H39" s="3269"/>
      <c r="I39" s="769">
        <f>K19</f>
        <v>48</v>
      </c>
      <c r="K39" s="3267"/>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3" t="str">
        <f>CONCATENATE('Sensitivity Analysis'!E8,"  ",'Sensitivity Analysis'!C8)</f>
        <v>2020-067  Boxwood Heights</v>
      </c>
      <c r="B1" s="3273"/>
      <c r="C1" s="3273"/>
      <c r="D1" s="3273"/>
      <c r="E1" s="3273"/>
      <c r="F1" s="3273"/>
      <c r="G1" s="3273"/>
      <c r="H1" s="3273"/>
    </row>
    <row r="3" spans="1:13" ht="12" customHeight="1">
      <c r="A3" s="3274" t="s">
        <v>3382</v>
      </c>
      <c r="B3" s="3274"/>
      <c r="C3" s="3274"/>
      <c r="D3" s="3274"/>
      <c r="E3" s="3274"/>
      <c r="F3" s="3274"/>
      <c r="G3" s="3274"/>
      <c r="H3" s="3274"/>
      <c r="I3" s="1243"/>
      <c r="J3" s="3276" t="s">
        <v>3890</v>
      </c>
      <c r="K3" s="3276"/>
      <c r="L3" s="803"/>
      <c r="M3" s="803"/>
    </row>
    <row r="4" spans="1:13">
      <c r="J4" s="3276"/>
      <c r="K4" s="3276"/>
    </row>
    <row r="5" spans="1:13" ht="12" customHeight="1">
      <c r="A5" s="730">
        <v>1</v>
      </c>
      <c r="C5" s="730" t="s">
        <v>2986</v>
      </c>
      <c r="E5" s="785" t="str">
        <f>'Sensitivity Analysis'!H9</f>
        <v>Boxwood Heights Columbus, LP</v>
      </c>
      <c r="J5" s="3276"/>
      <c r="K5" s="3276"/>
    </row>
    <row r="6" spans="1:13" ht="3" customHeight="1">
      <c r="H6" s="747"/>
      <c r="J6" s="3276"/>
      <c r="K6" s="3276"/>
    </row>
    <row r="7" spans="1:13" ht="12" customHeight="1">
      <c r="A7" s="730">
        <v>2</v>
      </c>
      <c r="C7" s="730" t="s">
        <v>2987</v>
      </c>
      <c r="E7" s="785" t="str">
        <f>'Part II-Development Team'!H6</f>
        <v>6825 Halcyon Park Drive</v>
      </c>
      <c r="J7" s="3276"/>
      <c r="K7" s="3276"/>
    </row>
    <row r="8" spans="1:13" ht="12" customHeight="1">
      <c r="E8" s="785" t="str">
        <f>+'Part II-Development Team'!H7&amp;","&amp;" "&amp;'Part II-Development Team'!H8&amp;" "&amp;LEFT('Part II-Development Team'!J8,5)</f>
        <v>Montgomery, AL 36117</v>
      </c>
      <c r="J8" s="3276"/>
      <c r="K8" s="3276"/>
    </row>
    <row r="9" spans="1:13" ht="12" customHeight="1">
      <c r="C9" s="730" t="s">
        <v>2988</v>
      </c>
      <c r="E9" s="3275">
        <f>'Part II-Development Team'!L7</f>
        <v>0</v>
      </c>
      <c r="F9" s="3275"/>
      <c r="J9" s="3276"/>
      <c r="K9" s="3276"/>
    </row>
    <row r="10" spans="1:13" ht="12" customHeight="1">
      <c r="C10" s="730" t="s">
        <v>2989</v>
      </c>
      <c r="E10" s="785" t="str">
        <f>'Part II-Development Team'!Q5</f>
        <v>C. Jeffrey Rice</v>
      </c>
    </row>
    <row r="11" spans="1:13" ht="12" customHeight="1">
      <c r="C11" s="730" t="s">
        <v>3895</v>
      </c>
      <c r="E11" s="785" t="str">
        <f>'Part II-Development Team'!L9</f>
        <v>jrice@guilifordcompanies.com</v>
      </c>
    </row>
    <row r="12" spans="1:13" ht="12" customHeight="1">
      <c r="C12" s="730" t="s">
        <v>3891</v>
      </c>
      <c r="E12" s="1244">
        <f>'Part II-Development Team'!H9</f>
        <v>3342816820</v>
      </c>
    </row>
    <row r="13" spans="1:13" ht="12" customHeight="1">
      <c r="C13" s="730" t="s">
        <v>3894</v>
      </c>
      <c r="E13" s="1244">
        <f>'Part II-Development Team'!Q7</f>
        <v>3342816820</v>
      </c>
    </row>
    <row r="14" spans="1:13" ht="3" customHeight="1"/>
    <row r="15" spans="1:13" ht="12" customHeight="1">
      <c r="A15" s="730">
        <v>3</v>
      </c>
      <c r="C15" s="730" t="s">
        <v>2990</v>
      </c>
      <c r="E15" s="785" t="str">
        <f>'Sensitivity Analysis'!C8</f>
        <v>Boxwood Heights</v>
      </c>
    </row>
    <row r="16" spans="1:13" ht="12" customHeight="1">
      <c r="C16" s="730" t="s">
        <v>2991</v>
      </c>
      <c r="E16" s="785" t="str">
        <f>'Part I-Project Information'!$F$35</f>
        <v>Midtown Loop</v>
      </c>
    </row>
    <row r="17" spans="1:8" ht="12" customHeight="1">
      <c r="E17" s="785" t="str">
        <f>+'Part I-Project Information'!$F$38&amp;","&amp;" GA "&amp;LEFT('Part I-Project Information'!$J$38,5)</f>
        <v>Columbus, GA 31906</v>
      </c>
    </row>
    <row r="18" spans="1:8" ht="3" customHeight="1"/>
    <row r="19" spans="1:8" ht="12" customHeight="1">
      <c r="A19" s="730">
        <v>4</v>
      </c>
      <c r="C19" s="730" t="s">
        <v>2992</v>
      </c>
      <c r="E19" s="785" t="str">
        <f>'Part II-Development Team'!H92</f>
        <v>Fairway Management Co., Inc</v>
      </c>
    </row>
    <row r="20" spans="1:8" ht="12" customHeight="1">
      <c r="C20" s="730" t="s">
        <v>2993</v>
      </c>
      <c r="E20" s="785" t="str">
        <f>'Part II-Development Team'!H93</f>
        <v>3290 Northside Parkway, Suite 300</v>
      </c>
    </row>
    <row r="21" spans="1:8" ht="12" customHeight="1">
      <c r="E21" s="785" t="str">
        <f>+'Part II-Development Team'!H94&amp;","&amp;" "&amp;'Part II-Development Team'!H95&amp;" "&amp;LEFT('Part II-Development Team'!L95,5)</f>
        <v>Atlanta, GA 30327</v>
      </c>
    </row>
    <row r="22" spans="1:8" ht="12" customHeight="1">
      <c r="C22" s="730" t="s">
        <v>3891</v>
      </c>
      <c r="E22" s="1244">
        <f>'Part II-Development Team'!H96</f>
        <v>5734432021</v>
      </c>
    </row>
    <row r="23" spans="1:8" ht="12" customHeight="1">
      <c r="C23" s="730" t="s">
        <v>3894</v>
      </c>
      <c r="E23" s="1244">
        <f>'Part II-Development Team'!Q94</f>
        <v>5734432021</v>
      </c>
    </row>
    <row r="24" spans="1:8" ht="12" customHeight="1">
      <c r="C24" s="730" t="s">
        <v>3895</v>
      </c>
      <c r="E24" s="1244" t="str">
        <f>'Part II-Development Team'!L96</f>
        <v>rstevens@fairwaymanagement.com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2995</v>
      </c>
      <c r="E30" s="730" t="s">
        <v>2346</v>
      </c>
      <c r="F30" s="1245">
        <f>'Part III-Sources of Funds'!L20</f>
        <v>6714167</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Columbus Boxwood GP, LLC</v>
      </c>
    </row>
    <row r="48" spans="1:7" ht="3" customHeight="1">
      <c r="E48" s="785"/>
    </row>
    <row r="49" spans="1:7" ht="12" customHeight="1">
      <c r="A49" s="730">
        <v>15</v>
      </c>
      <c r="C49" s="730" t="s">
        <v>3897</v>
      </c>
      <c r="E49" s="785" t="str">
        <f>'Part II-Development Team'!Q98</f>
        <v>Greg Clark</v>
      </c>
      <c r="G49" s="785" t="str">
        <f>'Part II-Development Team'!H98</f>
        <v>Coleman Talley</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48</v>
      </c>
    </row>
    <row r="53" spans="1:7" ht="3" customHeight="1">
      <c r="F53" s="775"/>
    </row>
    <row r="54" spans="1:7" ht="12" customHeight="1">
      <c r="A54" s="803">
        <v>17</v>
      </c>
      <c r="B54" s="803"/>
      <c r="C54" s="803" t="s">
        <v>3012</v>
      </c>
      <c r="D54" s="803"/>
      <c r="E54" s="803"/>
      <c r="F54" s="1251">
        <f>'HOME Allocation Limit WS'!K18</f>
        <v>48</v>
      </c>
      <c r="G54" s="803"/>
    </row>
    <row r="55" spans="1:7" ht="3" customHeight="1">
      <c r="F55" s="775"/>
    </row>
    <row r="56" spans="1:7" ht="12" customHeight="1">
      <c r="A56" s="730">
        <v>18</v>
      </c>
      <c r="C56" s="730" t="s">
        <v>3013</v>
      </c>
      <c r="F56" s="1251">
        <f>'Part VI-Revenues &amp; Expenses'!P66</f>
        <v>0</v>
      </c>
      <c r="G56" s="730" t="s">
        <v>3896</v>
      </c>
    </row>
    <row r="57" spans="1:7" ht="3" customHeight="1">
      <c r="F57" s="775"/>
    </row>
    <row r="58" spans="1:7" ht="12" customHeight="1">
      <c r="A58" s="730">
        <v>19</v>
      </c>
      <c r="C58" s="730" t="s">
        <v>3014</v>
      </c>
      <c r="F58" s="1252"/>
      <c r="G58" s="730" t="s">
        <v>3383</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3398</v>
      </c>
      <c r="E62" s="1254" t="s">
        <v>3384</v>
      </c>
      <c r="F62" s="1255" t="s">
        <v>3385</v>
      </c>
      <c r="G62" s="1254" t="s">
        <v>3016</v>
      </c>
    </row>
    <row r="63" spans="1:7" ht="12" customHeight="1">
      <c r="E63" s="1254" t="s">
        <v>3384</v>
      </c>
      <c r="F63" s="1255" t="s">
        <v>3385</v>
      </c>
      <c r="G63" s="1254"/>
    </row>
    <row r="64" spans="1:7" ht="3" customHeight="1"/>
    <row r="65" spans="1:7" ht="12" customHeight="1">
      <c r="A65" s="730">
        <v>22</v>
      </c>
      <c r="C65" s="730" t="s">
        <v>3017</v>
      </c>
      <c r="E65" s="785" t="str">
        <f>'Sensitivity Analysis'!H9</f>
        <v>Boxwood Heights Columbus, LP</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117589</v>
      </c>
    </row>
    <row r="72" spans="1:7" ht="3" customHeight="1">
      <c r="F72" s="1256"/>
    </row>
    <row r="73" spans="1:7" ht="12" customHeight="1">
      <c r="A73" s="730">
        <v>26</v>
      </c>
      <c r="C73" s="730" t="s">
        <v>3022</v>
      </c>
      <c r="F73" s="1256">
        <f>'Part IV-A-Uses of Funds'!$G$123</f>
        <v>0</v>
      </c>
    </row>
    <row r="74" spans="1:7" ht="3" customHeight="1">
      <c r="F74" s="1256"/>
    </row>
    <row r="75" spans="1:7" ht="12" customHeight="1">
      <c r="A75" s="730">
        <v>27</v>
      </c>
      <c r="C75" s="730" t="s">
        <v>3023</v>
      </c>
      <c r="F75" s="1257">
        <f>'Part IV-A-Uses of Funds'!$G$121</f>
        <v>58795</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77" t="s">
        <v>3212</v>
      </c>
      <c r="B1" s="3277"/>
      <c r="C1" s="3277"/>
      <c r="D1" s="3277"/>
      <c r="E1" s="3277"/>
      <c r="F1" s="3277"/>
      <c r="G1" s="3277"/>
      <c r="H1" s="3277"/>
      <c r="I1" s="3277"/>
      <c r="J1" s="3277"/>
    </row>
    <row r="2" spans="1:13" ht="13.8">
      <c r="A2" s="3277" t="str">
        <f>'Sensitivity Analysis'!E8&amp;"  "&amp;'Sensitivity Analysis'!C8</f>
        <v>2020-067  Boxwood Heights</v>
      </c>
      <c r="B2" s="3277"/>
      <c r="C2" s="3277"/>
      <c r="D2" s="3277"/>
      <c r="E2" s="3277"/>
      <c r="F2" s="3277"/>
      <c r="G2" s="3277"/>
      <c r="H2" s="3277"/>
      <c r="I2" s="3277"/>
      <c r="J2" s="3277"/>
    </row>
    <row r="3" spans="1:13" ht="6" customHeight="1">
      <c r="K3" s="3276" t="s">
        <v>3890</v>
      </c>
      <c r="L3" s="3276"/>
      <c r="M3" s="3276"/>
    </row>
    <row r="4" spans="1:13" ht="12" customHeight="1">
      <c r="A4" s="771" t="s">
        <v>3025</v>
      </c>
      <c r="K4" s="3276"/>
      <c r="L4" s="3276"/>
      <c r="M4" s="3276"/>
    </row>
    <row r="5" spans="1:13" ht="12" customHeight="1">
      <c r="A5" s="730" t="s">
        <v>3026</v>
      </c>
      <c r="C5" s="772" t="str">
        <f>'Subsidy Layering Memo'!D6</f>
        <v>(Underwriter)</v>
      </c>
      <c r="I5" s="772"/>
      <c r="K5" s="3276"/>
      <c r="L5" s="3276"/>
      <c r="M5" s="3276"/>
    </row>
    <row r="6" spans="1:13" ht="6" customHeight="1">
      <c r="C6" s="667"/>
      <c r="D6" s="772"/>
      <c r="I6" s="772"/>
      <c r="K6" s="3276"/>
      <c r="L6" s="3276"/>
      <c r="M6" s="3276"/>
    </row>
    <row r="7" spans="1:13" ht="12" customHeight="1">
      <c r="A7" s="771" t="s">
        <v>3027</v>
      </c>
      <c r="C7" s="667"/>
      <c r="D7" s="772"/>
      <c r="I7" s="772"/>
      <c r="K7" s="3276"/>
      <c r="L7" s="3276"/>
      <c r="M7" s="3276"/>
    </row>
    <row r="8" spans="1:13" ht="12" customHeight="1">
      <c r="A8" s="730" t="s">
        <v>3028</v>
      </c>
      <c r="C8" s="772" t="str">
        <f>'Sensitivity Analysis'!$H$9</f>
        <v>Boxwood Heights Columbus, LP</v>
      </c>
      <c r="I8" s="772"/>
      <c r="K8" s="3276"/>
      <c r="L8" s="3276"/>
      <c r="M8" s="3276"/>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280"/>
      <c r="E13" s="3280"/>
      <c r="F13" s="3280"/>
      <c r="G13" s="3280"/>
      <c r="H13" s="3280"/>
      <c r="I13" s="3280"/>
      <c r="J13" s="3280"/>
    </row>
    <row r="14" spans="1:13" ht="3" customHeight="1">
      <c r="G14" s="667"/>
      <c r="H14" s="772"/>
      <c r="I14" s="772"/>
    </row>
    <row r="15" spans="1:13" ht="12" customHeight="1">
      <c r="A15" s="730" t="s">
        <v>3031</v>
      </c>
      <c r="C15" s="774" t="str">
        <f>'Preview term'!E10</f>
        <v>C. Jeffrey Rice</v>
      </c>
      <c r="G15" s="667"/>
      <c r="I15" s="772"/>
    </row>
    <row r="16" spans="1:13" ht="12" customHeight="1">
      <c r="A16" s="785" t="s">
        <v>4103</v>
      </c>
      <c r="C16" s="774" t="str">
        <f>'Part II-Development Team'!Q6</f>
        <v>Manager</v>
      </c>
      <c r="G16" s="667"/>
      <c r="I16" s="772"/>
    </row>
    <row r="17" spans="1:9" ht="3" customHeight="1">
      <c r="G17" s="667"/>
      <c r="H17" s="772"/>
      <c r="I17" s="772"/>
    </row>
    <row r="18" spans="1:9" ht="12" customHeight="1">
      <c r="A18" s="730" t="s">
        <v>3032</v>
      </c>
      <c r="C18" s="774" t="str">
        <f>'Preview term'!$E$7</f>
        <v>6825 Halcyon Park Drive</v>
      </c>
      <c r="G18" s="667"/>
      <c r="I18" s="772"/>
    </row>
    <row r="19" spans="1:9" ht="12" customHeight="1">
      <c r="C19" s="774" t="str">
        <f>'Preview term'!$E$8</f>
        <v>Montgomery, AL 36117</v>
      </c>
      <c r="G19" s="667"/>
      <c r="I19" s="772"/>
    </row>
    <row r="20" spans="1:9" ht="3" customHeight="1">
      <c r="G20" s="667"/>
      <c r="H20" s="772"/>
      <c r="I20" s="772"/>
    </row>
    <row r="21" spans="1:9" ht="12" customHeight="1">
      <c r="A21" s="730" t="s">
        <v>3033</v>
      </c>
      <c r="C21" s="774" t="str">
        <f>CONCATENATE('Preview term'!E49," of  ",'Preview term'!G49)</f>
        <v>Greg Clark of  Coleman Talley</v>
      </c>
      <c r="G21" s="667"/>
      <c r="I21" s="772"/>
    </row>
    <row r="22" spans="1:9" ht="3" customHeight="1">
      <c r="C22" s="774"/>
      <c r="G22" s="667"/>
      <c r="I22" s="772"/>
    </row>
    <row r="23" spans="1:9" ht="12" customHeight="1">
      <c r="A23" s="730" t="s">
        <v>3034</v>
      </c>
      <c r="C23" s="774">
        <f>'Preview term'!E12</f>
        <v>3342816820</v>
      </c>
      <c r="G23" s="667"/>
      <c r="I23" s="772"/>
    </row>
    <row r="24" spans="1:9" ht="3" customHeight="1">
      <c r="C24" s="774"/>
      <c r="G24" s="667"/>
      <c r="I24" s="772"/>
    </row>
    <row r="25" spans="1:9" ht="12" customHeight="1">
      <c r="A25" s="730" t="s">
        <v>3035</v>
      </c>
      <c r="C25" s="1198" t="str">
        <f>'Preview term'!E11</f>
        <v>jrice@guilifordcompanies.com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Boxwood Heights</v>
      </c>
      <c r="I28" s="772"/>
    </row>
    <row r="29" spans="1:9" ht="3" customHeight="1">
      <c r="C29" s="774"/>
      <c r="I29" s="772"/>
    </row>
    <row r="30" spans="1:9" ht="12" customHeight="1">
      <c r="A30" s="730" t="s">
        <v>3038</v>
      </c>
      <c r="C30" s="774" t="str">
        <f>'Preview term'!E16</f>
        <v>Midtown Loop</v>
      </c>
      <c r="I30" s="772"/>
    </row>
    <row r="31" spans="1:9">
      <c r="C31" s="772" t="str">
        <f>'Preview term'!E17</f>
        <v>Columbus, GA 31906</v>
      </c>
      <c r="I31" s="772"/>
    </row>
    <row r="32" spans="1:9" ht="3" customHeight="1">
      <c r="C32" s="667"/>
      <c r="D32" s="667"/>
      <c r="I32" s="667"/>
    </row>
    <row r="33" spans="1:10" ht="12" customHeight="1">
      <c r="A33" s="730" t="s">
        <v>3039</v>
      </c>
      <c r="C33" s="667" t="s">
        <v>3040</v>
      </c>
      <c r="D33" s="1197">
        <f>'Preview term'!F54</f>
        <v>48</v>
      </c>
      <c r="I33" s="667"/>
    </row>
    <row r="34" spans="1:10" ht="12" customHeight="1">
      <c r="C34" s="667" t="s">
        <v>3041</v>
      </c>
      <c r="D34" s="776">
        <f>'HOME Allocation Limit WS'!H12-'HOME Allocation Limit WS'!D12</f>
        <v>0</v>
      </c>
      <c r="I34" s="667"/>
    </row>
    <row r="35" spans="1:10" ht="12" customHeight="1">
      <c r="C35" s="667" t="s">
        <v>3042</v>
      </c>
      <c r="D35" s="777">
        <f>SUM(D33:D34)</f>
        <v>48</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78"/>
      <c r="D39" s="3278"/>
      <c r="E39" s="3278"/>
      <c r="F39" s="3278"/>
      <c r="G39" s="3278"/>
      <c r="H39" s="3278"/>
      <c r="I39" s="3278"/>
      <c r="J39" s="3278"/>
    </row>
    <row r="40" spans="1:10" ht="3" customHeight="1">
      <c r="G40" s="667"/>
      <c r="H40" s="667"/>
      <c r="I40" s="667"/>
    </row>
    <row r="41" spans="1:10" ht="25.5" customHeight="1">
      <c r="A41" s="779" t="s">
        <v>3046</v>
      </c>
      <c r="C41" s="3279" t="s">
        <v>3386</v>
      </c>
      <c r="D41" s="3279"/>
      <c r="E41" s="3279"/>
      <c r="F41" s="3279"/>
      <c r="G41" s="3279"/>
      <c r="H41" s="3279"/>
      <c r="I41" s="3279"/>
      <c r="J41" s="3279"/>
    </row>
    <row r="42" spans="1:10" ht="3" customHeight="1">
      <c r="C42" s="536"/>
      <c r="D42" s="536"/>
      <c r="E42" s="536"/>
      <c r="F42" s="536"/>
      <c r="G42" s="536"/>
      <c r="H42" s="537"/>
      <c r="I42" s="538"/>
      <c r="J42" s="537"/>
    </row>
    <row r="43" spans="1:10" ht="12" customHeight="1">
      <c r="A43" s="730" t="s">
        <v>3047</v>
      </c>
      <c r="C43" s="604" t="str">
        <f>'Part I-Project Information'!J39</f>
        <v>Muscogee</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79" t="s">
        <v>558</v>
      </c>
      <c r="D49" s="3279"/>
      <c r="E49" s="3279"/>
      <c r="F49" s="3279"/>
      <c r="G49" s="3279"/>
      <c r="H49" s="3279"/>
      <c r="I49" s="3279"/>
      <c r="J49" s="3279"/>
    </row>
    <row r="50" spans="1:10" ht="12" customHeight="1">
      <c r="C50" s="3284" t="s">
        <v>1762</v>
      </c>
      <c r="D50" s="3284"/>
      <c r="E50" s="3284"/>
      <c r="F50" s="3284"/>
      <c r="G50" s="3284"/>
      <c r="H50" s="3284"/>
      <c r="I50" s="3284"/>
      <c r="J50" s="3284"/>
    </row>
    <row r="51" spans="1:10" ht="3" customHeight="1">
      <c r="D51" s="782"/>
      <c r="E51" s="782"/>
      <c r="F51" s="782"/>
      <c r="G51" s="783"/>
      <c r="H51" s="667"/>
      <c r="I51" s="782"/>
      <c r="J51" s="782"/>
    </row>
    <row r="52" spans="1:10" ht="12" customHeight="1">
      <c r="A52" s="779" t="s">
        <v>3051</v>
      </c>
      <c r="B52" s="779"/>
      <c r="C52" s="784" t="s">
        <v>3052</v>
      </c>
      <c r="D52" s="784" t="s">
        <v>3387</v>
      </c>
      <c r="E52" s="3285"/>
      <c r="F52" s="3285"/>
      <c r="G52" s="3285"/>
      <c r="H52" s="3285"/>
      <c r="I52" s="3285"/>
      <c r="J52" s="3285"/>
    </row>
    <row r="53" spans="1:10" ht="12" customHeight="1">
      <c r="A53" s="779"/>
      <c r="B53" s="779"/>
      <c r="C53" s="779"/>
      <c r="D53" s="784" t="s">
        <v>3388</v>
      </c>
      <c r="E53" s="3286"/>
      <c r="F53" s="3286"/>
      <c r="G53" s="3286"/>
      <c r="H53" s="3286"/>
      <c r="I53" s="3286"/>
      <c r="J53" s="3286"/>
    </row>
    <row r="54" spans="1:10" ht="12" customHeight="1">
      <c r="A54" s="771" t="s">
        <v>3053</v>
      </c>
      <c r="G54" s="667"/>
      <c r="H54" s="667"/>
      <c r="I54" s="667"/>
    </row>
    <row r="55" spans="1:10" ht="18" customHeight="1">
      <c r="A55" s="730" t="s">
        <v>3054</v>
      </c>
      <c r="C55" s="773" t="str">
        <f>'Sensitivity Analysis'!C10</f>
        <v>Columbus Boxwood GP, LLC</v>
      </c>
      <c r="G55" s="667"/>
      <c r="I55" s="667"/>
    </row>
    <row r="56" spans="1:10" ht="3" customHeight="1">
      <c r="C56" s="773"/>
      <c r="G56" s="667"/>
      <c r="I56" s="667"/>
    </row>
    <row r="57" spans="1:10" ht="12" customHeight="1">
      <c r="A57" s="730" t="s">
        <v>3055</v>
      </c>
      <c r="C57" s="773" t="str">
        <f>'Sensitivity Analysis'!C11</f>
        <v/>
      </c>
      <c r="E57" s="773" t="str">
        <f>'Sensitivity Analysis'!E11</f>
        <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6714167</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80"/>
      <c r="E68" s="3280"/>
      <c r="F68" s="3280"/>
      <c r="G68" s="3280"/>
      <c r="H68" s="3280"/>
      <c r="I68" s="3280"/>
      <c r="J68" s="3280"/>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3429</v>
      </c>
      <c r="D77" s="790">
        <v>24</v>
      </c>
      <c r="I77" s="667"/>
    </row>
    <row r="78" spans="1:10" ht="3" customHeight="1">
      <c r="D78" s="785"/>
      <c r="E78" s="667"/>
      <c r="F78" s="667"/>
      <c r="I78" s="667"/>
    </row>
    <row r="79" spans="1:10" ht="12" customHeight="1">
      <c r="A79" s="730" t="s">
        <v>3070</v>
      </c>
      <c r="C79" s="730" t="s">
        <v>2346</v>
      </c>
      <c r="D79" s="791">
        <f>'Preview term'!F39</f>
        <v>0</v>
      </c>
      <c r="E79" s="667" t="s">
        <v>3391</v>
      </c>
      <c r="I79" s="667"/>
    </row>
    <row r="80" spans="1:10" ht="3" customHeight="1">
      <c r="D80" s="785"/>
      <c r="G80" s="667"/>
      <c r="H80" s="667"/>
      <c r="I80" s="667"/>
    </row>
    <row r="81" spans="1:9" ht="12" customHeight="1">
      <c r="A81" s="730" t="s">
        <v>3071</v>
      </c>
      <c r="D81" s="1201">
        <v>0</v>
      </c>
      <c r="E81" s="792">
        <f>D81*12</f>
        <v>0</v>
      </c>
      <c r="F81" s="667" t="s">
        <v>3430</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t="str">
        <f>'Part VII-Pro Forma'!K71</f>
        <v/>
      </c>
      <c r="D85" s="794" t="s">
        <v>3389</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Sterling Bank</v>
      </c>
      <c r="I92" s="667"/>
    </row>
    <row r="93" spans="1:9" ht="12" customHeight="1">
      <c r="C93" s="799"/>
      <c r="D93" s="667"/>
      <c r="E93" s="785" t="s">
        <v>1753</v>
      </c>
      <c r="F93" s="3287"/>
      <c r="G93" s="3287"/>
      <c r="H93" s="3287"/>
      <c r="I93" s="667"/>
    </row>
    <row r="94" spans="1:9" ht="12" customHeight="1">
      <c r="C94" s="785"/>
      <c r="D94" s="667"/>
      <c r="E94" s="785" t="s">
        <v>1934</v>
      </c>
      <c r="F94" s="3288"/>
      <c r="G94" s="3288"/>
      <c r="H94" s="3288"/>
      <c r="I94" s="667"/>
    </row>
    <row r="95" spans="1:9" ht="12" customHeight="1">
      <c r="C95" s="785"/>
      <c r="D95" s="667"/>
      <c r="E95" s="785" t="s">
        <v>1755</v>
      </c>
      <c r="F95" s="3283"/>
      <c r="G95" s="3283"/>
      <c r="H95" s="3283"/>
      <c r="I95" s="667"/>
    </row>
    <row r="96" spans="1:9" ht="12" customHeight="1">
      <c r="B96" s="775"/>
      <c r="C96" s="788" t="s">
        <v>3224</v>
      </c>
      <c r="D96" s="667" t="s">
        <v>3080</v>
      </c>
      <c r="E96" s="785">
        <f>'Part III-Sources of Funds'!E38</f>
        <v>0</v>
      </c>
      <c r="I96" s="667"/>
    </row>
    <row r="97" spans="1:10" ht="12" customHeight="1">
      <c r="C97" s="785"/>
      <c r="D97" s="667"/>
      <c r="E97" s="785" t="s">
        <v>1753</v>
      </c>
      <c r="F97" s="3287"/>
      <c r="G97" s="3287"/>
      <c r="H97" s="3287"/>
      <c r="I97" s="667"/>
    </row>
    <row r="98" spans="1:10" ht="12" customHeight="1">
      <c r="C98" s="785"/>
      <c r="D98" s="667"/>
      <c r="E98" s="785" t="s">
        <v>1934</v>
      </c>
      <c r="F98" s="3288"/>
      <c r="G98" s="3288"/>
      <c r="H98" s="3288"/>
      <c r="I98" s="667"/>
    </row>
    <row r="99" spans="1:10" ht="12" customHeight="1">
      <c r="C99" s="785"/>
      <c r="D99" s="667"/>
      <c r="E99" s="785" t="s">
        <v>1755</v>
      </c>
      <c r="F99" s="3283"/>
      <c r="G99" s="3283"/>
      <c r="H99" s="3283"/>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3390</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90"/>
      <c r="E106" s="3290"/>
      <c r="F106" s="3290"/>
      <c r="G106" s="3290"/>
      <c r="H106" s="3290"/>
      <c r="I106" s="3290"/>
      <c r="J106" s="3291"/>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93" t="s">
        <v>3900</v>
      </c>
      <c r="F119" s="3293"/>
      <c r="G119" s="3293"/>
      <c r="H119" s="3293"/>
      <c r="I119" s="3293"/>
      <c r="J119" s="3293"/>
    </row>
    <row r="120" spans="1:10" ht="12" customHeight="1">
      <c r="C120" s="667" t="s">
        <v>3091</v>
      </c>
      <c r="D120" s="1206"/>
      <c r="E120" s="3293"/>
      <c r="F120" s="3293"/>
      <c r="G120" s="3293"/>
      <c r="H120" s="3293"/>
      <c r="I120" s="3293"/>
      <c r="J120" s="3293"/>
    </row>
    <row r="121" spans="1:10" ht="12" customHeight="1">
      <c r="C121" s="667" t="s">
        <v>3092</v>
      </c>
      <c r="D121" s="1206"/>
      <c r="E121" s="3293"/>
      <c r="F121" s="3293"/>
      <c r="G121" s="3293"/>
      <c r="H121" s="3293"/>
      <c r="I121" s="3293"/>
      <c r="J121" s="3293"/>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Main Street Homes,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590436.5</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Fairway Management Co., Inc</v>
      </c>
      <c r="G137" s="667"/>
      <c r="I137" s="667"/>
      <c r="J137" s="802"/>
    </row>
    <row r="138" spans="1:10" ht="3" customHeight="1">
      <c r="C138" s="773"/>
      <c r="G138" s="667"/>
      <c r="I138" s="667"/>
    </row>
    <row r="139" spans="1:10" ht="12" customHeight="1">
      <c r="A139" s="730" t="s">
        <v>3103</v>
      </c>
      <c r="C139" s="774" t="str">
        <f>C8</f>
        <v>Boxwood Heights Columbus, LP</v>
      </c>
      <c r="G139" s="667"/>
      <c r="I139" s="772"/>
      <c r="J139" s="803"/>
    </row>
    <row r="140" spans="1:10" ht="3" customHeight="1">
      <c r="C140" s="774"/>
      <c r="G140" s="667"/>
      <c r="I140" s="772"/>
      <c r="J140" s="803"/>
    </row>
    <row r="141" spans="1:10" ht="12" customHeight="1">
      <c r="A141" s="730" t="s">
        <v>3104</v>
      </c>
      <c r="C141" s="774" t="str">
        <f>C18</f>
        <v>6825 Halcyon Park Drive</v>
      </c>
      <c r="G141" s="667"/>
      <c r="I141" s="772"/>
      <c r="J141" s="803"/>
    </row>
    <row r="142" spans="1:10">
      <c r="C142" s="774" t="str">
        <f>C19</f>
        <v>Montgomery, AL 36117</v>
      </c>
      <c r="G142" s="667"/>
      <c r="I142" s="772"/>
      <c r="J142" s="803"/>
    </row>
    <row r="143" spans="1:10" ht="3" customHeight="1">
      <c r="C143" s="804"/>
      <c r="G143" s="667"/>
      <c r="I143" s="772"/>
      <c r="J143" s="803"/>
    </row>
    <row r="144" spans="1:10" ht="12" customHeight="1">
      <c r="A144" s="730" t="s">
        <v>3105</v>
      </c>
      <c r="C144" s="774" t="str">
        <f>'Sensitivity Analysis'!H10</f>
        <v>Affordable Equity Partners, Inc</v>
      </c>
      <c r="G144" s="667"/>
      <c r="I144" s="772"/>
      <c r="J144" s="802"/>
    </row>
    <row r="145" spans="1:10" ht="3" customHeight="1">
      <c r="C145" s="774"/>
      <c r="G145" s="667"/>
      <c r="I145" s="772"/>
      <c r="J145" s="803"/>
    </row>
    <row r="146" spans="1:10" ht="12" customHeight="1">
      <c r="A146" s="730" t="s">
        <v>3106</v>
      </c>
      <c r="C146" s="774" t="str">
        <f>'Sensitivity Analysis'!K10</f>
        <v>Affordable Equity Partners, Inc</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3392</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3431</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3393</v>
      </c>
      <c r="E164" s="3280"/>
      <c r="F164" s="3280"/>
      <c r="G164" s="3280"/>
      <c r="I164" s="667"/>
    </row>
    <row r="165" spans="1:13" ht="3" customHeight="1">
      <c r="E165" s="667"/>
      <c r="G165" s="667"/>
      <c r="I165" s="667"/>
    </row>
    <row r="166" spans="1:13" ht="12" customHeight="1">
      <c r="A166" s="730" t="s">
        <v>3115</v>
      </c>
      <c r="C166" s="730" t="s">
        <v>3116</v>
      </c>
      <c r="E166" s="806">
        <f>'Preview term'!F71</f>
        <v>117589</v>
      </c>
      <c r="G166" s="667"/>
      <c r="I166" s="667"/>
    </row>
    <row r="167" spans="1:13" ht="12" customHeight="1">
      <c r="C167" s="730" t="s">
        <v>3393</v>
      </c>
      <c r="E167" s="3280"/>
      <c r="F167" s="3280"/>
      <c r="G167" s="3280"/>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0</v>
      </c>
      <c r="G170" s="667"/>
      <c r="I170" s="667"/>
    </row>
    <row r="171" spans="1:13" ht="12" customHeight="1">
      <c r="C171" s="730" t="s">
        <v>3118</v>
      </c>
      <c r="E171" s="806">
        <f>'Preview term'!F73</f>
        <v>0</v>
      </c>
      <c r="G171" s="667"/>
      <c r="I171" s="772"/>
      <c r="J171" s="803"/>
      <c r="K171" s="803"/>
      <c r="L171" s="803"/>
      <c r="M171" s="803"/>
    </row>
    <row r="172" spans="1:13" ht="12" customHeight="1">
      <c r="C172" s="730" t="s">
        <v>3119</v>
      </c>
      <c r="E172" s="801">
        <f>'Part VI-Revenues &amp; Expenses'!Q233</f>
        <v>12000</v>
      </c>
      <c r="F172" s="772" t="s">
        <v>3120</v>
      </c>
      <c r="J172" s="803"/>
      <c r="K172" s="803"/>
      <c r="L172" s="803"/>
      <c r="M172" s="803"/>
    </row>
    <row r="173" spans="1:13">
      <c r="E173" s="806">
        <f>E172/12</f>
        <v>1000</v>
      </c>
      <c r="F173" s="667" t="s">
        <v>2972</v>
      </c>
    </row>
    <row r="174" spans="1:13" ht="12" customHeight="1">
      <c r="C174" s="730" t="s">
        <v>3394</v>
      </c>
      <c r="E174" s="3280"/>
      <c r="F174" s="3280"/>
      <c r="G174" s="3280"/>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80"/>
      <c r="G179" s="3280"/>
      <c r="H179" s="3280"/>
      <c r="I179" s="3280"/>
      <c r="J179" s="3280"/>
    </row>
    <row r="180" spans="1:10" ht="12" customHeight="1">
      <c r="C180" s="730" t="s">
        <v>3395</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58795</v>
      </c>
      <c r="G183" s="667"/>
      <c r="I183" s="667"/>
    </row>
    <row r="184" spans="1:10" ht="12" customHeight="1">
      <c r="C184" s="730" t="s">
        <v>3393</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3393</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3397</v>
      </c>
      <c r="B197" s="779"/>
      <c r="C197" s="779"/>
      <c r="D197" s="779"/>
      <c r="E197" s="784" t="s">
        <v>3396</v>
      </c>
      <c r="F197" s="3292">
        <f>'Part VIII-Threshold Criteria'!E391</f>
        <v>0</v>
      </c>
      <c r="G197" s="3292"/>
      <c r="H197" s="3292"/>
      <c r="I197" s="3292"/>
      <c r="J197" s="3292"/>
    </row>
    <row r="198" spans="1:10" ht="9" customHeight="1">
      <c r="G198" s="667"/>
      <c r="H198" s="667"/>
      <c r="I198" s="667"/>
    </row>
    <row r="199" spans="1:10" ht="12" customHeight="1">
      <c r="A199" s="808" t="s">
        <v>3213</v>
      </c>
      <c r="G199" s="667"/>
      <c r="H199" s="667"/>
      <c r="I199" s="792"/>
    </row>
    <row r="200" spans="1:10" ht="25.5" hidden="1" customHeight="1">
      <c r="A200" s="3281" t="str">
        <f>'Subsidy Layering Memo'!A98</f>
        <v>Include any reserve requirements; explain any reserves far in excess of 6 month ODR, 3 mo lease up, 1 year RR, 6 mo T&amp;I standards.</v>
      </c>
      <c r="B200" s="3281"/>
      <c r="C200" s="3281"/>
      <c r="D200" s="3281"/>
      <c r="E200" s="3281"/>
      <c r="F200" s="3281"/>
      <c r="G200" s="3281"/>
      <c r="H200" s="3281"/>
      <c r="I200" s="3281"/>
      <c r="J200" s="3281"/>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82" t="s">
        <v>2838</v>
      </c>
      <c r="B204" s="3282"/>
      <c r="C204" s="3282"/>
      <c r="D204" s="3282"/>
      <c r="E204" s="3282"/>
      <c r="F204" s="3282"/>
      <c r="G204" s="3282"/>
      <c r="H204" s="3282"/>
      <c r="I204" s="3282"/>
      <c r="J204" s="3282"/>
    </row>
    <row r="205" spans="1:10">
      <c r="A205" s="667" t="s">
        <v>2839</v>
      </c>
      <c r="G205" s="667"/>
      <c r="H205" s="667"/>
      <c r="I205" s="667"/>
    </row>
    <row r="206" spans="1:10" ht="38.25" customHeight="1">
      <c r="A206" s="3282" t="str">
        <f>'Subsidy Layering Memo'!A37&amp;".  "&amp;'Subsidy Layering Memo'!A38</f>
        <v xml:space="preserve">.  </v>
      </c>
      <c r="B206" s="3289"/>
      <c r="C206" s="3289"/>
      <c r="D206" s="3289"/>
      <c r="E206" s="3289"/>
      <c r="F206" s="3289"/>
      <c r="G206" s="3289"/>
      <c r="H206" s="3289"/>
      <c r="I206" s="3289"/>
      <c r="J206" s="3289"/>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3341" t="str">
        <f>'Part I-Project Information'!F34</f>
        <v>Boxwood Heights</v>
      </c>
      <c r="E3" s="3342"/>
      <c r="F3" s="3342"/>
      <c r="G3" s="3342"/>
      <c r="H3" s="3342"/>
      <c r="I3" s="3342"/>
      <c r="J3" s="3347" t="s">
        <v>4644</v>
      </c>
      <c r="K3" s="3348"/>
    </row>
    <row r="4" spans="1:11" ht="15" customHeight="1">
      <c r="A4" s="1633" t="s">
        <v>4642</v>
      </c>
      <c r="B4" s="1634"/>
      <c r="C4" s="1635"/>
      <c r="D4" s="3343" t="str">
        <f>CONCATENATE('Part I-Project Information'!F35,", ",'Part I-Project Information'!F38,", GA ",'Part I-Project Information'!J38," (",'Part I-Project Information'!J39," Co.)",)</f>
        <v>Midtown Loop, Columbus, GA 319062330 (Muscogee Co.)</v>
      </c>
      <c r="E4" s="3344"/>
      <c r="F4" s="3344"/>
      <c r="G4" s="3344"/>
      <c r="H4" s="3344"/>
      <c r="I4" s="3344"/>
      <c r="J4" s="3349" t="s">
        <v>4683</v>
      </c>
      <c r="K4" s="3350"/>
    </row>
    <row r="5" spans="1:11" ht="15" customHeight="1" thickBot="1">
      <c r="A5" s="1636" t="s">
        <v>4643</v>
      </c>
      <c r="B5" s="1637"/>
      <c r="C5" s="1638"/>
      <c r="D5" s="3345"/>
      <c r="E5" s="3346"/>
      <c r="F5" s="3346"/>
      <c r="G5" s="3346"/>
      <c r="H5" s="3346"/>
      <c r="I5" s="3346"/>
      <c r="J5" s="3351"/>
      <c r="K5" s="3352"/>
    </row>
    <row r="6" spans="1:11" ht="9" customHeight="1" thickBot="1">
      <c r="E6" s="1628"/>
    </row>
    <row r="7" spans="1:11">
      <c r="A7" s="3338" t="s">
        <v>4645</v>
      </c>
      <c r="B7" s="3339"/>
      <c r="C7" s="3339"/>
      <c r="D7" s="3339"/>
      <c r="E7" s="3339"/>
      <c r="F7" s="3339"/>
      <c r="G7" s="3339"/>
      <c r="H7" s="3339"/>
      <c r="I7" s="3339"/>
      <c r="J7" s="3339"/>
      <c r="K7" s="3340"/>
    </row>
    <row r="8" spans="1:11" ht="14.25" customHeight="1">
      <c r="A8" s="1654"/>
      <c r="B8" s="1654"/>
      <c r="C8" s="1676">
        <v>1</v>
      </c>
      <c r="D8" s="1655" t="s">
        <v>4646</v>
      </c>
      <c r="E8" s="1655"/>
      <c r="F8" s="1655"/>
      <c r="G8" s="1655"/>
      <c r="H8" s="1655"/>
      <c r="I8" s="1655"/>
      <c r="J8" s="1655"/>
      <c r="K8" s="1656"/>
    </row>
    <row r="9" spans="1:11" ht="7.2" customHeight="1">
      <c r="A9" s="3333"/>
      <c r="B9" s="3333"/>
      <c r="C9" s="3333"/>
      <c r="D9" s="3334"/>
      <c r="E9" s="3334"/>
      <c r="F9" s="3334"/>
      <c r="G9" s="3334"/>
      <c r="H9" s="3334"/>
      <c r="I9" s="3334"/>
      <c r="J9" s="3334"/>
      <c r="K9" s="1657"/>
    </row>
    <row r="10" spans="1:11">
      <c r="A10" s="3297" t="s">
        <v>4647</v>
      </c>
      <c r="B10" s="3298"/>
      <c r="C10" s="3298"/>
      <c r="D10" s="3298"/>
      <c r="E10" s="3298"/>
      <c r="F10" s="3298"/>
      <c r="G10" s="3298"/>
      <c r="H10" s="3298"/>
      <c r="I10" s="3298"/>
      <c r="J10" s="3298"/>
      <c r="K10" s="3299"/>
    </row>
    <row r="11" spans="1:11" ht="14.25" customHeight="1">
      <c r="A11" s="1654"/>
      <c r="B11" s="1654"/>
      <c r="C11" s="1676">
        <v>2</v>
      </c>
      <c r="D11" s="1655" t="s">
        <v>4648</v>
      </c>
      <c r="E11" s="1658"/>
      <c r="F11" s="1658"/>
      <c r="G11" s="1658"/>
      <c r="H11" s="1658"/>
      <c r="I11" s="1658"/>
      <c r="J11" s="1658"/>
      <c r="K11" s="1659"/>
    </row>
    <row r="12" spans="1:11" ht="7.2" customHeight="1">
      <c r="A12" s="3333"/>
      <c r="B12" s="3333"/>
      <c r="C12" s="3333"/>
      <c r="D12" s="3334"/>
      <c r="E12" s="3334"/>
      <c r="F12" s="3334"/>
      <c r="G12" s="3334"/>
      <c r="H12" s="3334"/>
      <c r="I12" s="3334"/>
      <c r="J12" s="3334"/>
      <c r="K12" s="1660"/>
    </row>
    <row r="13" spans="1:11">
      <c r="A13" s="3297" t="s">
        <v>4649</v>
      </c>
      <c r="B13" s="3298"/>
      <c r="C13" s="3298"/>
      <c r="D13" s="3298"/>
      <c r="E13" s="3298"/>
      <c r="F13" s="3298"/>
      <c r="G13" s="3298"/>
      <c r="H13" s="3298"/>
      <c r="I13" s="3298"/>
      <c r="J13" s="3298"/>
      <c r="K13" s="3299"/>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3333"/>
      <c r="B18" s="3333"/>
      <c r="C18" s="3333"/>
      <c r="D18" s="3334"/>
      <c r="E18" s="3334"/>
      <c r="F18" s="3334"/>
      <c r="G18" s="3334"/>
      <c r="H18" s="3334"/>
      <c r="I18" s="3334"/>
      <c r="J18" s="3334"/>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3333"/>
      <c r="B21" s="3333"/>
      <c r="C21" s="3333"/>
      <c r="D21" s="3334"/>
      <c r="E21" s="3334"/>
      <c r="F21" s="3334"/>
      <c r="G21" s="3334"/>
      <c r="H21" s="3334"/>
      <c r="I21" s="3334"/>
      <c r="J21" s="3334"/>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00" t="s">
        <v>4689</v>
      </c>
      <c r="B30" s="3301"/>
      <c r="C30" s="3301"/>
      <c r="D30" s="3301"/>
      <c r="E30" s="3301"/>
      <c r="F30" s="3301"/>
      <c r="G30" s="3301"/>
      <c r="H30" s="3301"/>
      <c r="I30" s="3301"/>
      <c r="J30" s="3301"/>
      <c r="K30" s="3302"/>
    </row>
    <row r="31" spans="1:13">
      <c r="A31" s="1652"/>
      <c r="B31" s="3303" t="s">
        <v>4644</v>
      </c>
      <c r="C31" s="3303"/>
      <c r="D31" s="3303"/>
      <c r="E31" s="3303"/>
      <c r="F31" s="3303"/>
      <c r="G31" s="3335" t="s">
        <v>4658</v>
      </c>
      <c r="H31" s="3336"/>
      <c r="I31" s="3336"/>
      <c r="J31" s="3336"/>
      <c r="K31" s="3337"/>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3295" t="s">
        <v>4663</v>
      </c>
      <c r="M32" s="3295"/>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5"/>
      <c r="M33" s="3295"/>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5"/>
      <c r="M34" s="3295"/>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5"/>
      <c r="M35" s="3295"/>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5"/>
      <c r="M36" s="3295"/>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5"/>
      <c r="M37" s="3295"/>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5"/>
      <c r="M38" s="3295"/>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5"/>
      <c r="M39" s="3295"/>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5"/>
      <c r="M40" s="3295"/>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5"/>
      <c r="M41" s="3295"/>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5"/>
      <c r="M42" s="3295"/>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5"/>
      <c r="M43" s="3295"/>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5"/>
      <c r="M44" s="3295"/>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5"/>
      <c r="M45" s="3295"/>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5"/>
      <c r="M46" s="3295"/>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5"/>
      <c r="M47" s="3295"/>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5"/>
      <c r="M48" s="3295"/>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5"/>
      <c r="M49" s="3295"/>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5"/>
      <c r="M50" s="3295"/>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5"/>
      <c r="M51" s="3295"/>
    </row>
    <row r="52" spans="1:13" ht="15" customHeight="1" thickBot="1">
      <c r="A52" s="1652"/>
      <c r="B52" s="1673"/>
      <c r="D52" s="1661"/>
      <c r="E52" s="1661"/>
      <c r="F52" s="1661"/>
      <c r="G52" s="1686" t="s">
        <v>4664</v>
      </c>
      <c r="H52" s="1685" t="e">
        <f>SUM(H33:H51)</f>
        <v>#VALUE!</v>
      </c>
      <c r="I52" s="1661"/>
      <c r="J52" s="1673" t="s">
        <v>4665</v>
      </c>
      <c r="K52" s="1669" t="e">
        <f>SUM(K33:K51)</f>
        <v>#VALUE!</v>
      </c>
      <c r="L52" s="3295"/>
      <c r="M52" s="3295"/>
    </row>
    <row r="53" spans="1:13" ht="15" customHeight="1">
      <c r="A53" s="1652"/>
      <c r="B53" s="1674"/>
      <c r="C53" s="3317" t="s">
        <v>4666</v>
      </c>
      <c r="D53" s="3317"/>
      <c r="E53" s="3317"/>
      <c r="F53" s="3317"/>
      <c r="G53" s="3317"/>
      <c r="H53" s="3317"/>
      <c r="I53" s="3317"/>
      <c r="J53" s="3318"/>
      <c r="K53" s="1675" t="str">
        <f>IF(K17="no",0,IF(K17="yes",K16,"Error"))</f>
        <v>Error</v>
      </c>
      <c r="L53" s="3295"/>
      <c r="M53" s="3295"/>
    </row>
    <row r="54" spans="1:13" ht="15" customHeight="1" thickBot="1">
      <c r="A54" s="1652"/>
      <c r="B54" s="1674"/>
      <c r="C54" s="3319" t="s">
        <v>4667</v>
      </c>
      <c r="D54" s="3319"/>
      <c r="E54" s="3319"/>
      <c r="F54" s="3319"/>
      <c r="G54" s="3319"/>
      <c r="H54" s="3319"/>
      <c r="I54" s="3319"/>
      <c r="J54" s="3320"/>
      <c r="K54" s="1688" t="e">
        <f>K52+K53</f>
        <v>#VALUE!</v>
      </c>
    </row>
    <row r="55" spans="1:13" ht="7.95" customHeight="1">
      <c r="A55" s="3321"/>
      <c r="B55" s="3312"/>
      <c r="C55" s="3312"/>
      <c r="D55" s="3312"/>
      <c r="E55" s="3312"/>
      <c r="F55" s="3312"/>
      <c r="G55" s="3312"/>
      <c r="H55" s="3312"/>
      <c r="I55" s="3312"/>
      <c r="J55" s="3312"/>
      <c r="K55" s="1702"/>
    </row>
    <row r="56" spans="1:13" ht="15" customHeight="1">
      <c r="A56" s="3304" t="s">
        <v>4668</v>
      </c>
      <c r="B56" s="3305"/>
      <c r="C56" s="3305"/>
      <c r="D56" s="3305"/>
      <c r="E56" s="3305"/>
      <c r="F56" s="3305"/>
      <c r="G56" s="3305"/>
      <c r="H56" s="3305"/>
      <c r="I56" s="3305"/>
      <c r="J56" s="3305"/>
      <c r="K56" s="3306"/>
    </row>
    <row r="57" spans="1:13" ht="48" customHeight="1">
      <c r="A57" s="1649"/>
      <c r="B57" s="1640"/>
      <c r="C57" s="1651" t="s">
        <v>4669</v>
      </c>
      <c r="D57" s="2017" t="s">
        <v>6836</v>
      </c>
      <c r="E57" s="3322" t="s">
        <v>4685</v>
      </c>
      <c r="F57" s="3323"/>
      <c r="G57" s="3324" t="s">
        <v>4670</v>
      </c>
      <c r="H57" s="3325"/>
      <c r="I57" s="3322" t="s">
        <v>4684</v>
      </c>
      <c r="J57" s="3323"/>
      <c r="K57" s="3326"/>
    </row>
    <row r="58" spans="1:13" ht="15" customHeight="1">
      <c r="A58" s="1805"/>
      <c r="B58" s="2014"/>
      <c r="C58" s="1670">
        <f>SUMIF(C33:C51, "0", H33:H51)</f>
        <v>0</v>
      </c>
      <c r="D58" s="2018">
        <f>ROUNDUP(C58*1.1,0)</f>
        <v>0</v>
      </c>
      <c r="E58" s="3328" t="s">
        <v>4671</v>
      </c>
      <c r="F58" s="3329"/>
      <c r="G58" s="3330">
        <f>62445*2.4</f>
        <v>149868</v>
      </c>
      <c r="H58" s="3331"/>
      <c r="I58" s="3332">
        <f t="shared" ref="I58:I63" si="6">D58*G58</f>
        <v>0</v>
      </c>
      <c r="J58" s="3332"/>
      <c r="K58" s="3327"/>
    </row>
    <row r="59" spans="1:13">
      <c r="A59" s="1805"/>
      <c r="B59" s="2014"/>
      <c r="C59" s="1671">
        <f>SUMIF(C33:C51, "1", H33:H51)</f>
        <v>0</v>
      </c>
      <c r="D59" s="2019">
        <f t="shared" ref="D59:D63" si="7">ROUNDUP(C59*1.1,0)</f>
        <v>0</v>
      </c>
      <c r="E59" s="3313" t="s">
        <v>2631</v>
      </c>
      <c r="F59" s="3314"/>
      <c r="G59" s="3315">
        <f>71584*2.4</f>
        <v>171801.60000000001</v>
      </c>
      <c r="H59" s="3316"/>
      <c r="I59" s="3294">
        <f t="shared" si="6"/>
        <v>0</v>
      </c>
      <c r="J59" s="3294"/>
      <c r="K59" s="3327"/>
    </row>
    <row r="60" spans="1:13" ht="15" customHeight="1">
      <c r="A60" s="1805"/>
      <c r="B60" s="2014"/>
      <c r="C60" s="1671">
        <f>SUMIF(C33:C51, "2", H33:H51)</f>
        <v>0</v>
      </c>
      <c r="D60" s="2019">
        <f t="shared" si="7"/>
        <v>0</v>
      </c>
      <c r="E60" s="3313" t="s">
        <v>2632</v>
      </c>
      <c r="F60" s="3314"/>
      <c r="G60" s="3315">
        <f>87047*2.4</f>
        <v>208912.8</v>
      </c>
      <c r="H60" s="3316"/>
      <c r="I60" s="3294">
        <f t="shared" si="6"/>
        <v>0</v>
      </c>
      <c r="J60" s="3294"/>
      <c r="K60" s="3327"/>
    </row>
    <row r="61" spans="1:13">
      <c r="A61" s="1805"/>
      <c r="B61" s="2014"/>
      <c r="C61" s="1671">
        <f>SUMIF(C33:C51, "3", H33:H51)</f>
        <v>0</v>
      </c>
      <c r="D61" s="2019">
        <f t="shared" si="7"/>
        <v>0</v>
      </c>
      <c r="E61" s="3313" t="s">
        <v>2635</v>
      </c>
      <c r="F61" s="3314"/>
      <c r="G61" s="3315">
        <f>112611*2.4</f>
        <v>270266.39999999997</v>
      </c>
      <c r="H61" s="3316"/>
      <c r="I61" s="3294">
        <f t="shared" si="6"/>
        <v>0</v>
      </c>
      <c r="J61" s="3294"/>
      <c r="K61" s="3327"/>
    </row>
    <row r="62" spans="1:13">
      <c r="A62" s="1805"/>
      <c r="B62" s="2014"/>
      <c r="C62" s="1671">
        <f>SUMIF(C33:C51, "4", H33:H51)</f>
        <v>0</v>
      </c>
      <c r="D62" s="2019">
        <f t="shared" si="7"/>
        <v>0</v>
      </c>
      <c r="E62" s="3313" t="s">
        <v>4672</v>
      </c>
      <c r="F62" s="3314"/>
      <c r="G62" s="3315">
        <f>123611*2.4</f>
        <v>296666.39999999997</v>
      </c>
      <c r="H62" s="3316"/>
      <c r="I62" s="3294">
        <f t="shared" si="6"/>
        <v>0</v>
      </c>
      <c r="J62" s="3294"/>
      <c r="K62" s="3327"/>
    </row>
    <row r="63" spans="1:13">
      <c r="A63" s="2015"/>
      <c r="B63" s="2016"/>
      <c r="C63" s="1672">
        <f>SUMIF(C33:C51, "5", H33:H51)</f>
        <v>0</v>
      </c>
      <c r="D63" s="2020">
        <f t="shared" si="7"/>
        <v>0</v>
      </c>
      <c r="E63" s="3307" t="s">
        <v>4673</v>
      </c>
      <c r="F63" s="3308"/>
      <c r="G63" s="3309">
        <f>123611*2.4</f>
        <v>296666.39999999997</v>
      </c>
      <c r="H63" s="3310"/>
      <c r="I63" s="3311">
        <f t="shared" si="6"/>
        <v>0</v>
      </c>
      <c r="J63" s="3311"/>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3312"/>
      <c r="B65" s="3312"/>
      <c r="C65" s="3312"/>
      <c r="D65" s="3312"/>
      <c r="E65" s="3312"/>
      <c r="F65" s="3312"/>
      <c r="G65" s="3312"/>
      <c r="H65" s="3312"/>
      <c r="I65" s="3312"/>
      <c r="J65" s="3312"/>
    </row>
    <row r="66" spans="1:11">
      <c r="A66" s="3304" t="s">
        <v>4676</v>
      </c>
      <c r="B66" s="3305"/>
      <c r="C66" s="3305"/>
      <c r="D66" s="3305"/>
      <c r="E66" s="3305"/>
      <c r="F66" s="3305"/>
      <c r="G66" s="3305"/>
      <c r="H66" s="3305"/>
      <c r="I66" s="3305"/>
      <c r="J66" s="3305"/>
      <c r="K66" s="3306"/>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3296" t="s">
        <v>4680</v>
      </c>
      <c r="D70" s="3296"/>
      <c r="E70" s="3296"/>
      <c r="F70" s="3296"/>
      <c r="G70" s="3296"/>
      <c r="H70" s="3296"/>
      <c r="I70" s="3296"/>
      <c r="J70" s="3296"/>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Boxwood Heights</v>
      </c>
    </row>
    <row r="2" spans="1:11">
      <c r="A2" s="667" t="s">
        <v>3132</v>
      </c>
      <c r="H2" s="730" t="str">
        <f>'Sensitivity Analysis'!E8</f>
        <v>2020-067</v>
      </c>
    </row>
    <row r="3" spans="1:11" ht="3" customHeight="1"/>
    <row r="4" spans="1:11" ht="51.75" customHeight="1">
      <c r="A4" s="3289" t="s">
        <v>3230</v>
      </c>
      <c r="B4" s="3289"/>
      <c r="C4" s="3289"/>
      <c r="D4" s="3289"/>
      <c r="E4" s="3289"/>
      <c r="F4" s="3289"/>
      <c r="G4" s="3289"/>
      <c r="H4" s="3289"/>
      <c r="J4" s="1218">
        <f>SUM('Part VII-Pro Forma'!B14:B16)/12</f>
        <v>26016.303599999999</v>
      </c>
      <c r="K4" s="1217" t="s">
        <v>4104</v>
      </c>
    </row>
    <row r="5" spans="1:11" ht="1.5" customHeight="1">
      <c r="C5" s="809"/>
      <c r="D5" s="809"/>
      <c r="E5" s="809"/>
      <c r="F5" s="809"/>
      <c r="G5" s="809"/>
      <c r="H5" s="809"/>
    </row>
    <row r="6" spans="1:11" ht="12.75" customHeight="1">
      <c r="B6" s="810" t="s">
        <v>2371</v>
      </c>
      <c r="C6" s="3289" t="s">
        <v>3133</v>
      </c>
      <c r="D6" s="3289"/>
      <c r="E6" s="3289"/>
      <c r="F6" s="3289"/>
      <c r="G6" s="3289"/>
      <c r="H6" s="3289"/>
    </row>
    <row r="7" spans="1:11" ht="12.75" customHeight="1">
      <c r="B7" s="810" t="s">
        <v>2372</v>
      </c>
      <c r="C7" s="3289" t="s">
        <v>3134</v>
      </c>
      <c r="D7" s="3289"/>
      <c r="E7" s="3289"/>
      <c r="F7" s="3289"/>
      <c r="G7" s="3289"/>
      <c r="H7" s="3289"/>
    </row>
    <row r="8" spans="1:11" ht="3" customHeight="1"/>
    <row r="9" spans="1:11">
      <c r="A9" s="730" t="s">
        <v>3135</v>
      </c>
    </row>
    <row r="10" spans="1:11" ht="1.5" customHeight="1"/>
    <row r="11" spans="1:11" ht="26.25" customHeight="1">
      <c r="A11" s="811" t="s">
        <v>1935</v>
      </c>
      <c r="B11" s="3358" t="s">
        <v>3227</v>
      </c>
      <c r="C11" s="3358"/>
      <c r="D11" s="3358"/>
      <c r="E11" s="3358"/>
      <c r="F11" s="3358"/>
      <c r="G11" s="3359">
        <f>'Part III-Sources of Funds'!I49+'Part III-Sources of Funds'!I50</f>
        <v>9939906</v>
      </c>
      <c r="H11" s="3359"/>
    </row>
    <row r="12" spans="1:11" ht="1.5" customHeight="1">
      <c r="G12" s="779"/>
      <c r="H12" s="779"/>
    </row>
    <row r="13" spans="1:11" ht="26.25" customHeight="1">
      <c r="A13" s="811" t="s">
        <v>1937</v>
      </c>
      <c r="B13" s="3358" t="s">
        <v>3228</v>
      </c>
      <c r="C13" s="3358"/>
      <c r="D13" s="3358"/>
      <c r="E13" s="3358"/>
      <c r="F13" s="3358"/>
      <c r="G13" s="3360" t="s">
        <v>3061</v>
      </c>
      <c r="H13" s="3360"/>
    </row>
    <row r="14" spans="1:11" ht="12" hidden="1" customHeight="1">
      <c r="A14" s="811"/>
      <c r="B14" s="3278"/>
      <c r="C14" s="3278"/>
      <c r="D14" s="3278"/>
      <c r="E14" s="3278"/>
      <c r="F14" s="3278"/>
      <c r="G14" s="3278"/>
      <c r="H14" s="3278"/>
    </row>
    <row r="15" spans="1:11" ht="1.5" customHeight="1"/>
    <row r="16" spans="1:11" ht="12" customHeight="1">
      <c r="A16" s="811" t="s">
        <v>731</v>
      </c>
      <c r="B16" s="730" t="s">
        <v>3231</v>
      </c>
      <c r="F16" s="803"/>
      <c r="G16" s="3275" t="s">
        <v>2887</v>
      </c>
      <c r="H16" s="3275"/>
    </row>
    <row r="17" spans="1:8" ht="1.5" customHeight="1">
      <c r="G17" s="785"/>
    </row>
    <row r="18" spans="1:8" ht="12" customHeight="1">
      <c r="A18" s="811" t="s">
        <v>2064</v>
      </c>
      <c r="B18" s="779" t="s">
        <v>3229</v>
      </c>
      <c r="C18" s="811"/>
      <c r="D18" s="811"/>
      <c r="E18" s="811"/>
      <c r="G18" s="3278" t="s">
        <v>2727</v>
      </c>
      <c r="H18" s="3278"/>
    </row>
    <row r="19" spans="1:8" ht="12" hidden="1" customHeight="1">
      <c r="B19" s="3278"/>
      <c r="C19" s="3278"/>
      <c r="D19" s="3278"/>
      <c r="E19" s="3278"/>
      <c r="F19" s="3278"/>
      <c r="G19" s="3278"/>
      <c r="H19" s="3278"/>
    </row>
    <row r="20" spans="1:8" ht="13.5" customHeight="1"/>
    <row r="21" spans="1:8" ht="12" customHeight="1">
      <c r="A21" s="667" t="s">
        <v>3136</v>
      </c>
    </row>
    <row r="22" spans="1:8" ht="3" customHeight="1"/>
    <row r="23" spans="1:8" ht="24.75" customHeight="1">
      <c r="A23" s="3361" t="s">
        <v>4821</v>
      </c>
      <c r="B23" s="3361"/>
      <c r="C23" s="3361"/>
      <c r="D23" s="3361"/>
      <c r="E23" s="3361"/>
      <c r="F23" s="3361"/>
      <c r="G23" s="3361"/>
      <c r="H23" s="3361"/>
    </row>
    <row r="24" spans="1:8" ht="9" customHeight="1" thickBot="1">
      <c r="A24" s="752"/>
    </row>
    <row r="25" spans="1:8" ht="16.2" customHeight="1" thickBot="1">
      <c r="A25" s="3353">
        <v>20</v>
      </c>
      <c r="B25" s="3354"/>
      <c r="C25" s="1789" t="s">
        <v>1018</v>
      </c>
    </row>
    <row r="26" spans="1:8" ht="9" customHeight="1">
      <c r="A26" s="752"/>
    </row>
    <row r="27" spans="1:8" ht="28.2" customHeight="1">
      <c r="A27" s="3357" t="s">
        <v>4826</v>
      </c>
      <c r="B27" s="3357"/>
      <c r="C27" s="3357"/>
      <c r="D27" s="3357"/>
      <c r="E27" s="3357"/>
      <c r="F27" s="3357"/>
      <c r="G27" s="3357"/>
      <c r="H27" s="3357"/>
    </row>
    <row r="28" spans="1:8" ht="9" customHeight="1">
      <c r="A28" s="752"/>
    </row>
    <row r="29" spans="1:8">
      <c r="A29" s="785" t="s">
        <v>3232</v>
      </c>
      <c r="B29" s="812" t="str">
        <f>IF('Part VI-Revenues &amp; Expenses'!$K$62=0,"",'Part VI-Revenues &amp; Expenses'!$K$62)</f>
        <v/>
      </c>
      <c r="C29" s="785" t="s">
        <v>4819</v>
      </c>
      <c r="D29" s="813" t="s">
        <v>4820</v>
      </c>
    </row>
    <row r="30" spans="1:8" ht="1.95" customHeight="1"/>
    <row r="31" spans="1:8" ht="12.75" customHeight="1">
      <c r="C31" s="779" t="s">
        <v>3137</v>
      </c>
      <c r="D31" s="814" t="s">
        <v>1938</v>
      </c>
      <c r="E31" s="815"/>
      <c r="F31" s="3289" t="s">
        <v>3138</v>
      </c>
      <c r="G31" s="3289"/>
      <c r="H31" s="3289"/>
    </row>
    <row r="32" spans="1:8" ht="12.75" customHeight="1">
      <c r="C32" s="816" t="s">
        <v>1326</v>
      </c>
      <c r="D32" s="814" t="s">
        <v>1940</v>
      </c>
      <c r="E32" s="3289" t="s">
        <v>3237</v>
      </c>
      <c r="F32" s="3289"/>
      <c r="G32" s="3289"/>
      <c r="H32" s="3289"/>
    </row>
    <row r="33" spans="1:11" ht="12.75" customHeight="1">
      <c r="C33" s="1787" t="s">
        <v>4824</v>
      </c>
      <c r="E33" s="3289" t="s">
        <v>3399</v>
      </c>
      <c r="F33" s="3289"/>
      <c r="G33" s="3289"/>
      <c r="H33" s="3289"/>
    </row>
    <row r="34" spans="1:11" ht="12.75" customHeight="1">
      <c r="C34" s="1788"/>
      <c r="D34" s="1786" t="s">
        <v>3236</v>
      </c>
      <c r="E34" s="3355" t="s">
        <v>3400</v>
      </c>
      <c r="F34" s="3355"/>
      <c r="G34" s="3355"/>
      <c r="H34" s="3355"/>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289" t="s">
        <v>3237</v>
      </c>
      <c r="F37" s="3289"/>
      <c r="G37" s="3289"/>
      <c r="H37" s="3289"/>
    </row>
    <row r="38" spans="1:11" ht="12.75" customHeight="1">
      <c r="C38" s="1787" t="s">
        <v>4824</v>
      </c>
      <c r="E38" s="3289" t="s">
        <v>3399</v>
      </c>
      <c r="F38" s="3289"/>
      <c r="G38" s="3289"/>
      <c r="H38" s="3289"/>
    </row>
    <row r="39" spans="1:11" ht="12.75" customHeight="1">
      <c r="C39" s="1788"/>
      <c r="D39" s="1786" t="s">
        <v>3236</v>
      </c>
      <c r="E39" s="3355" t="s">
        <v>3400</v>
      </c>
      <c r="F39" s="3355"/>
      <c r="G39" s="3355"/>
      <c r="H39" s="3355"/>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289" t="s">
        <v>3237</v>
      </c>
      <c r="F42" s="3289"/>
      <c r="G42" s="3289"/>
      <c r="H42" s="3289"/>
    </row>
    <row r="43" spans="1:11" ht="12.75" customHeight="1">
      <c r="C43" s="1787" t="s">
        <v>4824</v>
      </c>
      <c r="E43" s="3289" t="s">
        <v>3399</v>
      </c>
      <c r="F43" s="3289"/>
      <c r="G43" s="3289"/>
      <c r="H43" s="3289"/>
    </row>
    <row r="44" spans="1:11" ht="12.75" customHeight="1">
      <c r="C44" s="1788"/>
      <c r="D44" s="1786" t="s">
        <v>3236</v>
      </c>
      <c r="E44" s="3355" t="s">
        <v>3400</v>
      </c>
      <c r="F44" s="3355"/>
      <c r="G44" s="3355"/>
      <c r="H44" s="3355"/>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3401</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289" t="s">
        <v>3237</v>
      </c>
      <c r="F49" s="3289"/>
      <c r="G49" s="3289"/>
      <c r="H49" s="3289"/>
      <c r="K49" s="1803"/>
    </row>
    <row r="50" spans="1:11" ht="12.75" customHeight="1">
      <c r="C50" s="1787" t="s">
        <v>4824</v>
      </c>
      <c r="E50" s="3289" t="s">
        <v>3399</v>
      </c>
      <c r="F50" s="3289"/>
      <c r="G50" s="3289"/>
      <c r="H50" s="3289"/>
    </row>
    <row r="51" spans="1:11" ht="12.75" customHeight="1">
      <c r="C51" s="1788"/>
      <c r="D51" s="1785" t="s">
        <v>3236</v>
      </c>
      <c r="E51" s="3356" t="s">
        <v>3400</v>
      </c>
      <c r="F51" s="3356"/>
      <c r="G51" s="3356"/>
      <c r="H51" s="3356"/>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289" t="s">
        <v>3237</v>
      </c>
      <c r="F54" s="3289"/>
      <c r="G54" s="3289"/>
      <c r="H54" s="3289"/>
    </row>
    <row r="55" spans="1:11" ht="12.75" customHeight="1">
      <c r="C55" s="1787" t="s">
        <v>4824</v>
      </c>
      <c r="E55" s="3289" t="s">
        <v>3399</v>
      </c>
      <c r="F55" s="3289"/>
      <c r="G55" s="3289"/>
      <c r="H55" s="3289"/>
    </row>
    <row r="56" spans="1:11" ht="12.75" customHeight="1">
      <c r="C56" s="1788"/>
      <c r="D56" s="1786" t="s">
        <v>3236</v>
      </c>
      <c r="E56" s="3355" t="s">
        <v>3400</v>
      </c>
      <c r="F56" s="3355"/>
      <c r="G56" s="3355"/>
      <c r="H56" s="3355"/>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289" t="s">
        <v>3237</v>
      </c>
      <c r="F59" s="3289"/>
      <c r="G59" s="3289"/>
      <c r="H59" s="3289"/>
    </row>
    <row r="60" spans="1:11" ht="12.75" customHeight="1">
      <c r="C60" s="1787" t="s">
        <v>4824</v>
      </c>
      <c r="E60" s="3289" t="s">
        <v>3399</v>
      </c>
      <c r="F60" s="3289"/>
      <c r="G60" s="3289"/>
      <c r="H60" s="3289"/>
    </row>
    <row r="61" spans="1:11" ht="12.75" customHeight="1">
      <c r="C61" s="1788"/>
      <c r="D61" s="1786" t="s">
        <v>3236</v>
      </c>
      <c r="E61" s="3355" t="s">
        <v>3400</v>
      </c>
      <c r="F61" s="3355"/>
      <c r="G61" s="3355"/>
      <c r="H61" s="3355"/>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3402</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289" t="s">
        <v>3237</v>
      </c>
      <c r="F66" s="3289"/>
      <c r="G66" s="3289"/>
      <c r="H66" s="3289"/>
    </row>
    <row r="67" spans="1:8" ht="12.75" customHeight="1">
      <c r="C67" s="1787" t="s">
        <v>4824</v>
      </c>
      <c r="E67" s="3289" t="s">
        <v>3399</v>
      </c>
      <c r="F67" s="3289"/>
      <c r="G67" s="3289"/>
      <c r="H67" s="3289"/>
    </row>
    <row r="68" spans="1:8" ht="12.75" customHeight="1">
      <c r="C68" s="1788"/>
      <c r="D68" s="1785" t="s">
        <v>3236</v>
      </c>
      <c r="E68" s="3356" t="s">
        <v>3400</v>
      </c>
      <c r="F68" s="3356"/>
      <c r="G68" s="3356"/>
      <c r="H68" s="3356"/>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289" t="s">
        <v>3237</v>
      </c>
      <c r="F71" s="3289"/>
      <c r="G71" s="3289"/>
      <c r="H71" s="3289"/>
    </row>
    <row r="72" spans="1:8" ht="12.75" customHeight="1">
      <c r="C72" s="1787" t="s">
        <v>4824</v>
      </c>
      <c r="E72" s="3289" t="s">
        <v>3399</v>
      </c>
      <c r="F72" s="3289"/>
      <c r="G72" s="3289"/>
      <c r="H72" s="3289"/>
    </row>
    <row r="73" spans="1:8" ht="12.75" customHeight="1">
      <c r="C73" s="1788"/>
      <c r="D73" s="1786" t="s">
        <v>3236</v>
      </c>
      <c r="E73" s="3355" t="s">
        <v>3400</v>
      </c>
      <c r="F73" s="3355"/>
      <c r="G73" s="3355"/>
      <c r="H73" s="3355"/>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289" t="s">
        <v>3237</v>
      </c>
      <c r="F76" s="3289"/>
      <c r="G76" s="3289"/>
      <c r="H76" s="3289"/>
    </row>
    <row r="77" spans="1:8" ht="12.75" customHeight="1">
      <c r="C77" s="1787" t="s">
        <v>4824</v>
      </c>
      <c r="E77" s="3289" t="s">
        <v>3399</v>
      </c>
      <c r="F77" s="3289"/>
      <c r="G77" s="3289"/>
      <c r="H77" s="3289"/>
    </row>
    <row r="78" spans="1:8" ht="12.75" customHeight="1">
      <c r="C78" s="1788"/>
      <c r="D78" s="1786" t="s">
        <v>3236</v>
      </c>
      <c r="E78" s="3355" t="s">
        <v>3400</v>
      </c>
      <c r="F78" s="3355"/>
      <c r="G78" s="3355"/>
      <c r="H78" s="3355"/>
    </row>
    <row r="79" spans="1:8" ht="6" customHeight="1">
      <c r="D79" s="814"/>
      <c r="E79" s="1784"/>
      <c r="F79" s="1784"/>
      <c r="G79" s="1784"/>
      <c r="H79" s="1784"/>
    </row>
    <row r="80" spans="1:8">
      <c r="A80" s="785" t="s">
        <v>3232</v>
      </c>
      <c r="B80" s="812" t="str">
        <f>IF('Part VI-Revenues &amp; Expenses'!$N$62=0,"",'Part VI-Revenues &amp; Expenses'!$N$62)</f>
        <v/>
      </c>
      <c r="C80" s="785" t="s">
        <v>3235</v>
      </c>
      <c r="D80" s="813" t="s">
        <v>3403</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289" t="s">
        <v>3237</v>
      </c>
      <c r="F83" s="3289"/>
      <c r="G83" s="3289"/>
      <c r="H83" s="3289"/>
    </row>
    <row r="84" spans="3:8" ht="12.75" customHeight="1">
      <c r="C84" s="1787" t="s">
        <v>4824</v>
      </c>
      <c r="E84" s="3289" t="s">
        <v>3399</v>
      </c>
      <c r="F84" s="3289"/>
      <c r="G84" s="3289"/>
      <c r="H84" s="3289"/>
    </row>
    <row r="85" spans="3:8" ht="12.75" customHeight="1">
      <c r="C85" s="1788"/>
      <c r="D85" s="1785" t="s">
        <v>3236</v>
      </c>
      <c r="E85" s="3356" t="s">
        <v>3400</v>
      </c>
      <c r="F85" s="3356"/>
      <c r="G85" s="3356"/>
      <c r="H85" s="3356"/>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289" t="s">
        <v>3237</v>
      </c>
      <c r="F88" s="3289"/>
      <c r="G88" s="3289"/>
      <c r="H88" s="3289"/>
    </row>
    <row r="89" spans="3:8" ht="12.75" customHeight="1">
      <c r="C89" s="1787" t="s">
        <v>4824</v>
      </c>
      <c r="E89" s="3289" t="s">
        <v>3399</v>
      </c>
      <c r="F89" s="3289"/>
      <c r="G89" s="3289"/>
      <c r="H89" s="3289"/>
    </row>
    <row r="90" spans="3:8" ht="12.75" customHeight="1">
      <c r="C90" s="1788"/>
      <c r="D90" s="1786" t="s">
        <v>3236</v>
      </c>
      <c r="E90" s="3355" t="s">
        <v>3400</v>
      </c>
      <c r="F90" s="3355"/>
      <c r="G90" s="3355"/>
      <c r="H90" s="3355"/>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289" t="s">
        <v>3237</v>
      </c>
      <c r="F93" s="3289"/>
      <c r="G93" s="3289"/>
      <c r="H93" s="3289"/>
    </row>
    <row r="94" spans="3:8" ht="12.75" customHeight="1">
      <c r="C94" s="1787" t="s">
        <v>4824</v>
      </c>
      <c r="E94" s="3289" t="s">
        <v>3399</v>
      </c>
      <c r="F94" s="3289"/>
      <c r="G94" s="3289"/>
      <c r="H94" s="3289"/>
    </row>
    <row r="95" spans="3:8" ht="12.75" customHeight="1">
      <c r="C95" s="1788"/>
      <c r="D95" s="1786" t="s">
        <v>3236</v>
      </c>
      <c r="E95" s="3355" t="s">
        <v>3400</v>
      </c>
      <c r="F95" s="3355"/>
      <c r="G95" s="3355"/>
      <c r="H95" s="3355"/>
    </row>
    <row r="96" spans="3:8" ht="6" customHeight="1">
      <c r="D96" s="814"/>
      <c r="E96" s="1784"/>
      <c r="F96" s="1784"/>
      <c r="G96" s="1784"/>
      <c r="H96" s="1784"/>
    </row>
    <row r="97" spans="1:11">
      <c r="A97" s="785" t="s">
        <v>3232</v>
      </c>
      <c r="B97" s="812" t="str">
        <f>IF('Part VI-Revenues &amp; Expenses'!$O$62=0,"",'Part VI-Revenues &amp; Expenses'!$O$62)</f>
        <v/>
      </c>
      <c r="C97" s="785" t="s">
        <v>4822</v>
      </c>
      <c r="D97" s="813" t="s">
        <v>4823</v>
      </c>
    </row>
    <row r="98" spans="1:11" ht="1.95" customHeight="1"/>
    <row r="99" spans="1:11" ht="12.75" customHeight="1">
      <c r="C99" s="779" t="s">
        <v>3137</v>
      </c>
      <c r="D99" s="814" t="s">
        <v>1938</v>
      </c>
      <c r="E99" s="815"/>
      <c r="F99" s="3289" t="s">
        <v>3138</v>
      </c>
      <c r="G99" s="3289"/>
      <c r="H99" s="3289"/>
      <c r="K99" s="730" t="s">
        <v>238</v>
      </c>
    </row>
    <row r="100" spans="1:11" ht="12.75" customHeight="1">
      <c r="C100" s="816" t="s">
        <v>1326</v>
      </c>
      <c r="D100" s="814" t="s">
        <v>1940</v>
      </c>
      <c r="E100" s="3289" t="s">
        <v>3238</v>
      </c>
      <c r="F100" s="3289"/>
      <c r="G100" s="3289"/>
      <c r="H100" s="3289"/>
    </row>
    <row r="101" spans="1:11" ht="12.75" customHeight="1">
      <c r="E101" s="3289" t="s">
        <v>3399</v>
      </c>
      <c r="F101" s="3289"/>
      <c r="G101" s="3289"/>
      <c r="H101" s="3289"/>
    </row>
    <row r="102" spans="1:11" ht="12.75" customHeight="1">
      <c r="D102" s="817" t="s">
        <v>3236</v>
      </c>
      <c r="E102" s="3289" t="s">
        <v>3400</v>
      </c>
      <c r="F102" s="3289"/>
      <c r="G102" s="3289"/>
      <c r="H102" s="3289"/>
    </row>
    <row r="103" spans="1:11" ht="9" customHeight="1" thickBot="1"/>
    <row r="104" spans="1:11" ht="16.2" customHeight="1" thickBot="1">
      <c r="A104" s="3353">
        <v>30</v>
      </c>
      <c r="B104" s="3354"/>
      <c r="C104" s="1789" t="s">
        <v>1018</v>
      </c>
    </row>
    <row r="105" spans="1:11" ht="9" customHeight="1">
      <c r="A105" s="752"/>
    </row>
    <row r="106" spans="1:11" ht="28.2" customHeight="1">
      <c r="A106" s="3357" t="s">
        <v>4827</v>
      </c>
      <c r="B106" s="3357"/>
      <c r="C106" s="3357"/>
      <c r="D106" s="3357"/>
      <c r="E106" s="3357"/>
      <c r="F106" s="3357"/>
      <c r="G106" s="3357"/>
      <c r="H106" s="3357"/>
    </row>
    <row r="107" spans="1:11" ht="9" customHeight="1">
      <c r="A107" s="752"/>
    </row>
    <row r="108" spans="1:11">
      <c r="A108" s="785" t="s">
        <v>3232</v>
      </c>
      <c r="B108" s="812" t="str">
        <f>IF('Part VI-Revenues &amp; Expenses'!$K$61=0,"",'Part VI-Revenues &amp; Expenses'!$K$61)</f>
        <v/>
      </c>
      <c r="C108" s="785" t="s">
        <v>4819</v>
      </c>
      <c r="D108" s="813" t="s">
        <v>4820</v>
      </c>
    </row>
    <row r="109" spans="1:11" ht="1.95" customHeight="1"/>
    <row r="110" spans="1:11" ht="12.75" customHeight="1">
      <c r="C110" s="779" t="s">
        <v>3137</v>
      </c>
      <c r="D110" s="814" t="s">
        <v>1938</v>
      </c>
      <c r="E110" s="815"/>
      <c r="F110" s="3289" t="s">
        <v>3138</v>
      </c>
      <c r="G110" s="3289"/>
      <c r="H110" s="3289"/>
    </row>
    <row r="111" spans="1:11" ht="12.75" customHeight="1">
      <c r="C111" s="816" t="s">
        <v>1326</v>
      </c>
      <c r="D111" s="814" t="s">
        <v>1940</v>
      </c>
      <c r="E111" s="3289" t="s">
        <v>3237</v>
      </c>
      <c r="F111" s="3289"/>
      <c r="G111" s="3289"/>
      <c r="H111" s="3289"/>
    </row>
    <row r="112" spans="1:11" ht="12.75" customHeight="1">
      <c r="C112" s="1787" t="s">
        <v>4824</v>
      </c>
      <c r="E112" s="3289" t="s">
        <v>3399</v>
      </c>
      <c r="F112" s="3289"/>
      <c r="G112" s="3289"/>
      <c r="H112" s="3289"/>
    </row>
    <row r="113" spans="1:8" ht="12.75" customHeight="1">
      <c r="C113" s="1788"/>
      <c r="D113" s="1786" t="s">
        <v>3236</v>
      </c>
      <c r="E113" s="3355" t="s">
        <v>3400</v>
      </c>
      <c r="F113" s="3355"/>
      <c r="G113" s="3355"/>
      <c r="H113" s="3355"/>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289" t="s">
        <v>3237</v>
      </c>
      <c r="F116" s="3289"/>
      <c r="G116" s="3289"/>
      <c r="H116" s="3289"/>
    </row>
    <row r="117" spans="1:8" ht="12.75" customHeight="1">
      <c r="C117" s="1787" t="s">
        <v>4824</v>
      </c>
      <c r="E117" s="3289" t="s">
        <v>3399</v>
      </c>
      <c r="F117" s="3289"/>
      <c r="G117" s="3289"/>
      <c r="H117" s="3289"/>
    </row>
    <row r="118" spans="1:8" ht="12.75" customHeight="1">
      <c r="C118" s="1788"/>
      <c r="D118" s="1786" t="s">
        <v>3236</v>
      </c>
      <c r="E118" s="3355" t="s">
        <v>3400</v>
      </c>
      <c r="F118" s="3355"/>
      <c r="G118" s="3355"/>
      <c r="H118" s="3355"/>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289" t="s">
        <v>3237</v>
      </c>
      <c r="F121" s="3289"/>
      <c r="G121" s="3289"/>
      <c r="H121" s="3289"/>
    </row>
    <row r="122" spans="1:8" ht="12.75" customHeight="1">
      <c r="C122" s="1787" t="s">
        <v>4824</v>
      </c>
      <c r="E122" s="3289" t="s">
        <v>3399</v>
      </c>
      <c r="F122" s="3289"/>
      <c r="G122" s="3289"/>
      <c r="H122" s="3289"/>
    </row>
    <row r="123" spans="1:8" ht="12.75" customHeight="1">
      <c r="C123" s="1788"/>
      <c r="D123" s="1786" t="s">
        <v>3236</v>
      </c>
      <c r="E123" s="3355" t="s">
        <v>3400</v>
      </c>
      <c r="F123" s="3355"/>
      <c r="G123" s="3355"/>
      <c r="H123" s="3355"/>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3401</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289" t="s">
        <v>3237</v>
      </c>
      <c r="F128" s="3289"/>
      <c r="G128" s="3289"/>
      <c r="H128" s="3289"/>
    </row>
    <row r="129" spans="1:8" ht="12.75" customHeight="1">
      <c r="C129" s="1787" t="s">
        <v>4824</v>
      </c>
      <c r="E129" s="3289" t="s">
        <v>3399</v>
      </c>
      <c r="F129" s="3289"/>
      <c r="G129" s="3289"/>
      <c r="H129" s="3289"/>
    </row>
    <row r="130" spans="1:8" ht="12.75" customHeight="1">
      <c r="C130" s="1788"/>
      <c r="D130" s="1785" t="s">
        <v>3236</v>
      </c>
      <c r="E130" s="3356" t="s">
        <v>3400</v>
      </c>
      <c r="F130" s="3356"/>
      <c r="G130" s="3356"/>
      <c r="H130" s="3356"/>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289" t="s">
        <v>3237</v>
      </c>
      <c r="F133" s="3289"/>
      <c r="G133" s="3289"/>
      <c r="H133" s="3289"/>
    </row>
    <row r="134" spans="1:8" ht="12.75" customHeight="1">
      <c r="C134" s="1787" t="s">
        <v>4824</v>
      </c>
      <c r="E134" s="3289" t="s">
        <v>3399</v>
      </c>
      <c r="F134" s="3289"/>
      <c r="G134" s="3289"/>
      <c r="H134" s="3289"/>
    </row>
    <row r="135" spans="1:8" ht="12.75" customHeight="1">
      <c r="C135" s="1788"/>
      <c r="D135" s="1786" t="s">
        <v>3236</v>
      </c>
      <c r="E135" s="3355" t="s">
        <v>3400</v>
      </c>
      <c r="F135" s="3355"/>
      <c r="G135" s="3355"/>
      <c r="H135" s="3355"/>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289" t="s">
        <v>3237</v>
      </c>
      <c r="F138" s="3289"/>
      <c r="G138" s="3289"/>
      <c r="H138" s="3289"/>
    </row>
    <row r="139" spans="1:8" ht="12.75" customHeight="1">
      <c r="C139" s="1787" t="s">
        <v>4824</v>
      </c>
      <c r="E139" s="3289" t="s">
        <v>3399</v>
      </c>
      <c r="F139" s="3289"/>
      <c r="G139" s="3289"/>
      <c r="H139" s="3289"/>
    </row>
    <row r="140" spans="1:8" ht="12.75" customHeight="1">
      <c r="C140" s="1788"/>
      <c r="D140" s="1786" t="s">
        <v>3236</v>
      </c>
      <c r="E140" s="3355" t="s">
        <v>3400</v>
      </c>
      <c r="F140" s="3355"/>
      <c r="G140" s="3355"/>
      <c r="H140" s="3355"/>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3402</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289" t="s">
        <v>3237</v>
      </c>
      <c r="F145" s="3289"/>
      <c r="G145" s="3289"/>
      <c r="H145" s="3289"/>
    </row>
    <row r="146" spans="1:8" ht="12.75" customHeight="1">
      <c r="C146" s="1787" t="s">
        <v>4824</v>
      </c>
      <c r="E146" s="3289" t="s">
        <v>3399</v>
      </c>
      <c r="F146" s="3289"/>
      <c r="G146" s="3289"/>
      <c r="H146" s="3289"/>
    </row>
    <row r="147" spans="1:8" ht="12.75" customHeight="1">
      <c r="C147" s="1788"/>
      <c r="D147" s="1785" t="s">
        <v>3236</v>
      </c>
      <c r="E147" s="3356" t="s">
        <v>3400</v>
      </c>
      <c r="F147" s="3356"/>
      <c r="G147" s="3356"/>
      <c r="H147" s="3356"/>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289" t="s">
        <v>3237</v>
      </c>
      <c r="F150" s="3289"/>
      <c r="G150" s="3289"/>
      <c r="H150" s="3289"/>
    </row>
    <row r="151" spans="1:8" ht="12.75" customHeight="1">
      <c r="C151" s="1787" t="s">
        <v>4824</v>
      </c>
      <c r="E151" s="3289" t="s">
        <v>3399</v>
      </c>
      <c r="F151" s="3289"/>
      <c r="G151" s="3289"/>
      <c r="H151" s="3289"/>
    </row>
    <row r="152" spans="1:8" ht="12.75" customHeight="1">
      <c r="C152" s="1788"/>
      <c r="D152" s="1786" t="s">
        <v>3236</v>
      </c>
      <c r="E152" s="3355" t="s">
        <v>3400</v>
      </c>
      <c r="F152" s="3355"/>
      <c r="G152" s="3355"/>
      <c r="H152" s="3355"/>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289" t="s">
        <v>3237</v>
      </c>
      <c r="F155" s="3289"/>
      <c r="G155" s="3289"/>
      <c r="H155" s="3289"/>
    </row>
    <row r="156" spans="1:8" ht="12.75" customHeight="1">
      <c r="C156" s="1787" t="s">
        <v>4824</v>
      </c>
      <c r="E156" s="3289" t="s">
        <v>3399</v>
      </c>
      <c r="F156" s="3289"/>
      <c r="G156" s="3289"/>
      <c r="H156" s="3289"/>
    </row>
    <row r="157" spans="1:8" ht="12.75" customHeight="1">
      <c r="C157" s="1788"/>
      <c r="D157" s="1786" t="s">
        <v>3236</v>
      </c>
      <c r="E157" s="3355" t="s">
        <v>3400</v>
      </c>
      <c r="F157" s="3355"/>
      <c r="G157" s="3355"/>
      <c r="H157" s="3355"/>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3403</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289" t="s">
        <v>3237</v>
      </c>
      <c r="F162" s="3289"/>
      <c r="G162" s="3289"/>
      <c r="H162" s="3289"/>
    </row>
    <row r="163" spans="1:8" ht="12.75" customHeight="1">
      <c r="C163" s="1787" t="s">
        <v>4824</v>
      </c>
      <c r="E163" s="3289" t="s">
        <v>3399</v>
      </c>
      <c r="F163" s="3289"/>
      <c r="G163" s="3289"/>
      <c r="H163" s="3289"/>
    </row>
    <row r="164" spans="1:8" ht="12.75" customHeight="1">
      <c r="C164" s="1788"/>
      <c r="D164" s="1785" t="s">
        <v>3236</v>
      </c>
      <c r="E164" s="3356" t="s">
        <v>3400</v>
      </c>
      <c r="F164" s="3356"/>
      <c r="G164" s="3356"/>
      <c r="H164" s="3356"/>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289" t="s">
        <v>3237</v>
      </c>
      <c r="F167" s="3289"/>
      <c r="G167" s="3289"/>
      <c r="H167" s="3289"/>
    </row>
    <row r="168" spans="1:8" ht="12.75" customHeight="1">
      <c r="C168" s="1787" t="s">
        <v>4824</v>
      </c>
      <c r="E168" s="3289" t="s">
        <v>3399</v>
      </c>
      <c r="F168" s="3289"/>
      <c r="G168" s="3289"/>
      <c r="H168" s="3289"/>
    </row>
    <row r="169" spans="1:8" ht="12.75" customHeight="1">
      <c r="C169" s="1788"/>
      <c r="D169" s="1786" t="s">
        <v>3236</v>
      </c>
      <c r="E169" s="3355" t="s">
        <v>3400</v>
      </c>
      <c r="F169" s="3355"/>
      <c r="G169" s="3355"/>
      <c r="H169" s="3355"/>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289" t="s">
        <v>3237</v>
      </c>
      <c r="F172" s="3289"/>
      <c r="G172" s="3289"/>
      <c r="H172" s="3289"/>
    </row>
    <row r="173" spans="1:8" ht="12.75" customHeight="1">
      <c r="C173" s="1787" t="s">
        <v>4824</v>
      </c>
      <c r="E173" s="3289" t="s">
        <v>3399</v>
      </c>
      <c r="F173" s="3289"/>
      <c r="G173" s="3289"/>
      <c r="H173" s="3289"/>
    </row>
    <row r="174" spans="1:8" ht="12.75" customHeight="1">
      <c r="C174" s="1788"/>
      <c r="D174" s="1786" t="s">
        <v>3236</v>
      </c>
      <c r="E174" s="3355" t="s">
        <v>3400</v>
      </c>
      <c r="F174" s="3355"/>
      <c r="G174" s="3355"/>
      <c r="H174" s="3355"/>
    </row>
    <row r="175" spans="1:8" ht="6" customHeight="1">
      <c r="D175" s="814"/>
      <c r="E175" s="1784"/>
      <c r="F175" s="1784"/>
      <c r="G175" s="1784"/>
      <c r="H175" s="1784"/>
    </row>
    <row r="176" spans="1:8">
      <c r="A176" s="785" t="s">
        <v>3232</v>
      </c>
      <c r="B176" s="812" t="str">
        <f>IF('Part VI-Revenues &amp; Expenses'!$O61=0,"",'Part VI-Revenues &amp; Expenses'!$O$61)</f>
        <v/>
      </c>
      <c r="C176" s="785" t="s">
        <v>4822</v>
      </c>
      <c r="D176" s="813" t="s">
        <v>4823</v>
      </c>
    </row>
    <row r="177" spans="1:11" ht="1.95" customHeight="1"/>
    <row r="178" spans="1:11" ht="12.75" customHeight="1">
      <c r="C178" s="779" t="s">
        <v>3137</v>
      </c>
      <c r="D178" s="814" t="s">
        <v>1938</v>
      </c>
      <c r="E178" s="815"/>
      <c r="F178" s="3289" t="s">
        <v>3138</v>
      </c>
      <c r="G178" s="3289"/>
      <c r="H178" s="3289"/>
      <c r="K178" s="730" t="s">
        <v>238</v>
      </c>
    </row>
    <row r="179" spans="1:11" ht="12.75" customHeight="1">
      <c r="C179" s="816" t="s">
        <v>1326</v>
      </c>
      <c r="D179" s="814" t="s">
        <v>1940</v>
      </c>
      <c r="E179" s="3289" t="s">
        <v>3238</v>
      </c>
      <c r="F179" s="3289"/>
      <c r="G179" s="3289"/>
      <c r="H179" s="3289"/>
    </row>
    <row r="180" spans="1:11" ht="12.75" customHeight="1">
      <c r="E180" s="3289" t="s">
        <v>3399</v>
      </c>
      <c r="F180" s="3289"/>
      <c r="G180" s="3289"/>
      <c r="H180" s="3289"/>
    </row>
    <row r="181" spans="1:11" ht="12.75" customHeight="1">
      <c r="D181" s="817" t="s">
        <v>3236</v>
      </c>
      <c r="E181" s="3289" t="s">
        <v>3400</v>
      </c>
      <c r="F181" s="3289"/>
      <c r="G181" s="3289"/>
      <c r="H181" s="3289"/>
    </row>
    <row r="182" spans="1:11" ht="9" customHeight="1" thickBot="1"/>
    <row r="183" spans="1:11" ht="16.2" customHeight="1" thickBot="1">
      <c r="A183" s="3353">
        <v>40</v>
      </c>
      <c r="B183" s="3354"/>
      <c r="C183" s="1789" t="s">
        <v>1018</v>
      </c>
    </row>
    <row r="184" spans="1:11" ht="9" customHeight="1">
      <c r="A184" s="752"/>
    </row>
    <row r="185" spans="1:11" ht="28.2" customHeight="1">
      <c r="A185" s="3357" t="s">
        <v>4828</v>
      </c>
      <c r="B185" s="3357"/>
      <c r="C185" s="3357"/>
      <c r="D185" s="3357"/>
      <c r="E185" s="3357"/>
      <c r="F185" s="3357"/>
      <c r="G185" s="3357"/>
      <c r="H185" s="3357"/>
    </row>
    <row r="186" spans="1:11" ht="9" customHeight="1">
      <c r="A186" s="752"/>
    </row>
    <row r="187" spans="1:11">
      <c r="A187" s="785" t="s">
        <v>3232</v>
      </c>
      <c r="B187" s="812" t="str">
        <f>IF('Part VI-Revenues &amp; Expenses'!$K$60=0,"",'Part VI-Revenues &amp; Expenses'!$K$60)</f>
        <v/>
      </c>
      <c r="C187" s="785" t="s">
        <v>4819</v>
      </c>
      <c r="D187" s="813" t="s">
        <v>4820</v>
      </c>
    </row>
    <row r="188" spans="1:11" ht="1.95" customHeight="1"/>
    <row r="189" spans="1:11" ht="12.75" customHeight="1">
      <c r="C189" s="779" t="s">
        <v>3137</v>
      </c>
      <c r="D189" s="814" t="s">
        <v>1938</v>
      </c>
      <c r="E189" s="815"/>
      <c r="F189" s="3289" t="s">
        <v>3138</v>
      </c>
      <c r="G189" s="3289"/>
      <c r="H189" s="3289"/>
    </row>
    <row r="190" spans="1:11" ht="12.75" customHeight="1">
      <c r="C190" s="816" t="s">
        <v>1326</v>
      </c>
      <c r="D190" s="814" t="s">
        <v>1940</v>
      </c>
      <c r="E190" s="3289" t="s">
        <v>3237</v>
      </c>
      <c r="F190" s="3289"/>
      <c r="G190" s="3289"/>
      <c r="H190" s="3289"/>
    </row>
    <row r="191" spans="1:11" ht="12.75" customHeight="1">
      <c r="C191" s="1787" t="s">
        <v>4824</v>
      </c>
      <c r="E191" s="3289" t="s">
        <v>3399</v>
      </c>
      <c r="F191" s="3289"/>
      <c r="G191" s="3289"/>
      <c r="H191" s="3289"/>
    </row>
    <row r="192" spans="1:11" ht="12.75" customHeight="1">
      <c r="C192" s="1788"/>
      <c r="D192" s="1786" t="s">
        <v>3236</v>
      </c>
      <c r="E192" s="3355" t="s">
        <v>3400</v>
      </c>
      <c r="F192" s="3355"/>
      <c r="G192" s="3355"/>
      <c r="H192" s="3355"/>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289" t="s">
        <v>3237</v>
      </c>
      <c r="F195" s="3289"/>
      <c r="G195" s="3289"/>
      <c r="H195" s="3289"/>
    </row>
    <row r="196" spans="1:8" ht="12.75" customHeight="1">
      <c r="C196" s="1787" t="s">
        <v>4824</v>
      </c>
      <c r="E196" s="3289" t="s">
        <v>3399</v>
      </c>
      <c r="F196" s="3289"/>
      <c r="G196" s="3289"/>
      <c r="H196" s="3289"/>
    </row>
    <row r="197" spans="1:8" ht="12.75" customHeight="1">
      <c r="C197" s="1788"/>
      <c r="D197" s="1786" t="s">
        <v>3236</v>
      </c>
      <c r="E197" s="3355" t="s">
        <v>3400</v>
      </c>
      <c r="F197" s="3355"/>
      <c r="G197" s="3355"/>
      <c r="H197" s="3355"/>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289" t="s">
        <v>3237</v>
      </c>
      <c r="F200" s="3289"/>
      <c r="G200" s="3289"/>
      <c r="H200" s="3289"/>
    </row>
    <row r="201" spans="1:8" ht="12.75" customHeight="1">
      <c r="C201" s="1787" t="s">
        <v>4824</v>
      </c>
      <c r="E201" s="3289" t="s">
        <v>3399</v>
      </c>
      <c r="F201" s="3289"/>
      <c r="G201" s="3289"/>
      <c r="H201" s="3289"/>
    </row>
    <row r="202" spans="1:8" ht="12.75" customHeight="1">
      <c r="C202" s="1788"/>
      <c r="D202" s="1786" t="s">
        <v>3236</v>
      </c>
      <c r="E202" s="3355" t="s">
        <v>3400</v>
      </c>
      <c r="F202" s="3355"/>
      <c r="G202" s="3355"/>
      <c r="H202" s="3355"/>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3401</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289" t="s">
        <v>3237</v>
      </c>
      <c r="F207" s="3289"/>
      <c r="G207" s="3289"/>
      <c r="H207" s="3289"/>
    </row>
    <row r="208" spans="1:8" ht="12.75" customHeight="1">
      <c r="C208" s="1787" t="s">
        <v>4824</v>
      </c>
      <c r="E208" s="3289" t="s">
        <v>3399</v>
      </c>
      <c r="F208" s="3289"/>
      <c r="G208" s="3289"/>
      <c r="H208" s="3289"/>
    </row>
    <row r="209" spans="1:8" ht="12.75" customHeight="1">
      <c r="C209" s="1788"/>
      <c r="D209" s="1785" t="s">
        <v>3236</v>
      </c>
      <c r="E209" s="3356" t="s">
        <v>3400</v>
      </c>
      <c r="F209" s="3356"/>
      <c r="G209" s="3356"/>
      <c r="H209" s="3356"/>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289" t="s">
        <v>3237</v>
      </c>
      <c r="F212" s="3289"/>
      <c r="G212" s="3289"/>
      <c r="H212" s="3289"/>
    </row>
    <row r="213" spans="1:8" ht="12.75" customHeight="1">
      <c r="C213" s="1787" t="s">
        <v>4824</v>
      </c>
      <c r="E213" s="3289" t="s">
        <v>3399</v>
      </c>
      <c r="F213" s="3289"/>
      <c r="G213" s="3289"/>
      <c r="H213" s="3289"/>
    </row>
    <row r="214" spans="1:8" ht="12.75" customHeight="1">
      <c r="C214" s="1788"/>
      <c r="D214" s="1786" t="s">
        <v>3236</v>
      </c>
      <c r="E214" s="3355" t="s">
        <v>3400</v>
      </c>
      <c r="F214" s="3355"/>
      <c r="G214" s="3355"/>
      <c r="H214" s="3355"/>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289" t="s">
        <v>3237</v>
      </c>
      <c r="F217" s="3289"/>
      <c r="G217" s="3289"/>
      <c r="H217" s="3289"/>
    </row>
    <row r="218" spans="1:8" ht="12.75" customHeight="1">
      <c r="C218" s="1787" t="s">
        <v>4824</v>
      </c>
      <c r="E218" s="3289" t="s">
        <v>3399</v>
      </c>
      <c r="F218" s="3289"/>
      <c r="G218" s="3289"/>
      <c r="H218" s="3289"/>
    </row>
    <row r="219" spans="1:8" ht="12.75" customHeight="1">
      <c r="C219" s="1788"/>
      <c r="D219" s="1786" t="s">
        <v>3236</v>
      </c>
      <c r="E219" s="3355" t="s">
        <v>3400</v>
      </c>
      <c r="F219" s="3355"/>
      <c r="G219" s="3355"/>
      <c r="H219" s="3355"/>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3402</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289" t="s">
        <v>3237</v>
      </c>
      <c r="F224" s="3289"/>
      <c r="G224" s="3289"/>
      <c r="H224" s="3289"/>
    </row>
    <row r="225" spans="1:8" ht="12.75" customHeight="1">
      <c r="C225" s="1787" t="s">
        <v>4824</v>
      </c>
      <c r="E225" s="3289" t="s">
        <v>3399</v>
      </c>
      <c r="F225" s="3289"/>
      <c r="G225" s="3289"/>
      <c r="H225" s="3289"/>
    </row>
    <row r="226" spans="1:8" ht="12.75" customHeight="1">
      <c r="C226" s="1788"/>
      <c r="D226" s="1785" t="s">
        <v>3236</v>
      </c>
      <c r="E226" s="3356" t="s">
        <v>3400</v>
      </c>
      <c r="F226" s="3356"/>
      <c r="G226" s="3356"/>
      <c r="H226" s="3356"/>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289" t="s">
        <v>3237</v>
      </c>
      <c r="F229" s="3289"/>
      <c r="G229" s="3289"/>
      <c r="H229" s="3289"/>
    </row>
    <row r="230" spans="1:8" ht="12.75" customHeight="1">
      <c r="C230" s="1787" t="s">
        <v>4824</v>
      </c>
      <c r="E230" s="3289" t="s">
        <v>3399</v>
      </c>
      <c r="F230" s="3289"/>
      <c r="G230" s="3289"/>
      <c r="H230" s="3289"/>
    </row>
    <row r="231" spans="1:8" ht="12.75" customHeight="1">
      <c r="C231" s="1788"/>
      <c r="D231" s="1786" t="s">
        <v>3236</v>
      </c>
      <c r="E231" s="3355" t="s">
        <v>3400</v>
      </c>
      <c r="F231" s="3355"/>
      <c r="G231" s="3355"/>
      <c r="H231" s="3355"/>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289" t="s">
        <v>3237</v>
      </c>
      <c r="F234" s="3289"/>
      <c r="G234" s="3289"/>
      <c r="H234" s="3289"/>
    </row>
    <row r="235" spans="1:8" ht="12.75" customHeight="1">
      <c r="C235" s="1787" t="s">
        <v>4824</v>
      </c>
      <c r="E235" s="3289" t="s">
        <v>3399</v>
      </c>
      <c r="F235" s="3289"/>
      <c r="G235" s="3289"/>
      <c r="H235" s="3289"/>
    </row>
    <row r="236" spans="1:8" ht="12.75" customHeight="1">
      <c r="C236" s="1788"/>
      <c r="D236" s="1786" t="s">
        <v>3236</v>
      </c>
      <c r="E236" s="3355" t="s">
        <v>3400</v>
      </c>
      <c r="F236" s="3355"/>
      <c r="G236" s="3355"/>
      <c r="H236" s="3355"/>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3403</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289" t="s">
        <v>3237</v>
      </c>
      <c r="F241" s="3289"/>
      <c r="G241" s="3289"/>
      <c r="H241" s="3289"/>
    </row>
    <row r="242" spans="1:8" ht="12.75" customHeight="1">
      <c r="C242" s="1787" t="s">
        <v>4824</v>
      </c>
      <c r="E242" s="3289" t="s">
        <v>3399</v>
      </c>
      <c r="F242" s="3289"/>
      <c r="G242" s="3289"/>
      <c r="H242" s="3289"/>
    </row>
    <row r="243" spans="1:8" ht="12.75" customHeight="1">
      <c r="C243" s="1788"/>
      <c r="D243" s="1785" t="s">
        <v>3236</v>
      </c>
      <c r="E243" s="3356" t="s">
        <v>3400</v>
      </c>
      <c r="F243" s="3356"/>
      <c r="G243" s="3356"/>
      <c r="H243" s="3356"/>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289" t="s">
        <v>3237</v>
      </c>
      <c r="F246" s="3289"/>
      <c r="G246" s="3289"/>
      <c r="H246" s="3289"/>
    </row>
    <row r="247" spans="1:8" ht="12.75" customHeight="1">
      <c r="C247" s="1787" t="s">
        <v>4824</v>
      </c>
      <c r="E247" s="3289" t="s">
        <v>3399</v>
      </c>
      <c r="F247" s="3289"/>
      <c r="G247" s="3289"/>
      <c r="H247" s="3289"/>
    </row>
    <row r="248" spans="1:8" ht="12.75" customHeight="1">
      <c r="C248" s="1788"/>
      <c r="D248" s="1786" t="s">
        <v>3236</v>
      </c>
      <c r="E248" s="3355" t="s">
        <v>3400</v>
      </c>
      <c r="F248" s="3355"/>
      <c r="G248" s="3355"/>
      <c r="H248" s="3355"/>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289" t="s">
        <v>3237</v>
      </c>
      <c r="F251" s="3289"/>
      <c r="G251" s="3289"/>
      <c r="H251" s="3289"/>
    </row>
    <row r="252" spans="1:8" ht="12.75" customHeight="1">
      <c r="C252" s="1787" t="s">
        <v>4824</v>
      </c>
      <c r="E252" s="3289" t="s">
        <v>3399</v>
      </c>
      <c r="F252" s="3289"/>
      <c r="G252" s="3289"/>
      <c r="H252" s="3289"/>
    </row>
    <row r="253" spans="1:8" ht="12.75" customHeight="1">
      <c r="C253" s="1788"/>
      <c r="D253" s="1786" t="s">
        <v>3236</v>
      </c>
      <c r="E253" s="3355" t="s">
        <v>3400</v>
      </c>
      <c r="F253" s="3355"/>
      <c r="G253" s="3355"/>
      <c r="H253" s="3355"/>
    </row>
    <row r="254" spans="1:8" ht="6" customHeight="1">
      <c r="D254" s="814"/>
      <c r="E254" s="1784"/>
      <c r="F254" s="1784"/>
      <c r="G254" s="1784"/>
      <c r="H254" s="1784"/>
    </row>
    <row r="255" spans="1:8">
      <c r="A255" s="785" t="s">
        <v>3232</v>
      </c>
      <c r="B255" s="812" t="str">
        <f>IF('Part VI-Revenues &amp; Expenses'!$O$60=0,"",'Part VI-Revenues &amp; Expenses'!$O$60)</f>
        <v/>
      </c>
      <c r="C255" s="785" t="s">
        <v>4822</v>
      </c>
      <c r="D255" s="813" t="s">
        <v>4823</v>
      </c>
    </row>
    <row r="256" spans="1:8" ht="1.95" customHeight="1"/>
    <row r="257" spans="1:11" ht="12.75" customHeight="1">
      <c r="C257" s="779" t="s">
        <v>3137</v>
      </c>
      <c r="D257" s="814" t="s">
        <v>1938</v>
      </c>
      <c r="E257" s="815"/>
      <c r="F257" s="3289" t="s">
        <v>3138</v>
      </c>
      <c r="G257" s="3289"/>
      <c r="H257" s="3289"/>
      <c r="K257" s="730" t="s">
        <v>238</v>
      </c>
    </row>
    <row r="258" spans="1:11" ht="12.75" customHeight="1">
      <c r="C258" s="816" t="s">
        <v>1326</v>
      </c>
      <c r="D258" s="814" t="s">
        <v>1940</v>
      </c>
      <c r="E258" s="3289" t="s">
        <v>3238</v>
      </c>
      <c r="F258" s="3289"/>
      <c r="G258" s="3289"/>
      <c r="H258" s="3289"/>
    </row>
    <row r="259" spans="1:11" ht="12.75" customHeight="1">
      <c r="E259" s="3289" t="s">
        <v>3399</v>
      </c>
      <c r="F259" s="3289"/>
      <c r="G259" s="3289"/>
      <c r="H259" s="3289"/>
    </row>
    <row r="260" spans="1:11" ht="12.75" customHeight="1">
      <c r="D260" s="817" t="s">
        <v>3236</v>
      </c>
      <c r="E260" s="3289" t="s">
        <v>3400</v>
      </c>
      <c r="F260" s="3289"/>
      <c r="G260" s="3289"/>
      <c r="H260" s="3289"/>
    </row>
    <row r="261" spans="1:11" ht="9" customHeight="1" thickBot="1"/>
    <row r="262" spans="1:11" ht="16.2" customHeight="1" thickBot="1">
      <c r="A262" s="3353">
        <v>50</v>
      </c>
      <c r="B262" s="3354"/>
      <c r="C262" s="1789" t="s">
        <v>1018</v>
      </c>
    </row>
    <row r="263" spans="1:11" ht="9" customHeight="1">
      <c r="A263" s="752"/>
    </row>
    <row r="264" spans="1:11" ht="28.2" customHeight="1">
      <c r="A264" s="3357" t="s">
        <v>4825</v>
      </c>
      <c r="B264" s="3357"/>
      <c r="C264" s="3357"/>
      <c r="D264" s="3357"/>
      <c r="E264" s="3357"/>
      <c r="F264" s="3357"/>
      <c r="G264" s="3357"/>
      <c r="H264" s="3357"/>
    </row>
    <row r="265" spans="1:11" ht="9" customHeight="1">
      <c r="A265" s="752"/>
    </row>
    <row r="266" spans="1:11">
      <c r="A266" s="785" t="s">
        <v>3232</v>
      </c>
      <c r="B266" s="812" t="str">
        <f>IF('Part VI-Revenues &amp; Expenses'!$K$59=0,"",'Part VI-Revenues &amp; Expenses'!$K$59)</f>
        <v/>
      </c>
      <c r="C266" s="785" t="s">
        <v>4819</v>
      </c>
      <c r="D266" s="813" t="s">
        <v>4820</v>
      </c>
    </row>
    <row r="267" spans="1:11" ht="1.95" customHeight="1"/>
    <row r="268" spans="1:11" ht="12.75" customHeight="1">
      <c r="C268" s="779" t="s">
        <v>3137</v>
      </c>
      <c r="D268" s="814" t="s">
        <v>1938</v>
      </c>
      <c r="E268" s="815"/>
      <c r="F268" s="3289" t="s">
        <v>3138</v>
      </c>
      <c r="G268" s="3289"/>
      <c r="H268" s="3289"/>
    </row>
    <row r="269" spans="1:11" ht="12.75" customHeight="1">
      <c r="C269" s="816" t="s">
        <v>1326</v>
      </c>
      <c r="D269" s="814" t="s">
        <v>1940</v>
      </c>
      <c r="E269" s="3289" t="s">
        <v>3237</v>
      </c>
      <c r="F269" s="3289"/>
      <c r="G269" s="3289"/>
      <c r="H269" s="3289"/>
    </row>
    <row r="270" spans="1:11" ht="12.75" customHeight="1">
      <c r="C270" s="1787" t="s">
        <v>4824</v>
      </c>
      <c r="E270" s="3289" t="s">
        <v>3399</v>
      </c>
      <c r="F270" s="3289"/>
      <c r="G270" s="3289"/>
      <c r="H270" s="3289"/>
    </row>
    <row r="271" spans="1:11" ht="12.75" customHeight="1">
      <c r="C271" s="1788"/>
      <c r="D271" s="1786" t="s">
        <v>3236</v>
      </c>
      <c r="E271" s="3355" t="s">
        <v>3400</v>
      </c>
      <c r="F271" s="3355"/>
      <c r="G271" s="3355"/>
      <c r="H271" s="3355"/>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289" t="s">
        <v>3237</v>
      </c>
      <c r="F274" s="3289"/>
      <c r="G274" s="3289"/>
      <c r="H274" s="3289"/>
    </row>
    <row r="275" spans="1:8" ht="12.75" customHeight="1">
      <c r="C275" s="1787" t="s">
        <v>4824</v>
      </c>
      <c r="E275" s="3289" t="s">
        <v>3399</v>
      </c>
      <c r="F275" s="3289"/>
      <c r="G275" s="3289"/>
      <c r="H275" s="3289"/>
    </row>
    <row r="276" spans="1:8" ht="12.75" customHeight="1">
      <c r="C276" s="1788"/>
      <c r="D276" s="1786" t="s">
        <v>3236</v>
      </c>
      <c r="E276" s="3355" t="s">
        <v>3400</v>
      </c>
      <c r="F276" s="3355"/>
      <c r="G276" s="3355"/>
      <c r="H276" s="3355"/>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289" t="s">
        <v>3237</v>
      </c>
      <c r="F279" s="3289"/>
      <c r="G279" s="3289"/>
      <c r="H279" s="3289"/>
    </row>
    <row r="280" spans="1:8" ht="12.75" customHeight="1">
      <c r="C280" s="1787" t="s">
        <v>4824</v>
      </c>
      <c r="E280" s="3289" t="s">
        <v>3399</v>
      </c>
      <c r="F280" s="3289"/>
      <c r="G280" s="3289"/>
      <c r="H280" s="3289"/>
    </row>
    <row r="281" spans="1:8" ht="12.75" customHeight="1">
      <c r="C281" s="1788"/>
      <c r="D281" s="1786" t="s">
        <v>3236</v>
      </c>
      <c r="E281" s="3355" t="s">
        <v>3400</v>
      </c>
      <c r="F281" s="3355"/>
      <c r="G281" s="3355"/>
      <c r="H281" s="3355"/>
    </row>
    <row r="282" spans="1:8" ht="6" customHeight="1">
      <c r="D282" s="814"/>
      <c r="E282" s="1784"/>
      <c r="F282" s="1784"/>
      <c r="G282" s="1784"/>
      <c r="H282" s="1784"/>
    </row>
    <row r="283" spans="1:8">
      <c r="A283" s="785" t="s">
        <v>3232</v>
      </c>
      <c r="B283" s="812">
        <f>IF('Part VI-Revenues &amp; Expenses'!$L$59=0,"",'Part VI-Revenues &amp; Expenses'!$L$59)</f>
        <v>5</v>
      </c>
      <c r="C283" s="785" t="s">
        <v>3233</v>
      </c>
      <c r="D283" s="813" t="s">
        <v>3401</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289" t="s">
        <v>3237</v>
      </c>
      <c r="F286" s="3289"/>
      <c r="G286" s="3289"/>
      <c r="H286" s="3289"/>
    </row>
    <row r="287" spans="1:8" ht="12.75" customHeight="1">
      <c r="C287" s="1787" t="s">
        <v>4824</v>
      </c>
      <c r="E287" s="3289" t="s">
        <v>3399</v>
      </c>
      <c r="F287" s="3289"/>
      <c r="G287" s="3289"/>
      <c r="H287" s="3289"/>
    </row>
    <row r="288" spans="1:8" ht="12.75" customHeight="1">
      <c r="C288" s="1788"/>
      <c r="D288" s="1785" t="s">
        <v>3236</v>
      </c>
      <c r="E288" s="3356" t="s">
        <v>3400</v>
      </c>
      <c r="F288" s="3356"/>
      <c r="G288" s="3356"/>
      <c r="H288" s="3356"/>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289" t="s">
        <v>3237</v>
      </c>
      <c r="F291" s="3289"/>
      <c r="G291" s="3289"/>
      <c r="H291" s="3289"/>
    </row>
    <row r="292" spans="1:8" ht="12.75" customHeight="1">
      <c r="C292" s="1787" t="s">
        <v>4824</v>
      </c>
      <c r="E292" s="3289" t="s">
        <v>3399</v>
      </c>
      <c r="F292" s="3289"/>
      <c r="G292" s="3289"/>
      <c r="H292" s="3289"/>
    </row>
    <row r="293" spans="1:8" ht="12.75" customHeight="1">
      <c r="C293" s="1788"/>
      <c r="D293" s="1786" t="s">
        <v>3236</v>
      </c>
      <c r="E293" s="3355" t="s">
        <v>3400</v>
      </c>
      <c r="F293" s="3355"/>
      <c r="G293" s="3355"/>
      <c r="H293" s="3355"/>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289" t="s">
        <v>3237</v>
      </c>
      <c r="F296" s="3289"/>
      <c r="G296" s="3289"/>
      <c r="H296" s="3289"/>
    </row>
    <row r="297" spans="1:8" ht="12.75" customHeight="1">
      <c r="C297" s="1787" t="s">
        <v>4824</v>
      </c>
      <c r="E297" s="3289" t="s">
        <v>3399</v>
      </c>
      <c r="F297" s="3289"/>
      <c r="G297" s="3289"/>
      <c r="H297" s="3289"/>
    </row>
    <row r="298" spans="1:8" ht="12.75" customHeight="1">
      <c r="C298" s="1788"/>
      <c r="D298" s="1786" t="s">
        <v>3236</v>
      </c>
      <c r="E298" s="3355" t="s">
        <v>3400</v>
      </c>
      <c r="F298" s="3355"/>
      <c r="G298" s="3355"/>
      <c r="H298" s="3355"/>
    </row>
    <row r="299" spans="1:8" ht="6" customHeight="1">
      <c r="D299" s="814"/>
      <c r="E299" s="1784"/>
      <c r="F299" s="1784"/>
      <c r="G299" s="1784"/>
      <c r="H299" s="1784"/>
    </row>
    <row r="300" spans="1:8">
      <c r="A300" s="785" t="s">
        <v>3232</v>
      </c>
      <c r="B300" s="812">
        <f>IF('Part VI-Revenues &amp; Expenses'!$M$59=0,"",'Part VI-Revenues &amp; Expenses'!$M$59)</f>
        <v>5</v>
      </c>
      <c r="C300" s="785" t="s">
        <v>3234</v>
      </c>
      <c r="D300" s="813" t="s">
        <v>3402</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289" t="s">
        <v>3237</v>
      </c>
      <c r="F303" s="3289"/>
      <c r="G303" s="3289"/>
      <c r="H303" s="3289"/>
    </row>
    <row r="304" spans="1:8" ht="12.75" customHeight="1">
      <c r="C304" s="1787" t="s">
        <v>4824</v>
      </c>
      <c r="E304" s="3289" t="s">
        <v>3399</v>
      </c>
      <c r="F304" s="3289"/>
      <c r="G304" s="3289"/>
      <c r="H304" s="3289"/>
    </row>
    <row r="305" spans="1:8" ht="12.75" customHeight="1">
      <c r="C305" s="1788"/>
      <c r="D305" s="1785" t="s">
        <v>3236</v>
      </c>
      <c r="E305" s="3356" t="s">
        <v>3400</v>
      </c>
      <c r="F305" s="3356"/>
      <c r="G305" s="3356"/>
      <c r="H305" s="3356"/>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289" t="s">
        <v>3237</v>
      </c>
      <c r="F308" s="3289"/>
      <c r="G308" s="3289"/>
      <c r="H308" s="3289"/>
    </row>
    <row r="309" spans="1:8" ht="12.75" customHeight="1">
      <c r="C309" s="1787" t="s">
        <v>4824</v>
      </c>
      <c r="E309" s="3289" t="s">
        <v>3399</v>
      </c>
      <c r="F309" s="3289"/>
      <c r="G309" s="3289"/>
      <c r="H309" s="3289"/>
    </row>
    <row r="310" spans="1:8" ht="12.75" customHeight="1">
      <c r="C310" s="1788"/>
      <c r="D310" s="1786" t="s">
        <v>3236</v>
      </c>
      <c r="E310" s="3355" t="s">
        <v>3400</v>
      </c>
      <c r="F310" s="3355"/>
      <c r="G310" s="3355"/>
      <c r="H310" s="3355"/>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289" t="s">
        <v>3237</v>
      </c>
      <c r="F313" s="3289"/>
      <c r="G313" s="3289"/>
      <c r="H313" s="3289"/>
    </row>
    <row r="314" spans="1:8" ht="12.75" customHeight="1">
      <c r="C314" s="1787" t="s">
        <v>4824</v>
      </c>
      <c r="E314" s="3289" t="s">
        <v>3399</v>
      </c>
      <c r="F314" s="3289"/>
      <c r="G314" s="3289"/>
      <c r="H314" s="3289"/>
    </row>
    <row r="315" spans="1:8" ht="12.75" customHeight="1">
      <c r="C315" s="1788"/>
      <c r="D315" s="1786" t="s">
        <v>3236</v>
      </c>
      <c r="E315" s="3355" t="s">
        <v>3400</v>
      </c>
      <c r="F315" s="3355"/>
      <c r="G315" s="3355"/>
      <c r="H315" s="3355"/>
    </row>
    <row r="316" spans="1:8" ht="6" customHeight="1">
      <c r="D316" s="814"/>
      <c r="E316" s="1784"/>
      <c r="F316" s="1784"/>
      <c r="G316" s="1784"/>
      <c r="H316" s="1784"/>
    </row>
    <row r="317" spans="1:8">
      <c r="A317" s="785" t="s">
        <v>3232</v>
      </c>
      <c r="B317" s="812" t="str">
        <f>IF('Part VI-Revenues &amp; Expenses'!$N$59=0,"",'Part VI-Revenues &amp; Expenses'!$N$59)</f>
        <v/>
      </c>
      <c r="C317" s="785" t="s">
        <v>3235</v>
      </c>
      <c r="D317" s="813" t="s">
        <v>3403</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289" t="s">
        <v>3237</v>
      </c>
      <c r="F320" s="3289"/>
      <c r="G320" s="3289"/>
      <c r="H320" s="3289"/>
    </row>
    <row r="321" spans="1:11" ht="12.75" customHeight="1">
      <c r="C321" s="1787" t="s">
        <v>4824</v>
      </c>
      <c r="E321" s="3289" t="s">
        <v>3399</v>
      </c>
      <c r="F321" s="3289"/>
      <c r="G321" s="3289"/>
      <c r="H321" s="3289"/>
    </row>
    <row r="322" spans="1:11" ht="12.75" customHeight="1">
      <c r="C322" s="1788"/>
      <c r="D322" s="1785" t="s">
        <v>3236</v>
      </c>
      <c r="E322" s="3356" t="s">
        <v>3400</v>
      </c>
      <c r="F322" s="3356"/>
      <c r="G322" s="3356"/>
      <c r="H322" s="3356"/>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289" t="s">
        <v>3237</v>
      </c>
      <c r="F325" s="3289"/>
      <c r="G325" s="3289"/>
      <c r="H325" s="3289"/>
    </row>
    <row r="326" spans="1:11" ht="12.75" customHeight="1">
      <c r="C326" s="1787" t="s">
        <v>4824</v>
      </c>
      <c r="E326" s="3289" t="s">
        <v>3399</v>
      </c>
      <c r="F326" s="3289"/>
      <c r="G326" s="3289"/>
      <c r="H326" s="3289"/>
    </row>
    <row r="327" spans="1:11" ht="12.75" customHeight="1">
      <c r="C327" s="1788"/>
      <c r="D327" s="1786" t="s">
        <v>3236</v>
      </c>
      <c r="E327" s="3355" t="s">
        <v>3400</v>
      </c>
      <c r="F327" s="3355"/>
      <c r="G327" s="3355"/>
      <c r="H327" s="3355"/>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289" t="s">
        <v>3237</v>
      </c>
      <c r="F330" s="3289"/>
      <c r="G330" s="3289"/>
      <c r="H330" s="3289"/>
    </row>
    <row r="331" spans="1:11" ht="12.75" customHeight="1">
      <c r="C331" s="1787" t="s">
        <v>4824</v>
      </c>
      <c r="E331" s="3289" t="s">
        <v>3399</v>
      </c>
      <c r="F331" s="3289"/>
      <c r="G331" s="3289"/>
      <c r="H331" s="3289"/>
    </row>
    <row r="332" spans="1:11" ht="12.75" customHeight="1">
      <c r="C332" s="1788"/>
      <c r="D332" s="1786" t="s">
        <v>3236</v>
      </c>
      <c r="E332" s="3355" t="s">
        <v>3400</v>
      </c>
      <c r="F332" s="3355"/>
      <c r="G332" s="3355"/>
      <c r="H332" s="3355"/>
    </row>
    <row r="333" spans="1:11" ht="6" customHeight="1">
      <c r="D333" s="814"/>
      <c r="E333" s="1784"/>
      <c r="F333" s="1784"/>
      <c r="G333" s="1784"/>
      <c r="H333" s="1784"/>
    </row>
    <row r="334" spans="1:11">
      <c r="A334" s="785" t="s">
        <v>3232</v>
      </c>
      <c r="B334" s="812" t="str">
        <f>IF('Part VI-Revenues &amp; Expenses'!$O$59=0,"",'Part VI-Revenues &amp; Expenses'!$O$59)</f>
        <v/>
      </c>
      <c r="C334" s="785" t="s">
        <v>4822</v>
      </c>
      <c r="D334" s="813" t="s">
        <v>4823</v>
      </c>
    </row>
    <row r="335" spans="1:11" ht="1.95" customHeight="1"/>
    <row r="336" spans="1:11" ht="12.75" customHeight="1">
      <c r="C336" s="779" t="s">
        <v>3137</v>
      </c>
      <c r="D336" s="814" t="s">
        <v>1938</v>
      </c>
      <c r="E336" s="815"/>
      <c r="F336" s="3289" t="s">
        <v>3138</v>
      </c>
      <c r="G336" s="3289"/>
      <c r="H336" s="3289"/>
      <c r="K336" s="730" t="s">
        <v>238</v>
      </c>
    </row>
    <row r="337" spans="1:8" ht="12.75" customHeight="1">
      <c r="C337" s="816" t="s">
        <v>1326</v>
      </c>
      <c r="D337" s="814" t="s">
        <v>1940</v>
      </c>
      <c r="E337" s="3289" t="s">
        <v>3238</v>
      </c>
      <c r="F337" s="3289"/>
      <c r="G337" s="3289"/>
      <c r="H337" s="3289"/>
    </row>
    <row r="338" spans="1:8" ht="12.75" customHeight="1">
      <c r="E338" s="3289" t="s">
        <v>3399</v>
      </c>
      <c r="F338" s="3289"/>
      <c r="G338" s="3289"/>
      <c r="H338" s="3289"/>
    </row>
    <row r="339" spans="1:8" ht="12.75" customHeight="1">
      <c r="D339" s="817" t="s">
        <v>3236</v>
      </c>
      <c r="E339" s="3289" t="s">
        <v>3400</v>
      </c>
      <c r="F339" s="3289"/>
      <c r="G339" s="3289"/>
      <c r="H339" s="3289"/>
    </row>
    <row r="340" spans="1:8" ht="9" customHeight="1"/>
    <row r="341" spans="1:8" ht="7.5" customHeight="1" thickBot="1">
      <c r="E341" s="3289"/>
      <c r="F341" s="3289"/>
      <c r="G341" s="3289"/>
      <c r="H341" s="3289"/>
    </row>
    <row r="342" spans="1:8" ht="16.2" customHeight="1" thickBot="1">
      <c r="A342" s="3353">
        <v>60</v>
      </c>
      <c r="B342" s="3354"/>
      <c r="C342" s="1789" t="s">
        <v>1018</v>
      </c>
    </row>
    <row r="343" spans="1:8" ht="9" customHeight="1">
      <c r="A343" s="752"/>
    </row>
    <row r="344" spans="1:8" ht="28.2" customHeight="1">
      <c r="A344" s="3357" t="s">
        <v>4829</v>
      </c>
      <c r="B344" s="3357"/>
      <c r="C344" s="3357"/>
      <c r="D344" s="3357"/>
      <c r="E344" s="3357"/>
      <c r="F344" s="3357"/>
      <c r="G344" s="3357"/>
      <c r="H344" s="3357"/>
    </row>
    <row r="345" spans="1:8" ht="9" customHeight="1">
      <c r="A345" s="752"/>
    </row>
    <row r="346" spans="1:8">
      <c r="A346" s="785" t="s">
        <v>3232</v>
      </c>
      <c r="B346" s="812" t="str">
        <f>IF('Part VI-Revenues &amp; Expenses'!$K$58=0,"",'Part VI-Revenues &amp; Expenses'!$K$58)</f>
        <v/>
      </c>
      <c r="C346" s="785" t="s">
        <v>4819</v>
      </c>
      <c r="D346" s="813" t="s">
        <v>4820</v>
      </c>
    </row>
    <row r="347" spans="1:8" ht="1.95" customHeight="1"/>
    <row r="348" spans="1:8" ht="12.75" customHeight="1">
      <c r="C348" s="779" t="s">
        <v>3137</v>
      </c>
      <c r="D348" s="814" t="s">
        <v>1938</v>
      </c>
      <c r="E348" s="815"/>
      <c r="F348" s="3289" t="s">
        <v>3138</v>
      </c>
      <c r="G348" s="3289"/>
      <c r="H348" s="3289"/>
    </row>
    <row r="349" spans="1:8" ht="12.75" customHeight="1">
      <c r="C349" s="816" t="s">
        <v>1326</v>
      </c>
      <c r="D349" s="814" t="s">
        <v>1940</v>
      </c>
      <c r="E349" s="3289" t="s">
        <v>3237</v>
      </c>
      <c r="F349" s="3289"/>
      <c r="G349" s="3289"/>
      <c r="H349" s="3289"/>
    </row>
    <row r="350" spans="1:8" ht="12.75" customHeight="1">
      <c r="C350" s="1787" t="s">
        <v>4824</v>
      </c>
      <c r="E350" s="3289" t="s">
        <v>3399</v>
      </c>
      <c r="F350" s="3289"/>
      <c r="G350" s="3289"/>
      <c r="H350" s="3289"/>
    </row>
    <row r="351" spans="1:8" ht="12.75" customHeight="1">
      <c r="C351" s="1788"/>
      <c r="D351" s="1786" t="s">
        <v>3236</v>
      </c>
      <c r="E351" s="3355" t="s">
        <v>3400</v>
      </c>
      <c r="F351" s="3355"/>
      <c r="G351" s="3355"/>
      <c r="H351" s="3355"/>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289" t="s">
        <v>3237</v>
      </c>
      <c r="F354" s="3289"/>
      <c r="G354" s="3289"/>
      <c r="H354" s="3289"/>
    </row>
    <row r="355" spans="1:8" ht="12.75" customHeight="1">
      <c r="C355" s="1787" t="s">
        <v>4824</v>
      </c>
      <c r="E355" s="3289" t="s">
        <v>3399</v>
      </c>
      <c r="F355" s="3289"/>
      <c r="G355" s="3289"/>
      <c r="H355" s="3289"/>
    </row>
    <row r="356" spans="1:8" ht="12.75" customHeight="1">
      <c r="C356" s="1788"/>
      <c r="D356" s="1786" t="s">
        <v>3236</v>
      </c>
      <c r="E356" s="3355" t="s">
        <v>3400</v>
      </c>
      <c r="F356" s="3355"/>
      <c r="G356" s="3355"/>
      <c r="H356" s="3355"/>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289" t="s">
        <v>3237</v>
      </c>
      <c r="F359" s="3289"/>
      <c r="G359" s="3289"/>
      <c r="H359" s="3289"/>
    </row>
    <row r="360" spans="1:8" ht="12.75" customHeight="1">
      <c r="C360" s="1787" t="s">
        <v>4824</v>
      </c>
      <c r="E360" s="3289" t="s">
        <v>3399</v>
      </c>
      <c r="F360" s="3289"/>
      <c r="G360" s="3289"/>
      <c r="H360" s="3289"/>
    </row>
    <row r="361" spans="1:8" ht="12.75" customHeight="1">
      <c r="C361" s="1788"/>
      <c r="D361" s="1786" t="s">
        <v>3236</v>
      </c>
      <c r="E361" s="3355" t="s">
        <v>3400</v>
      </c>
      <c r="F361" s="3355"/>
      <c r="G361" s="3355"/>
      <c r="H361" s="3355"/>
    </row>
    <row r="362" spans="1:8" ht="6" customHeight="1">
      <c r="D362" s="814"/>
      <c r="E362" s="1784"/>
      <c r="F362" s="1784"/>
      <c r="G362" s="1784"/>
      <c r="H362" s="1784"/>
    </row>
    <row r="363" spans="1:8">
      <c r="A363" s="785" t="s">
        <v>3232</v>
      </c>
      <c r="B363" s="812">
        <f>IF('Part VI-Revenues &amp; Expenses'!$L$58=0,"",'Part VI-Revenues &amp; Expenses'!$L$58)</f>
        <v>19</v>
      </c>
      <c r="C363" s="785" t="s">
        <v>3233</v>
      </c>
      <c r="D363" s="813" t="s">
        <v>3401</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289" t="s">
        <v>3237</v>
      </c>
      <c r="F366" s="3289"/>
      <c r="G366" s="3289"/>
      <c r="H366" s="3289"/>
    </row>
    <row r="367" spans="1:8" ht="12.75" customHeight="1">
      <c r="C367" s="1787" t="s">
        <v>4824</v>
      </c>
      <c r="E367" s="3289" t="s">
        <v>3399</v>
      </c>
      <c r="F367" s="3289"/>
      <c r="G367" s="3289"/>
      <c r="H367" s="3289"/>
    </row>
    <row r="368" spans="1:8" ht="12.75" customHeight="1">
      <c r="C368" s="1788"/>
      <c r="D368" s="1785" t="s">
        <v>3236</v>
      </c>
      <c r="E368" s="3356" t="s">
        <v>3400</v>
      </c>
      <c r="F368" s="3356"/>
      <c r="G368" s="3356"/>
      <c r="H368" s="3356"/>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289" t="s">
        <v>3237</v>
      </c>
      <c r="F371" s="3289"/>
      <c r="G371" s="3289"/>
      <c r="H371" s="3289"/>
    </row>
    <row r="372" spans="1:8" ht="12.75" customHeight="1">
      <c r="C372" s="1787" t="s">
        <v>4824</v>
      </c>
      <c r="E372" s="3289" t="s">
        <v>3399</v>
      </c>
      <c r="F372" s="3289"/>
      <c r="G372" s="3289"/>
      <c r="H372" s="3289"/>
    </row>
    <row r="373" spans="1:8" ht="12.75" customHeight="1">
      <c r="C373" s="1788"/>
      <c r="D373" s="1786" t="s">
        <v>3236</v>
      </c>
      <c r="E373" s="3355" t="s">
        <v>3400</v>
      </c>
      <c r="F373" s="3355"/>
      <c r="G373" s="3355"/>
      <c r="H373" s="3355"/>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289" t="s">
        <v>3237</v>
      </c>
      <c r="F376" s="3289"/>
      <c r="G376" s="3289"/>
      <c r="H376" s="3289"/>
    </row>
    <row r="377" spans="1:8" ht="12.75" customHeight="1">
      <c r="C377" s="1787" t="s">
        <v>4824</v>
      </c>
      <c r="E377" s="3289" t="s">
        <v>3399</v>
      </c>
      <c r="F377" s="3289"/>
      <c r="G377" s="3289"/>
      <c r="H377" s="3289"/>
    </row>
    <row r="378" spans="1:8" ht="12.75" customHeight="1">
      <c r="C378" s="1788"/>
      <c r="D378" s="1786" t="s">
        <v>3236</v>
      </c>
      <c r="E378" s="3355" t="s">
        <v>3400</v>
      </c>
      <c r="F378" s="3355"/>
      <c r="G378" s="3355"/>
      <c r="H378" s="3355"/>
    </row>
    <row r="379" spans="1:8" ht="6" customHeight="1">
      <c r="D379" s="814"/>
      <c r="E379" s="1784"/>
      <c r="F379" s="1784"/>
      <c r="G379" s="1784"/>
      <c r="H379" s="1784"/>
    </row>
    <row r="380" spans="1:8">
      <c r="A380" s="785" t="s">
        <v>3232</v>
      </c>
      <c r="B380" s="812">
        <f>IF('Part VI-Revenues &amp; Expenses'!$M$58=0,"",'Part VI-Revenues &amp; Expenses'!$M$58)</f>
        <v>19</v>
      </c>
      <c r="C380" s="785" t="s">
        <v>3234</v>
      </c>
      <c r="D380" s="813" t="s">
        <v>3402</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289" t="s">
        <v>3237</v>
      </c>
      <c r="F383" s="3289"/>
      <c r="G383" s="3289"/>
      <c r="H383" s="3289"/>
    </row>
    <row r="384" spans="1:8" ht="12.75" customHeight="1">
      <c r="C384" s="1787" t="s">
        <v>4824</v>
      </c>
      <c r="E384" s="3289" t="s">
        <v>3399</v>
      </c>
      <c r="F384" s="3289"/>
      <c r="G384" s="3289"/>
      <c r="H384" s="3289"/>
    </row>
    <row r="385" spans="1:8" ht="12.75" customHeight="1">
      <c r="C385" s="1788"/>
      <c r="D385" s="1785" t="s">
        <v>3236</v>
      </c>
      <c r="E385" s="3356" t="s">
        <v>3400</v>
      </c>
      <c r="F385" s="3356"/>
      <c r="G385" s="3356"/>
      <c r="H385" s="3356"/>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289" t="s">
        <v>3237</v>
      </c>
      <c r="F388" s="3289"/>
      <c r="G388" s="3289"/>
      <c r="H388" s="3289"/>
    </row>
    <row r="389" spans="1:8" ht="12.75" customHeight="1">
      <c r="C389" s="1787" t="s">
        <v>4824</v>
      </c>
      <c r="E389" s="3289" t="s">
        <v>3399</v>
      </c>
      <c r="F389" s="3289"/>
      <c r="G389" s="3289"/>
      <c r="H389" s="3289"/>
    </row>
    <row r="390" spans="1:8" ht="12.75" customHeight="1">
      <c r="C390" s="1788"/>
      <c r="D390" s="1786" t="s">
        <v>3236</v>
      </c>
      <c r="E390" s="3355" t="s">
        <v>3400</v>
      </c>
      <c r="F390" s="3355"/>
      <c r="G390" s="3355"/>
      <c r="H390" s="3355"/>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289" t="s">
        <v>3237</v>
      </c>
      <c r="F393" s="3289"/>
      <c r="G393" s="3289"/>
      <c r="H393" s="3289"/>
    </row>
    <row r="394" spans="1:8" ht="12.75" customHeight="1">
      <c r="C394" s="1787" t="s">
        <v>4824</v>
      </c>
      <c r="E394" s="3289" t="s">
        <v>3399</v>
      </c>
      <c r="F394" s="3289"/>
      <c r="G394" s="3289"/>
      <c r="H394" s="3289"/>
    </row>
    <row r="395" spans="1:8" ht="12.75" customHeight="1">
      <c r="C395" s="1788"/>
      <c r="D395" s="1786" t="s">
        <v>3236</v>
      </c>
      <c r="E395" s="3355" t="s">
        <v>3400</v>
      </c>
      <c r="F395" s="3355"/>
      <c r="G395" s="3355"/>
      <c r="H395" s="3355"/>
    </row>
    <row r="396" spans="1:8" ht="6" customHeight="1">
      <c r="D396" s="814"/>
      <c r="E396" s="1784"/>
      <c r="F396" s="1784"/>
      <c r="G396" s="1784"/>
      <c r="H396" s="1784"/>
    </row>
    <row r="397" spans="1:8">
      <c r="A397" s="785" t="s">
        <v>3232</v>
      </c>
      <c r="B397" s="812" t="str">
        <f>IF('Part VI-Revenues &amp; Expenses'!$N$58=0,"",'Part VI-Revenues &amp; Expenses'!$N$58)</f>
        <v/>
      </c>
      <c r="C397" s="785" t="s">
        <v>3235</v>
      </c>
      <c r="D397" s="813" t="s">
        <v>3403</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289" t="s">
        <v>3237</v>
      </c>
      <c r="F400" s="3289"/>
      <c r="G400" s="3289"/>
      <c r="H400" s="3289"/>
    </row>
    <row r="401" spans="1:11" ht="12.75" customHeight="1">
      <c r="C401" s="1787" t="s">
        <v>4824</v>
      </c>
      <c r="E401" s="3289" t="s">
        <v>3399</v>
      </c>
      <c r="F401" s="3289"/>
      <c r="G401" s="3289"/>
      <c r="H401" s="3289"/>
    </row>
    <row r="402" spans="1:11" ht="12.75" customHeight="1">
      <c r="C402" s="1788"/>
      <c r="D402" s="1785" t="s">
        <v>3236</v>
      </c>
      <c r="E402" s="3356" t="s">
        <v>3400</v>
      </c>
      <c r="F402" s="3356"/>
      <c r="G402" s="3356"/>
      <c r="H402" s="3356"/>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289" t="s">
        <v>3237</v>
      </c>
      <c r="F405" s="3289"/>
      <c r="G405" s="3289"/>
      <c r="H405" s="3289"/>
    </row>
    <row r="406" spans="1:11" ht="12.75" customHeight="1">
      <c r="C406" s="1787" t="s">
        <v>4824</v>
      </c>
      <c r="E406" s="3289" t="s">
        <v>3399</v>
      </c>
      <c r="F406" s="3289"/>
      <c r="G406" s="3289"/>
      <c r="H406" s="3289"/>
    </row>
    <row r="407" spans="1:11" ht="12.75" customHeight="1">
      <c r="C407" s="1788"/>
      <c r="D407" s="1786" t="s">
        <v>3236</v>
      </c>
      <c r="E407" s="3355" t="s">
        <v>3400</v>
      </c>
      <c r="F407" s="3355"/>
      <c r="G407" s="3355"/>
      <c r="H407" s="3355"/>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289" t="s">
        <v>3237</v>
      </c>
      <c r="F410" s="3289"/>
      <c r="G410" s="3289"/>
      <c r="H410" s="3289"/>
    </row>
    <row r="411" spans="1:11" ht="12.75" customHeight="1">
      <c r="C411" s="1787" t="s">
        <v>4824</v>
      </c>
      <c r="E411" s="3289" t="s">
        <v>3399</v>
      </c>
      <c r="F411" s="3289"/>
      <c r="G411" s="3289"/>
      <c r="H411" s="3289"/>
    </row>
    <row r="412" spans="1:11" ht="12.75" customHeight="1">
      <c r="C412" s="1788"/>
      <c r="D412" s="1786" t="s">
        <v>3236</v>
      </c>
      <c r="E412" s="3355" t="s">
        <v>3400</v>
      </c>
      <c r="F412" s="3355"/>
      <c r="G412" s="3355"/>
      <c r="H412" s="3355"/>
    </row>
    <row r="413" spans="1:11" ht="6" customHeight="1">
      <c r="D413" s="814"/>
      <c r="E413" s="1784"/>
      <c r="F413" s="1784"/>
      <c r="G413" s="1784"/>
      <c r="H413" s="1784"/>
    </row>
    <row r="414" spans="1:11">
      <c r="A414" s="785" t="s">
        <v>3232</v>
      </c>
      <c r="B414" s="812" t="str">
        <f>IF('Part VI-Revenues &amp; Expenses'!$O$58=0,"",'Part VI-Revenues &amp; Expenses'!$O$58)</f>
        <v/>
      </c>
      <c r="C414" s="785" t="s">
        <v>4822</v>
      </c>
      <c r="D414" s="813" t="s">
        <v>4823</v>
      </c>
    </row>
    <row r="415" spans="1:11" ht="1.95" customHeight="1"/>
    <row r="416" spans="1:11" ht="12.75" customHeight="1">
      <c r="C416" s="779" t="s">
        <v>3137</v>
      </c>
      <c r="D416" s="814" t="s">
        <v>1938</v>
      </c>
      <c r="E416" s="815"/>
      <c r="F416" s="3289" t="s">
        <v>3138</v>
      </c>
      <c r="G416" s="3289"/>
      <c r="H416" s="3289"/>
      <c r="K416" s="730" t="s">
        <v>238</v>
      </c>
    </row>
    <row r="417" spans="1:8" ht="12.75" customHeight="1">
      <c r="C417" s="816" t="s">
        <v>1326</v>
      </c>
      <c r="D417" s="814" t="s">
        <v>1940</v>
      </c>
      <c r="E417" s="3289" t="s">
        <v>3238</v>
      </c>
      <c r="F417" s="3289"/>
      <c r="G417" s="3289"/>
      <c r="H417" s="3289"/>
    </row>
    <row r="418" spans="1:8" ht="12.75" customHeight="1">
      <c r="E418" s="3289" t="s">
        <v>3399</v>
      </c>
      <c r="F418" s="3289"/>
      <c r="G418" s="3289"/>
      <c r="H418" s="3289"/>
    </row>
    <row r="419" spans="1:8" ht="12.75" customHeight="1">
      <c r="D419" s="817" t="s">
        <v>3236</v>
      </c>
      <c r="E419" s="3289" t="s">
        <v>3400</v>
      </c>
      <c r="F419" s="3289"/>
      <c r="G419" s="3289"/>
      <c r="H419" s="3289"/>
    </row>
    <row r="420" spans="1:8" ht="9" customHeight="1" thickBot="1"/>
    <row r="421" spans="1:8" ht="16.2" customHeight="1" thickBot="1">
      <c r="A421" s="3353">
        <v>70</v>
      </c>
      <c r="B421" s="3354"/>
      <c r="C421" s="1789" t="s">
        <v>1018</v>
      </c>
    </row>
    <row r="422" spans="1:8" ht="9" customHeight="1">
      <c r="A422" s="752"/>
    </row>
    <row r="423" spans="1:8" ht="28.2" customHeight="1">
      <c r="A423" s="3357" t="s">
        <v>4830</v>
      </c>
      <c r="B423" s="3357"/>
      <c r="C423" s="3357"/>
      <c r="D423" s="3357"/>
      <c r="E423" s="3357"/>
      <c r="F423" s="3357"/>
      <c r="G423" s="3357"/>
      <c r="H423" s="3357"/>
    </row>
    <row r="424" spans="1:8" ht="9" customHeight="1">
      <c r="A424" s="752"/>
    </row>
    <row r="425" spans="1:8">
      <c r="A425" s="785" t="s">
        <v>3232</v>
      </c>
      <c r="B425" s="812" t="str">
        <f>IF('Part VI-Revenues &amp; Expenses'!$K$57=0,"",'Part VI-Revenues &amp; Expenses'!$K$57)</f>
        <v/>
      </c>
      <c r="C425" s="785" t="s">
        <v>4819</v>
      </c>
      <c r="D425" s="813" t="s">
        <v>4820</v>
      </c>
    </row>
    <row r="426" spans="1:8" ht="1.95" customHeight="1"/>
    <row r="427" spans="1:8" ht="12.75" customHeight="1">
      <c r="C427" s="779" t="s">
        <v>3137</v>
      </c>
      <c r="D427" s="814" t="s">
        <v>1938</v>
      </c>
      <c r="E427" s="815"/>
      <c r="F427" s="3289" t="s">
        <v>3138</v>
      </c>
      <c r="G427" s="3289"/>
      <c r="H427" s="3289"/>
    </row>
    <row r="428" spans="1:8" ht="12.75" customHeight="1">
      <c r="C428" s="816" t="s">
        <v>1326</v>
      </c>
      <c r="D428" s="814" t="s">
        <v>1940</v>
      </c>
      <c r="E428" s="3289" t="s">
        <v>3237</v>
      </c>
      <c r="F428" s="3289"/>
      <c r="G428" s="3289"/>
      <c r="H428" s="3289"/>
    </row>
    <row r="429" spans="1:8" ht="12.75" customHeight="1">
      <c r="C429" s="1787" t="s">
        <v>4824</v>
      </c>
      <c r="E429" s="3289" t="s">
        <v>3399</v>
      </c>
      <c r="F429" s="3289"/>
      <c r="G429" s="3289"/>
      <c r="H429" s="3289"/>
    </row>
    <row r="430" spans="1:8" ht="12.75" customHeight="1">
      <c r="C430" s="1788"/>
      <c r="D430" s="1786" t="s">
        <v>3236</v>
      </c>
      <c r="E430" s="3355" t="s">
        <v>3400</v>
      </c>
      <c r="F430" s="3355"/>
      <c r="G430" s="3355"/>
      <c r="H430" s="3355"/>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289" t="s">
        <v>3237</v>
      </c>
      <c r="F433" s="3289"/>
      <c r="G433" s="3289"/>
      <c r="H433" s="3289"/>
    </row>
    <row r="434" spans="1:8" ht="12.75" customHeight="1">
      <c r="C434" s="1787" t="s">
        <v>4824</v>
      </c>
      <c r="E434" s="3289" t="s">
        <v>3399</v>
      </c>
      <c r="F434" s="3289"/>
      <c r="G434" s="3289"/>
      <c r="H434" s="3289"/>
    </row>
    <row r="435" spans="1:8" ht="12.75" customHeight="1">
      <c r="C435" s="1788"/>
      <c r="D435" s="1786" t="s">
        <v>3236</v>
      </c>
      <c r="E435" s="3355" t="s">
        <v>3400</v>
      </c>
      <c r="F435" s="3355"/>
      <c r="G435" s="3355"/>
      <c r="H435" s="3355"/>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289" t="s">
        <v>3237</v>
      </c>
      <c r="F438" s="3289"/>
      <c r="G438" s="3289"/>
      <c r="H438" s="3289"/>
    </row>
    <row r="439" spans="1:8" ht="12.75" customHeight="1">
      <c r="C439" s="1787" t="s">
        <v>4824</v>
      </c>
      <c r="E439" s="3289" t="s">
        <v>3399</v>
      </c>
      <c r="F439" s="3289"/>
      <c r="G439" s="3289"/>
      <c r="H439" s="3289"/>
    </row>
    <row r="440" spans="1:8" ht="12.75" customHeight="1">
      <c r="C440" s="1788"/>
      <c r="D440" s="1786" t="s">
        <v>3236</v>
      </c>
      <c r="E440" s="3355" t="s">
        <v>3400</v>
      </c>
      <c r="F440" s="3355"/>
      <c r="G440" s="3355"/>
      <c r="H440" s="3355"/>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3401</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289" t="s">
        <v>3237</v>
      </c>
      <c r="F445" s="3289"/>
      <c r="G445" s="3289"/>
      <c r="H445" s="3289"/>
    </row>
    <row r="446" spans="1:8" ht="12.75" customHeight="1">
      <c r="C446" s="1787" t="s">
        <v>4824</v>
      </c>
      <c r="E446" s="3289" t="s">
        <v>3399</v>
      </c>
      <c r="F446" s="3289"/>
      <c r="G446" s="3289"/>
      <c r="H446" s="3289"/>
    </row>
    <row r="447" spans="1:8" ht="12.75" customHeight="1">
      <c r="C447" s="1788"/>
      <c r="D447" s="1785" t="s">
        <v>3236</v>
      </c>
      <c r="E447" s="3356" t="s">
        <v>3400</v>
      </c>
      <c r="F447" s="3356"/>
      <c r="G447" s="3356"/>
      <c r="H447" s="3356"/>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289" t="s">
        <v>3237</v>
      </c>
      <c r="F450" s="3289"/>
      <c r="G450" s="3289"/>
      <c r="H450" s="3289"/>
    </row>
    <row r="451" spans="1:8" ht="12.75" customHeight="1">
      <c r="C451" s="1787" t="s">
        <v>4824</v>
      </c>
      <c r="E451" s="3289" t="s">
        <v>3399</v>
      </c>
      <c r="F451" s="3289"/>
      <c r="G451" s="3289"/>
      <c r="H451" s="3289"/>
    </row>
    <row r="452" spans="1:8" ht="12.75" customHeight="1">
      <c r="C452" s="1788"/>
      <c r="D452" s="1786" t="s">
        <v>3236</v>
      </c>
      <c r="E452" s="3355" t="s">
        <v>3400</v>
      </c>
      <c r="F452" s="3355"/>
      <c r="G452" s="3355"/>
      <c r="H452" s="3355"/>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289" t="s">
        <v>3237</v>
      </c>
      <c r="F455" s="3289"/>
      <c r="G455" s="3289"/>
      <c r="H455" s="3289"/>
    </row>
    <row r="456" spans="1:8" ht="12.75" customHeight="1">
      <c r="C456" s="1787" t="s">
        <v>4824</v>
      </c>
      <c r="E456" s="3289" t="s">
        <v>3399</v>
      </c>
      <c r="F456" s="3289"/>
      <c r="G456" s="3289"/>
      <c r="H456" s="3289"/>
    </row>
    <row r="457" spans="1:8" ht="12.75" customHeight="1">
      <c r="C457" s="1788"/>
      <c r="D457" s="1786" t="s">
        <v>3236</v>
      </c>
      <c r="E457" s="3355" t="s">
        <v>3400</v>
      </c>
      <c r="F457" s="3355"/>
      <c r="G457" s="3355"/>
      <c r="H457" s="3355"/>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3402</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289" t="s">
        <v>3237</v>
      </c>
      <c r="F462" s="3289"/>
      <c r="G462" s="3289"/>
      <c r="H462" s="3289"/>
    </row>
    <row r="463" spans="1:8" ht="12.75" customHeight="1">
      <c r="C463" s="1787" t="s">
        <v>4824</v>
      </c>
      <c r="E463" s="3289" t="s">
        <v>3399</v>
      </c>
      <c r="F463" s="3289"/>
      <c r="G463" s="3289"/>
      <c r="H463" s="3289"/>
    </row>
    <row r="464" spans="1:8" ht="12.75" customHeight="1">
      <c r="C464" s="1788"/>
      <c r="D464" s="1785" t="s">
        <v>3236</v>
      </c>
      <c r="E464" s="3356" t="s">
        <v>3400</v>
      </c>
      <c r="F464" s="3356"/>
      <c r="G464" s="3356"/>
      <c r="H464" s="3356"/>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289" t="s">
        <v>3237</v>
      </c>
      <c r="F467" s="3289"/>
      <c r="G467" s="3289"/>
      <c r="H467" s="3289"/>
    </row>
    <row r="468" spans="1:8" ht="12.75" customHeight="1">
      <c r="C468" s="1787" t="s">
        <v>4824</v>
      </c>
      <c r="E468" s="3289" t="s">
        <v>3399</v>
      </c>
      <c r="F468" s="3289"/>
      <c r="G468" s="3289"/>
      <c r="H468" s="3289"/>
    </row>
    <row r="469" spans="1:8" ht="12.75" customHeight="1">
      <c r="C469" s="1788"/>
      <c r="D469" s="1786" t="s">
        <v>3236</v>
      </c>
      <c r="E469" s="3355" t="s">
        <v>3400</v>
      </c>
      <c r="F469" s="3355"/>
      <c r="G469" s="3355"/>
      <c r="H469" s="3355"/>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289" t="s">
        <v>3237</v>
      </c>
      <c r="F472" s="3289"/>
      <c r="G472" s="3289"/>
      <c r="H472" s="3289"/>
    </row>
    <row r="473" spans="1:8" ht="12.75" customHeight="1">
      <c r="C473" s="1787" t="s">
        <v>4824</v>
      </c>
      <c r="E473" s="3289" t="s">
        <v>3399</v>
      </c>
      <c r="F473" s="3289"/>
      <c r="G473" s="3289"/>
      <c r="H473" s="3289"/>
    </row>
    <row r="474" spans="1:8" ht="12.75" customHeight="1">
      <c r="C474" s="1788"/>
      <c r="D474" s="1786" t="s">
        <v>3236</v>
      </c>
      <c r="E474" s="3355" t="s">
        <v>3400</v>
      </c>
      <c r="F474" s="3355"/>
      <c r="G474" s="3355"/>
      <c r="H474" s="3355"/>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3403</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289" t="s">
        <v>3237</v>
      </c>
      <c r="F479" s="3289"/>
      <c r="G479" s="3289"/>
      <c r="H479" s="3289"/>
    </row>
    <row r="480" spans="1:8" ht="12.75" customHeight="1">
      <c r="C480" s="1787" t="s">
        <v>4824</v>
      </c>
      <c r="E480" s="3289" t="s">
        <v>3399</v>
      </c>
      <c r="F480" s="3289"/>
      <c r="G480" s="3289"/>
      <c r="H480" s="3289"/>
    </row>
    <row r="481" spans="1:11" ht="12.75" customHeight="1">
      <c r="C481" s="1788"/>
      <c r="D481" s="1785" t="s">
        <v>3236</v>
      </c>
      <c r="E481" s="3356" t="s">
        <v>3400</v>
      </c>
      <c r="F481" s="3356"/>
      <c r="G481" s="3356"/>
      <c r="H481" s="3356"/>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289" t="s">
        <v>3237</v>
      </c>
      <c r="F484" s="3289"/>
      <c r="G484" s="3289"/>
      <c r="H484" s="3289"/>
    </row>
    <row r="485" spans="1:11" ht="12.75" customHeight="1">
      <c r="C485" s="1787" t="s">
        <v>4824</v>
      </c>
      <c r="E485" s="3289" t="s">
        <v>3399</v>
      </c>
      <c r="F485" s="3289"/>
      <c r="G485" s="3289"/>
      <c r="H485" s="3289"/>
    </row>
    <row r="486" spans="1:11" ht="12.75" customHeight="1">
      <c r="C486" s="1788"/>
      <c r="D486" s="1786" t="s">
        <v>3236</v>
      </c>
      <c r="E486" s="3355" t="s">
        <v>3400</v>
      </c>
      <c r="F486" s="3355"/>
      <c r="G486" s="3355"/>
      <c r="H486" s="3355"/>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289" t="s">
        <v>3237</v>
      </c>
      <c r="F489" s="3289"/>
      <c r="G489" s="3289"/>
      <c r="H489" s="3289"/>
    </row>
    <row r="490" spans="1:11" ht="12.75" customHeight="1">
      <c r="C490" s="1787" t="s">
        <v>4824</v>
      </c>
      <c r="E490" s="3289" t="s">
        <v>3399</v>
      </c>
      <c r="F490" s="3289"/>
      <c r="G490" s="3289"/>
      <c r="H490" s="3289"/>
    </row>
    <row r="491" spans="1:11" ht="12.75" customHeight="1">
      <c r="C491" s="1788"/>
      <c r="D491" s="1786" t="s">
        <v>3236</v>
      </c>
      <c r="E491" s="3355" t="s">
        <v>3400</v>
      </c>
      <c r="F491" s="3355"/>
      <c r="G491" s="3355"/>
      <c r="H491" s="3355"/>
    </row>
    <row r="492" spans="1:11" ht="6" customHeight="1">
      <c r="D492" s="814"/>
      <c r="E492" s="1784"/>
      <c r="F492" s="1784"/>
      <c r="G492" s="1784"/>
      <c r="H492" s="1784"/>
    </row>
    <row r="493" spans="1:11">
      <c r="A493" s="785" t="s">
        <v>3232</v>
      </c>
      <c r="B493" s="812" t="str">
        <f>IF('Part VI-Revenues &amp; Expenses'!$O$57=0,"",'Part VI-Revenues &amp; Expenses'!$O$57)</f>
        <v/>
      </c>
      <c r="C493" s="785" t="s">
        <v>4822</v>
      </c>
      <c r="D493" s="813" t="s">
        <v>4823</v>
      </c>
    </row>
    <row r="494" spans="1:11" ht="1.95" customHeight="1"/>
    <row r="495" spans="1:11" ht="12.75" customHeight="1">
      <c r="C495" s="779" t="s">
        <v>3137</v>
      </c>
      <c r="D495" s="814" t="s">
        <v>1938</v>
      </c>
      <c r="E495" s="815"/>
      <c r="F495" s="3289" t="s">
        <v>3138</v>
      </c>
      <c r="G495" s="3289"/>
      <c r="H495" s="3289"/>
      <c r="K495" s="730" t="s">
        <v>238</v>
      </c>
    </row>
    <row r="496" spans="1:11" ht="12.75" customHeight="1">
      <c r="C496" s="816" t="s">
        <v>1326</v>
      </c>
      <c r="D496" s="814" t="s">
        <v>1940</v>
      </c>
      <c r="E496" s="3289" t="s">
        <v>3238</v>
      </c>
      <c r="F496" s="3289"/>
      <c r="G496" s="3289"/>
      <c r="H496" s="3289"/>
    </row>
    <row r="497" spans="1:8" ht="12.75" customHeight="1">
      <c r="E497" s="3289" t="s">
        <v>3399</v>
      </c>
      <c r="F497" s="3289"/>
      <c r="G497" s="3289"/>
      <c r="H497" s="3289"/>
    </row>
    <row r="498" spans="1:8" ht="12.75" customHeight="1">
      <c r="D498" s="817" t="s">
        <v>3236</v>
      </c>
      <c r="E498" s="3289" t="s">
        <v>3400</v>
      </c>
      <c r="F498" s="3289"/>
      <c r="G498" s="3289"/>
      <c r="H498" s="3289"/>
    </row>
    <row r="499" spans="1:8" ht="9" customHeight="1" thickBot="1"/>
    <row r="500" spans="1:8" ht="16.2" customHeight="1" thickBot="1">
      <c r="A500" s="3353">
        <v>80</v>
      </c>
      <c r="B500" s="3354"/>
      <c r="C500" s="1789" t="s">
        <v>1018</v>
      </c>
    </row>
    <row r="501" spans="1:8" ht="9" customHeight="1">
      <c r="A501" s="752"/>
    </row>
    <row r="502" spans="1:8" ht="28.2" customHeight="1">
      <c r="A502" s="3357" t="s">
        <v>4831</v>
      </c>
      <c r="B502" s="3357"/>
      <c r="C502" s="3357"/>
      <c r="D502" s="3357"/>
      <c r="E502" s="3357"/>
      <c r="F502" s="3357"/>
      <c r="G502" s="3357"/>
      <c r="H502" s="3357"/>
    </row>
    <row r="503" spans="1:8" ht="9" customHeight="1">
      <c r="A503" s="752"/>
    </row>
    <row r="504" spans="1:8">
      <c r="A504" s="785" t="s">
        <v>3232</v>
      </c>
      <c r="B504" s="812" t="str">
        <f>IF('Part VI-Revenues &amp; Expenses'!$K$56=0,"",'Part VI-Revenues &amp; Expenses'!$K$56)</f>
        <v/>
      </c>
      <c r="C504" s="785" t="s">
        <v>4819</v>
      </c>
      <c r="D504" s="813" t="s">
        <v>4820</v>
      </c>
    </row>
    <row r="505" spans="1:8" ht="1.95" customHeight="1"/>
    <row r="506" spans="1:8" ht="12.75" customHeight="1">
      <c r="C506" s="779" t="s">
        <v>3137</v>
      </c>
      <c r="D506" s="814" t="s">
        <v>1938</v>
      </c>
      <c r="E506" s="815"/>
      <c r="F506" s="3289" t="s">
        <v>3138</v>
      </c>
      <c r="G506" s="3289"/>
      <c r="H506" s="3289"/>
    </row>
    <row r="507" spans="1:8" ht="12.75" customHeight="1">
      <c r="C507" s="816" t="s">
        <v>1326</v>
      </c>
      <c r="D507" s="814" t="s">
        <v>1940</v>
      </c>
      <c r="E507" s="3289" t="s">
        <v>3237</v>
      </c>
      <c r="F507" s="3289"/>
      <c r="G507" s="3289"/>
      <c r="H507" s="3289"/>
    </row>
    <row r="508" spans="1:8" ht="12.75" customHeight="1">
      <c r="C508" s="1787" t="s">
        <v>4824</v>
      </c>
      <c r="E508" s="3289" t="s">
        <v>3399</v>
      </c>
      <c r="F508" s="3289"/>
      <c r="G508" s="3289"/>
      <c r="H508" s="3289"/>
    </row>
    <row r="509" spans="1:8" ht="12.75" customHeight="1">
      <c r="C509" s="1788"/>
      <c r="D509" s="1786" t="s">
        <v>3236</v>
      </c>
      <c r="E509" s="3355" t="s">
        <v>3400</v>
      </c>
      <c r="F509" s="3355"/>
      <c r="G509" s="3355"/>
      <c r="H509" s="3355"/>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289" t="s">
        <v>3237</v>
      </c>
      <c r="F512" s="3289"/>
      <c r="G512" s="3289"/>
      <c r="H512" s="3289"/>
    </row>
    <row r="513" spans="1:8" ht="12.75" customHeight="1">
      <c r="C513" s="1787" t="s">
        <v>4824</v>
      </c>
      <c r="E513" s="3289" t="s">
        <v>3399</v>
      </c>
      <c r="F513" s="3289"/>
      <c r="G513" s="3289"/>
      <c r="H513" s="3289"/>
    </row>
    <row r="514" spans="1:8" ht="12.75" customHeight="1">
      <c r="C514" s="1788"/>
      <c r="D514" s="1786" t="s">
        <v>3236</v>
      </c>
      <c r="E514" s="3355" t="s">
        <v>3400</v>
      </c>
      <c r="F514" s="3355"/>
      <c r="G514" s="3355"/>
      <c r="H514" s="3355"/>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289" t="s">
        <v>3237</v>
      </c>
      <c r="F517" s="3289"/>
      <c r="G517" s="3289"/>
      <c r="H517" s="3289"/>
    </row>
    <row r="518" spans="1:8" ht="12.75" customHeight="1">
      <c r="C518" s="1787" t="s">
        <v>4824</v>
      </c>
      <c r="E518" s="3289" t="s">
        <v>3399</v>
      </c>
      <c r="F518" s="3289"/>
      <c r="G518" s="3289"/>
      <c r="H518" s="3289"/>
    </row>
    <row r="519" spans="1:8" ht="12.75" customHeight="1">
      <c r="C519" s="1788"/>
      <c r="D519" s="1786" t="s">
        <v>3236</v>
      </c>
      <c r="E519" s="3355" t="s">
        <v>3400</v>
      </c>
      <c r="F519" s="3355"/>
      <c r="G519" s="3355"/>
      <c r="H519" s="3355"/>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3401</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289" t="s">
        <v>3237</v>
      </c>
      <c r="F524" s="3289"/>
      <c r="G524" s="3289"/>
      <c r="H524" s="3289"/>
    </row>
    <row r="525" spans="1:8" ht="12.75" customHeight="1">
      <c r="C525" s="1787" t="s">
        <v>4824</v>
      </c>
      <c r="E525" s="3289" t="s">
        <v>3399</v>
      </c>
      <c r="F525" s="3289"/>
      <c r="G525" s="3289"/>
      <c r="H525" s="3289"/>
    </row>
    <row r="526" spans="1:8" ht="12.75" customHeight="1">
      <c r="C526" s="1788"/>
      <c r="D526" s="1785" t="s">
        <v>3236</v>
      </c>
      <c r="E526" s="3356" t="s">
        <v>3400</v>
      </c>
      <c r="F526" s="3356"/>
      <c r="G526" s="3356"/>
      <c r="H526" s="3356"/>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289" t="s">
        <v>3237</v>
      </c>
      <c r="F529" s="3289"/>
      <c r="G529" s="3289"/>
      <c r="H529" s="3289"/>
    </row>
    <row r="530" spans="1:8" ht="12.75" customHeight="1">
      <c r="C530" s="1787" t="s">
        <v>4824</v>
      </c>
      <c r="E530" s="3289" t="s">
        <v>3399</v>
      </c>
      <c r="F530" s="3289"/>
      <c r="G530" s="3289"/>
      <c r="H530" s="3289"/>
    </row>
    <row r="531" spans="1:8" ht="12.75" customHeight="1">
      <c r="C531" s="1788"/>
      <c r="D531" s="1786" t="s">
        <v>3236</v>
      </c>
      <c r="E531" s="3355" t="s">
        <v>3400</v>
      </c>
      <c r="F531" s="3355"/>
      <c r="G531" s="3355"/>
      <c r="H531" s="3355"/>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289" t="s">
        <v>3237</v>
      </c>
      <c r="F534" s="3289"/>
      <c r="G534" s="3289"/>
      <c r="H534" s="3289"/>
    </row>
    <row r="535" spans="1:8" ht="12.75" customHeight="1">
      <c r="C535" s="1787" t="s">
        <v>4824</v>
      </c>
      <c r="E535" s="3289" t="s">
        <v>3399</v>
      </c>
      <c r="F535" s="3289"/>
      <c r="G535" s="3289"/>
      <c r="H535" s="3289"/>
    </row>
    <row r="536" spans="1:8" ht="12.75" customHeight="1">
      <c r="C536" s="1788"/>
      <c r="D536" s="1786" t="s">
        <v>3236</v>
      </c>
      <c r="E536" s="3355" t="s">
        <v>3400</v>
      </c>
      <c r="F536" s="3355"/>
      <c r="G536" s="3355"/>
      <c r="H536" s="3355"/>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3402</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289" t="s">
        <v>3237</v>
      </c>
      <c r="F541" s="3289"/>
      <c r="G541" s="3289"/>
      <c r="H541" s="3289"/>
    </row>
    <row r="542" spans="1:8" ht="12.75" customHeight="1">
      <c r="C542" s="1787" t="s">
        <v>4824</v>
      </c>
      <c r="E542" s="3289" t="s">
        <v>3399</v>
      </c>
      <c r="F542" s="3289"/>
      <c r="G542" s="3289"/>
      <c r="H542" s="3289"/>
    </row>
    <row r="543" spans="1:8" ht="12.75" customHeight="1">
      <c r="C543" s="1788"/>
      <c r="D543" s="1785" t="s">
        <v>3236</v>
      </c>
      <c r="E543" s="3356" t="s">
        <v>3400</v>
      </c>
      <c r="F543" s="3356"/>
      <c r="G543" s="3356"/>
      <c r="H543" s="3356"/>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289" t="s">
        <v>3237</v>
      </c>
      <c r="F546" s="3289"/>
      <c r="G546" s="3289"/>
      <c r="H546" s="3289"/>
    </row>
    <row r="547" spans="1:8" ht="12.75" customHeight="1">
      <c r="C547" s="1787" t="s">
        <v>4824</v>
      </c>
      <c r="E547" s="3289" t="s">
        <v>3399</v>
      </c>
      <c r="F547" s="3289"/>
      <c r="G547" s="3289"/>
      <c r="H547" s="3289"/>
    </row>
    <row r="548" spans="1:8" ht="12.75" customHeight="1">
      <c r="C548" s="1788"/>
      <c r="D548" s="1786" t="s">
        <v>3236</v>
      </c>
      <c r="E548" s="3355" t="s">
        <v>3400</v>
      </c>
      <c r="F548" s="3355"/>
      <c r="G548" s="3355"/>
      <c r="H548" s="3355"/>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289" t="s">
        <v>3237</v>
      </c>
      <c r="F551" s="3289"/>
      <c r="G551" s="3289"/>
      <c r="H551" s="3289"/>
    </row>
    <row r="552" spans="1:8" ht="12.75" customHeight="1">
      <c r="C552" s="1787" t="s">
        <v>4824</v>
      </c>
      <c r="E552" s="3289" t="s">
        <v>3399</v>
      </c>
      <c r="F552" s="3289"/>
      <c r="G552" s="3289"/>
      <c r="H552" s="3289"/>
    </row>
    <row r="553" spans="1:8" ht="12.75" customHeight="1">
      <c r="C553" s="1788"/>
      <c r="D553" s="1786" t="s">
        <v>3236</v>
      </c>
      <c r="E553" s="3355" t="s">
        <v>3400</v>
      </c>
      <c r="F553" s="3355"/>
      <c r="G553" s="3355"/>
      <c r="H553" s="3355"/>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3403</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289" t="s">
        <v>3237</v>
      </c>
      <c r="F558" s="3289"/>
      <c r="G558" s="3289"/>
      <c r="H558" s="3289"/>
    </row>
    <row r="559" spans="1:8" ht="12.75" customHeight="1">
      <c r="C559" s="1787" t="s">
        <v>4824</v>
      </c>
      <c r="E559" s="3289" t="s">
        <v>3399</v>
      </c>
      <c r="F559" s="3289"/>
      <c r="G559" s="3289"/>
      <c r="H559" s="3289"/>
    </row>
    <row r="560" spans="1:8" ht="12.75" customHeight="1">
      <c r="C560" s="1788"/>
      <c r="D560" s="1785" t="s">
        <v>3236</v>
      </c>
      <c r="E560" s="3356" t="s">
        <v>3400</v>
      </c>
      <c r="F560" s="3356"/>
      <c r="G560" s="3356"/>
      <c r="H560" s="3356"/>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289" t="s">
        <v>3237</v>
      </c>
      <c r="F563" s="3289"/>
      <c r="G563" s="3289"/>
      <c r="H563" s="3289"/>
    </row>
    <row r="564" spans="1:11" ht="12.75" customHeight="1">
      <c r="C564" s="1787" t="s">
        <v>4824</v>
      </c>
      <c r="E564" s="3289" t="s">
        <v>3399</v>
      </c>
      <c r="F564" s="3289"/>
      <c r="G564" s="3289"/>
      <c r="H564" s="3289"/>
    </row>
    <row r="565" spans="1:11" ht="12.75" customHeight="1">
      <c r="C565" s="1788"/>
      <c r="D565" s="1786" t="s">
        <v>3236</v>
      </c>
      <c r="E565" s="3355" t="s">
        <v>3400</v>
      </c>
      <c r="F565" s="3355"/>
      <c r="G565" s="3355"/>
      <c r="H565" s="3355"/>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289" t="s">
        <v>3237</v>
      </c>
      <c r="F568" s="3289"/>
      <c r="G568" s="3289"/>
      <c r="H568" s="3289"/>
    </row>
    <row r="569" spans="1:11" ht="12.75" customHeight="1">
      <c r="C569" s="1787" t="s">
        <v>4824</v>
      </c>
      <c r="E569" s="3289" t="s">
        <v>3399</v>
      </c>
      <c r="F569" s="3289"/>
      <c r="G569" s="3289"/>
      <c r="H569" s="3289"/>
    </row>
    <row r="570" spans="1:11" ht="12.75" customHeight="1">
      <c r="C570" s="1788"/>
      <c r="D570" s="1786" t="s">
        <v>3236</v>
      </c>
      <c r="E570" s="3355" t="s">
        <v>3400</v>
      </c>
      <c r="F570" s="3355"/>
      <c r="G570" s="3355"/>
      <c r="H570" s="3355"/>
    </row>
    <row r="571" spans="1:11" ht="6" customHeight="1">
      <c r="D571" s="814"/>
      <c r="E571" s="1784"/>
      <c r="F571" s="1784"/>
      <c r="G571" s="1784"/>
      <c r="H571" s="1784"/>
    </row>
    <row r="572" spans="1:11">
      <c r="A572" s="785" t="s">
        <v>3232</v>
      </c>
      <c r="B572" s="812" t="str">
        <f>IF('Part VI-Revenues &amp; Expenses'!$O$56=0,"",'Part VI-Revenues &amp; Expenses'!$O$56)</f>
        <v/>
      </c>
      <c r="C572" s="785" t="s">
        <v>4822</v>
      </c>
      <c r="D572" s="813" t="s">
        <v>4823</v>
      </c>
    </row>
    <row r="573" spans="1:11" ht="1.95" customHeight="1"/>
    <row r="574" spans="1:11" ht="12.75" customHeight="1">
      <c r="C574" s="779" t="s">
        <v>3137</v>
      </c>
      <c r="D574" s="814" t="s">
        <v>1938</v>
      </c>
      <c r="E574" s="815"/>
      <c r="F574" s="3289" t="s">
        <v>3138</v>
      </c>
      <c r="G574" s="3289"/>
      <c r="H574" s="3289"/>
      <c r="K574" s="730" t="s">
        <v>238</v>
      </c>
    </row>
    <row r="575" spans="1:11" ht="12.75" customHeight="1">
      <c r="C575" s="816" t="s">
        <v>1326</v>
      </c>
      <c r="D575" s="814" t="s">
        <v>1940</v>
      </c>
      <c r="E575" s="3289" t="s">
        <v>3238</v>
      </c>
      <c r="F575" s="3289"/>
      <c r="G575" s="3289"/>
      <c r="H575" s="3289"/>
    </row>
    <row r="576" spans="1:11" ht="12.75" customHeight="1">
      <c r="E576" s="3289" t="s">
        <v>3399</v>
      </c>
      <c r="F576" s="3289"/>
      <c r="G576" s="3289"/>
      <c r="H576" s="3289"/>
    </row>
    <row r="577" spans="4:8" ht="12.75" customHeight="1">
      <c r="D577" s="817" t="s">
        <v>3236</v>
      </c>
      <c r="E577" s="3289" t="s">
        <v>3400</v>
      </c>
      <c r="F577" s="3289"/>
      <c r="G577" s="3289"/>
      <c r="H577" s="3289"/>
    </row>
    <row r="578" spans="4:8" ht="9" customHeight="1"/>
    <row r="579" spans="4:8" ht="7.5" customHeight="1">
      <c r="E579" s="3289"/>
      <c r="F579" s="3289"/>
      <c r="G579" s="3289"/>
      <c r="H579" s="3289"/>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Boxwood Heights</v>
      </c>
    </row>
    <row r="2" spans="1:14">
      <c r="A2" s="667" t="s">
        <v>3132</v>
      </c>
      <c r="H2" s="730" t="str">
        <f>'Sensitivity Analysis'!E8</f>
        <v>2020-067</v>
      </c>
    </row>
    <row r="3" spans="1:14" ht="3" customHeight="1"/>
    <row r="4" spans="1:14" ht="69.599999999999994" customHeight="1">
      <c r="A4" s="3358" t="s">
        <v>3230</v>
      </c>
      <c r="B4" s="3358"/>
      <c r="C4" s="3358"/>
      <c r="D4" s="3358"/>
      <c r="E4" s="3358"/>
      <c r="F4" s="3358"/>
      <c r="G4" s="3358"/>
      <c r="H4" s="3358"/>
      <c r="I4" s="3358"/>
      <c r="J4" s="3358"/>
      <c r="K4" s="3358"/>
      <c r="L4" s="3392">
        <f>SUM('Part VII-Pro Forma'!B14:B16)/12</f>
        <v>26016.303599999999</v>
      </c>
      <c r="M4" s="3392"/>
      <c r="N4" s="2037" t="s">
        <v>4104</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58" t="s">
        <v>3134</v>
      </c>
      <c r="D7" s="3358"/>
      <c r="E7" s="3358"/>
      <c r="F7" s="3358"/>
      <c r="G7" s="3358"/>
      <c r="H7" s="3358"/>
      <c r="I7" s="3358"/>
      <c r="J7" s="3358"/>
      <c r="K7" s="3358"/>
      <c r="L7" s="3358"/>
      <c r="M7" s="3358"/>
    </row>
    <row r="8" spans="1:14" ht="3" customHeight="1"/>
    <row r="9" spans="1:14">
      <c r="A9" s="730" t="s">
        <v>3135</v>
      </c>
    </row>
    <row r="10" spans="1:14" ht="1.5" customHeight="1"/>
    <row r="11" spans="1:14" ht="26.25" customHeight="1">
      <c r="A11" s="811" t="s">
        <v>1935</v>
      </c>
      <c r="B11" s="3358" t="s">
        <v>3227</v>
      </c>
      <c r="C11" s="3358"/>
      <c r="D11" s="3358"/>
      <c r="E11" s="3358"/>
      <c r="F11" s="3358"/>
      <c r="G11" s="3358"/>
      <c r="H11" s="3358"/>
      <c r="I11" s="3358"/>
      <c r="J11" s="3358"/>
      <c r="K11" s="3358"/>
      <c r="L11" s="3359">
        <f>'Part III-Sources of Funds'!I49+'Part III-Sources of Funds'!I50</f>
        <v>9939906</v>
      </c>
      <c r="M11" s="3359"/>
    </row>
    <row r="12" spans="1:14" ht="1.5" customHeight="1">
      <c r="G12" s="779"/>
      <c r="H12" s="779"/>
    </row>
    <row r="13" spans="1:14" ht="25.95" customHeight="1">
      <c r="A13" s="811" t="s">
        <v>1937</v>
      </c>
      <c r="B13" s="3358" t="s">
        <v>3228</v>
      </c>
      <c r="C13" s="3358"/>
      <c r="D13" s="3358"/>
      <c r="E13" s="3358"/>
      <c r="F13" s="3358"/>
      <c r="G13" s="3358"/>
      <c r="H13" s="3358"/>
      <c r="I13" s="3358"/>
      <c r="J13" s="3358"/>
      <c r="K13" s="3358"/>
      <c r="L13" s="3360" t="s">
        <v>3061</v>
      </c>
      <c r="M13" s="3360"/>
    </row>
    <row r="14" spans="1:14">
      <c r="A14" s="811"/>
      <c r="B14" s="3278"/>
      <c r="C14" s="3278"/>
      <c r="D14" s="3278"/>
      <c r="E14" s="3278"/>
      <c r="F14" s="3278"/>
      <c r="G14" s="3278"/>
      <c r="H14" s="3278"/>
    </row>
    <row r="15" spans="1:14" ht="3" customHeight="1"/>
    <row r="16" spans="1:14">
      <c r="A16" s="811" t="s">
        <v>731</v>
      </c>
      <c r="B16" s="730" t="s">
        <v>3231</v>
      </c>
      <c r="F16" s="803"/>
      <c r="L16" s="3275" t="s">
        <v>2887</v>
      </c>
      <c r="M16" s="3275"/>
    </row>
    <row r="17" spans="1:19" ht="1.5" customHeight="1">
      <c r="L17" s="785"/>
    </row>
    <row r="18" spans="1:19" ht="12" customHeight="1">
      <c r="A18" s="811" t="s">
        <v>2064</v>
      </c>
      <c r="B18" s="779" t="s">
        <v>3229</v>
      </c>
      <c r="C18" s="811"/>
      <c r="D18" s="811"/>
      <c r="E18" s="811"/>
      <c r="L18" s="3278" t="s">
        <v>2727</v>
      </c>
      <c r="M18" s="3278"/>
    </row>
    <row r="19" spans="1:19" ht="12" hidden="1" customHeight="1">
      <c r="B19" s="3278"/>
      <c r="C19" s="3278"/>
      <c r="D19" s="3278"/>
      <c r="E19" s="3278"/>
      <c r="F19" s="3278"/>
      <c r="G19" s="3278"/>
      <c r="H19" s="3278"/>
    </row>
    <row r="20" spans="1:19" ht="13.5" customHeight="1"/>
    <row r="21" spans="1:19" ht="12" customHeight="1">
      <c r="A21" s="667" t="s">
        <v>3136</v>
      </c>
    </row>
    <row r="22" spans="1:19" ht="3" customHeight="1"/>
    <row r="23" spans="1:19" ht="42.6" customHeight="1" thickBot="1">
      <c r="A23" s="3361" t="s">
        <v>4821</v>
      </c>
      <c r="B23" s="3361"/>
      <c r="C23" s="3361"/>
      <c r="D23" s="3361"/>
      <c r="E23" s="3361"/>
      <c r="F23" s="3361"/>
      <c r="G23" s="3361"/>
      <c r="H23" s="3361"/>
      <c r="I23" s="3361"/>
      <c r="J23" s="3361"/>
      <c r="K23" s="3361"/>
      <c r="L23" s="3361"/>
      <c r="M23" s="3361"/>
    </row>
    <row r="24" spans="1:19" ht="18" customHeight="1" thickBot="1">
      <c r="A24" s="2036"/>
      <c r="B24" s="3391" t="s">
        <v>6842</v>
      </c>
      <c r="F24" s="3382" t="s">
        <v>6844</v>
      </c>
      <c r="G24" s="3383"/>
      <c r="H24" s="3383"/>
      <c r="I24" s="3383"/>
      <c r="J24" s="3383"/>
      <c r="K24" s="3383"/>
      <c r="L24" s="3383"/>
      <c r="M24" s="3384"/>
      <c r="S24" s="730"/>
    </row>
    <row r="25" spans="1:19" ht="15" customHeight="1">
      <c r="A25" s="2036"/>
      <c r="B25" s="3391"/>
      <c r="D25" s="3391" t="s">
        <v>6840</v>
      </c>
      <c r="E25" s="3391" t="s">
        <v>6843</v>
      </c>
      <c r="F25" s="3367" t="s">
        <v>6847</v>
      </c>
      <c r="G25" s="3368"/>
      <c r="H25" s="3373" t="s">
        <v>1326</v>
      </c>
      <c r="I25" s="3385" t="s">
        <v>6841</v>
      </c>
      <c r="J25" s="3386"/>
      <c r="K25" s="3386"/>
      <c r="L25" s="3386"/>
      <c r="M25" s="3387"/>
      <c r="S25" s="730"/>
    </row>
    <row r="26" spans="1:19" ht="15" customHeight="1">
      <c r="A26" s="3362" t="s">
        <v>1018</v>
      </c>
      <c r="B26" s="3391"/>
      <c r="C26" s="807"/>
      <c r="D26" s="3391"/>
      <c r="E26" s="3391"/>
      <c r="F26" s="3369"/>
      <c r="G26" s="3370"/>
      <c r="H26" s="3374"/>
      <c r="I26" s="3376" t="s">
        <v>6845</v>
      </c>
      <c r="J26" s="3377"/>
      <c r="K26" s="3388" t="s">
        <v>1326</v>
      </c>
      <c r="L26" s="3377" t="s">
        <v>6846</v>
      </c>
      <c r="M26" s="3380"/>
      <c r="S26" s="730"/>
    </row>
    <row r="27" spans="1:19" ht="15" customHeight="1">
      <c r="A27" s="3362"/>
      <c r="B27" s="3391"/>
      <c r="C27" s="3362" t="s">
        <v>6839</v>
      </c>
      <c r="D27" s="3391"/>
      <c r="E27" s="3391"/>
      <c r="F27" s="3369"/>
      <c r="G27" s="3370"/>
      <c r="H27" s="3374"/>
      <c r="I27" s="3376"/>
      <c r="J27" s="3377"/>
      <c r="K27" s="3389"/>
      <c r="L27" s="3377"/>
      <c r="M27" s="3380"/>
      <c r="S27" s="730"/>
    </row>
    <row r="28" spans="1:19" ht="15" customHeight="1" thickBot="1">
      <c r="A28" s="3362"/>
      <c r="B28" s="3362"/>
      <c r="C28" s="3362"/>
      <c r="D28" s="3362"/>
      <c r="E28" s="3362"/>
      <c r="F28" s="3371"/>
      <c r="G28" s="3372"/>
      <c r="H28" s="3375"/>
      <c r="I28" s="3378"/>
      <c r="J28" s="3379"/>
      <c r="K28" s="3390"/>
      <c r="L28" s="3379"/>
      <c r="M28" s="3381"/>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3"/>
      <c r="G30" s="3364"/>
      <c r="H30" s="538"/>
      <c r="I30" s="737"/>
      <c r="J30" s="538"/>
      <c r="K30" s="538"/>
      <c r="L30" s="538"/>
      <c r="M30" s="538"/>
      <c r="S30" s="730"/>
    </row>
    <row r="31" spans="1:19" ht="13.2" customHeight="1">
      <c r="A31" s="2039"/>
      <c r="B31" s="538"/>
      <c r="C31" s="538" t="s">
        <v>551</v>
      </c>
      <c r="D31" s="2032"/>
      <c r="E31" s="2033"/>
      <c r="F31" s="3365"/>
      <c r="G31" s="3365"/>
      <c r="H31" s="3365"/>
      <c r="I31" s="3365"/>
      <c r="J31" s="3365"/>
      <c r="K31" s="3365"/>
      <c r="L31" s="3365"/>
      <c r="M31" s="3366"/>
      <c r="S31" s="730"/>
    </row>
    <row r="32" spans="1:19" ht="13.2" customHeight="1">
      <c r="A32" s="2039"/>
      <c r="B32" s="538"/>
      <c r="C32" s="538" t="s">
        <v>551</v>
      </c>
      <c r="D32" s="2032"/>
      <c r="E32" s="2033"/>
      <c r="F32" s="3365"/>
      <c r="G32" s="3365"/>
      <c r="H32" s="3365"/>
      <c r="I32" s="3365"/>
      <c r="J32" s="3365"/>
      <c r="K32" s="3365"/>
      <c r="L32" s="3365"/>
      <c r="M32" s="3366"/>
      <c r="S32" s="730"/>
    </row>
    <row r="33" spans="1:19" ht="13.2" customHeight="1">
      <c r="A33" s="2039"/>
      <c r="B33" s="538"/>
      <c r="C33" s="538" t="s">
        <v>551</v>
      </c>
      <c r="D33" s="2032"/>
      <c r="E33" s="2033"/>
      <c r="F33" s="3365"/>
      <c r="G33" s="3365"/>
      <c r="H33" s="3365"/>
      <c r="I33" s="3365"/>
      <c r="J33" s="3365"/>
      <c r="K33" s="3365"/>
      <c r="L33" s="3365"/>
      <c r="M33" s="3366"/>
      <c r="S33" s="730"/>
    </row>
    <row r="34" spans="1:19" ht="13.2" customHeight="1">
      <c r="A34" s="2035">
        <f>A30</f>
        <v>20</v>
      </c>
      <c r="B34" s="812" t="str">
        <f>IF('Part VI-Revenues &amp; Expenses'!$L$62=0,"",'Part VI-Revenues &amp; Expenses'!$L$62)</f>
        <v/>
      </c>
      <c r="C34" s="2031">
        <v>1</v>
      </c>
      <c r="D34" s="538"/>
      <c r="E34" s="538"/>
      <c r="F34" s="3363"/>
      <c r="G34" s="3364"/>
      <c r="H34" s="2031"/>
      <c r="I34" s="2031"/>
      <c r="J34" s="2031"/>
      <c r="K34" s="2031"/>
      <c r="L34" s="2031"/>
      <c r="M34" s="2031"/>
      <c r="S34" s="730"/>
    </row>
    <row r="35" spans="1:19" ht="13.2" customHeight="1">
      <c r="A35" s="2035"/>
      <c r="B35" s="538"/>
      <c r="C35" s="2034">
        <v>1</v>
      </c>
      <c r="D35" s="2032"/>
      <c r="E35" s="2033"/>
      <c r="F35" s="3365"/>
      <c r="G35" s="3365"/>
      <c r="H35" s="3365"/>
      <c r="I35" s="3365"/>
      <c r="J35" s="3365"/>
      <c r="K35" s="3365"/>
      <c r="L35" s="3365"/>
      <c r="M35" s="3366"/>
      <c r="S35" s="730"/>
    </row>
    <row r="36" spans="1:19" ht="13.2" customHeight="1">
      <c r="A36" s="2035"/>
      <c r="B36" s="538"/>
      <c r="C36" s="2034">
        <v>1</v>
      </c>
      <c r="D36" s="2032"/>
      <c r="E36" s="2033"/>
      <c r="F36" s="3365"/>
      <c r="G36" s="3365"/>
      <c r="H36" s="3365"/>
      <c r="I36" s="3365"/>
      <c r="J36" s="3365"/>
      <c r="K36" s="3365"/>
      <c r="L36" s="3365"/>
      <c r="M36" s="3366"/>
      <c r="S36" s="730"/>
    </row>
    <row r="37" spans="1:19" ht="13.2" customHeight="1">
      <c r="A37" s="2035"/>
      <c r="B37" s="538"/>
      <c r="C37" s="2034">
        <v>1</v>
      </c>
      <c r="D37" s="2032"/>
      <c r="E37" s="2033"/>
      <c r="F37" s="3365"/>
      <c r="G37" s="3365"/>
      <c r="H37" s="3365"/>
      <c r="I37" s="3365"/>
      <c r="J37" s="3365"/>
      <c r="K37" s="3365"/>
      <c r="L37" s="3365"/>
      <c r="M37" s="3366"/>
      <c r="S37" s="730"/>
    </row>
    <row r="38" spans="1:19" ht="13.2" customHeight="1">
      <c r="A38" s="2035">
        <f>A30</f>
        <v>20</v>
      </c>
      <c r="B38" s="812" t="str">
        <f>IF('Part VI-Revenues &amp; Expenses'!$M$62=0,"",'Part VI-Revenues &amp; Expenses'!$M$62)</f>
        <v/>
      </c>
      <c r="C38" s="2031">
        <v>2</v>
      </c>
      <c r="D38" s="538"/>
      <c r="E38" s="538"/>
      <c r="F38" s="3363"/>
      <c r="G38" s="3364"/>
      <c r="H38" s="2031"/>
      <c r="I38" s="2031"/>
      <c r="J38" s="2031"/>
      <c r="K38" s="2031"/>
      <c r="L38" s="2031"/>
      <c r="M38" s="2031"/>
      <c r="S38" s="730"/>
    </row>
    <row r="39" spans="1:19" ht="13.2" customHeight="1">
      <c r="A39" s="2035"/>
      <c r="B39" s="538"/>
      <c r="C39" s="2034">
        <v>2</v>
      </c>
      <c r="D39" s="2032"/>
      <c r="E39" s="2033"/>
      <c r="F39" s="3365"/>
      <c r="G39" s="3365"/>
      <c r="H39" s="3365"/>
      <c r="I39" s="3365"/>
      <c r="J39" s="3365"/>
      <c r="K39" s="3365"/>
      <c r="L39" s="3365"/>
      <c r="M39" s="3366"/>
      <c r="S39" s="730"/>
    </row>
    <row r="40" spans="1:19" ht="13.2" customHeight="1">
      <c r="A40" s="2035"/>
      <c r="B40" s="538"/>
      <c r="C40" s="2034">
        <v>2</v>
      </c>
      <c r="D40" s="2032"/>
      <c r="E40" s="2033"/>
      <c r="F40" s="3365"/>
      <c r="G40" s="3365"/>
      <c r="H40" s="3365"/>
      <c r="I40" s="3365"/>
      <c r="J40" s="3365"/>
      <c r="K40" s="3365"/>
      <c r="L40" s="3365"/>
      <c r="M40" s="3366"/>
      <c r="S40" s="730"/>
    </row>
    <row r="41" spans="1:19" ht="13.2" customHeight="1">
      <c r="A41" s="2035"/>
      <c r="B41" s="538"/>
      <c r="C41" s="2034">
        <v>2</v>
      </c>
      <c r="D41" s="2032"/>
      <c r="E41" s="2033"/>
      <c r="F41" s="3365"/>
      <c r="G41" s="3365"/>
      <c r="H41" s="3365"/>
      <c r="I41" s="3365"/>
      <c r="J41" s="3365"/>
      <c r="K41" s="3365"/>
      <c r="L41" s="3365"/>
      <c r="M41" s="3366"/>
      <c r="S41" s="730"/>
    </row>
    <row r="42" spans="1:19" ht="13.2" customHeight="1">
      <c r="A42" s="2035"/>
      <c r="B42" s="538"/>
      <c r="C42" s="2034">
        <v>2</v>
      </c>
      <c r="D42" s="2032"/>
      <c r="E42" s="2033"/>
      <c r="F42" s="3365"/>
      <c r="G42" s="3365"/>
      <c r="H42" s="3365"/>
      <c r="I42" s="3365"/>
      <c r="J42" s="3365"/>
      <c r="K42" s="3365"/>
      <c r="L42" s="3365"/>
      <c r="M42" s="3366"/>
      <c r="S42" s="730"/>
    </row>
    <row r="43" spans="1:19" ht="13.2" customHeight="1">
      <c r="A43" s="2035">
        <f>A30</f>
        <v>20</v>
      </c>
      <c r="B43" s="812" t="str">
        <f>IF('Part VI-Revenues &amp; Expenses'!$N$62=0,"",'Part VI-Revenues &amp; Expenses'!$N$62)</f>
        <v/>
      </c>
      <c r="C43" s="2031">
        <v>3</v>
      </c>
      <c r="D43" s="538"/>
      <c r="E43" s="538"/>
      <c r="F43" s="3363"/>
      <c r="G43" s="3364"/>
      <c r="H43" s="2031"/>
      <c r="I43" s="2031"/>
      <c r="J43" s="2031"/>
      <c r="K43" s="2031"/>
      <c r="L43" s="2031"/>
      <c r="M43" s="2031"/>
      <c r="S43" s="730"/>
    </row>
    <row r="44" spans="1:19" ht="13.2" customHeight="1">
      <c r="A44" s="2035"/>
      <c r="B44" s="538"/>
      <c r="C44" s="2034">
        <v>3</v>
      </c>
      <c r="D44" s="2032"/>
      <c r="E44" s="2033"/>
      <c r="F44" s="3365"/>
      <c r="G44" s="3365"/>
      <c r="H44" s="3365"/>
      <c r="I44" s="3365"/>
      <c r="J44" s="3365"/>
      <c r="K44" s="3365"/>
      <c r="L44" s="3365"/>
      <c r="M44" s="3366"/>
      <c r="S44" s="730"/>
    </row>
    <row r="45" spans="1:19" ht="13.2" customHeight="1">
      <c r="A45" s="2035"/>
      <c r="B45" s="538"/>
      <c r="C45" s="2034">
        <v>3</v>
      </c>
      <c r="D45" s="2032"/>
      <c r="E45" s="2033"/>
      <c r="F45" s="3365"/>
      <c r="G45" s="3365"/>
      <c r="H45" s="3365"/>
      <c r="I45" s="3365"/>
      <c r="J45" s="3365"/>
      <c r="K45" s="3365"/>
      <c r="L45" s="3365"/>
      <c r="M45" s="3366"/>
      <c r="S45" s="730"/>
    </row>
    <row r="46" spans="1:19" ht="13.2" customHeight="1">
      <c r="A46" s="2035"/>
      <c r="B46" s="538"/>
      <c r="C46" s="2034">
        <v>3</v>
      </c>
      <c r="D46" s="2032"/>
      <c r="E46" s="2033"/>
      <c r="F46" s="3365"/>
      <c r="G46" s="3365"/>
      <c r="H46" s="3365"/>
      <c r="I46" s="3365"/>
      <c r="J46" s="3365"/>
      <c r="K46" s="3365"/>
      <c r="L46" s="3365"/>
      <c r="M46" s="3366"/>
      <c r="S46" s="730"/>
    </row>
    <row r="47" spans="1:19" ht="13.2" customHeight="1">
      <c r="A47" s="2035"/>
      <c r="B47" s="538"/>
      <c r="C47" s="2034">
        <v>3</v>
      </c>
      <c r="D47" s="2032"/>
      <c r="E47" s="2033"/>
      <c r="F47" s="3365"/>
      <c r="G47" s="3365"/>
      <c r="H47" s="3365"/>
      <c r="I47" s="3365"/>
      <c r="J47" s="3365"/>
      <c r="K47" s="3365"/>
      <c r="L47" s="3365"/>
      <c r="M47" s="3366"/>
      <c r="S47" s="730"/>
    </row>
    <row r="48" spans="1:19" ht="13.2" customHeight="1">
      <c r="A48" s="2035">
        <f>A30</f>
        <v>20</v>
      </c>
      <c r="B48" s="812" t="str">
        <f>IF('Part VI-Revenues &amp; Expenses'!$O$62=0,"",'Part VI-Revenues &amp; Expenses'!$O$62)</f>
        <v/>
      </c>
      <c r="C48" s="2031">
        <v>4</v>
      </c>
      <c r="D48" s="538"/>
      <c r="E48" s="538"/>
      <c r="F48" s="3363"/>
      <c r="G48" s="3364"/>
      <c r="H48" s="2031"/>
      <c r="I48" s="2031"/>
      <c r="J48" s="2031"/>
      <c r="K48" s="2031"/>
      <c r="L48" s="2031"/>
      <c r="M48" s="2031"/>
      <c r="S48" s="730"/>
    </row>
    <row r="49" spans="1:19" ht="13.2" customHeight="1">
      <c r="A49" s="2039"/>
      <c r="B49" s="538"/>
      <c r="C49" s="2034">
        <v>4</v>
      </c>
      <c r="D49" s="2032"/>
      <c r="E49" s="2033"/>
      <c r="F49" s="3365"/>
      <c r="G49" s="3365"/>
      <c r="H49" s="3365"/>
      <c r="I49" s="3365"/>
      <c r="J49" s="3365"/>
      <c r="K49" s="3365"/>
      <c r="L49" s="3365"/>
      <c r="M49" s="3366"/>
      <c r="S49" s="730"/>
    </row>
    <row r="50" spans="1:19" ht="13.2" customHeight="1">
      <c r="A50" s="2036"/>
      <c r="C50" s="2034">
        <v>4</v>
      </c>
      <c r="D50" s="2032"/>
      <c r="E50" s="2033"/>
      <c r="F50" s="3365"/>
      <c r="G50" s="3365"/>
      <c r="H50" s="3365"/>
      <c r="I50" s="3365"/>
      <c r="J50" s="3365"/>
      <c r="K50" s="3365"/>
      <c r="L50" s="3365"/>
      <c r="M50" s="3366"/>
      <c r="S50" s="730"/>
    </row>
    <row r="51" spans="1:19" ht="13.2" customHeight="1">
      <c r="A51" s="2036"/>
      <c r="C51" s="2034">
        <v>4</v>
      </c>
      <c r="D51" s="2032"/>
      <c r="E51" s="2033"/>
      <c r="F51" s="3365"/>
      <c r="G51" s="3365"/>
      <c r="H51" s="3365"/>
      <c r="I51" s="3365"/>
      <c r="J51" s="3365"/>
      <c r="K51" s="3365"/>
      <c r="L51" s="3365"/>
      <c r="M51" s="3366"/>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3"/>
      <c r="G54" s="3364"/>
      <c r="H54" s="538"/>
      <c r="I54" s="737"/>
      <c r="J54" s="538"/>
      <c r="K54" s="538"/>
      <c r="L54" s="538"/>
      <c r="M54" s="538"/>
      <c r="S54" s="730"/>
    </row>
    <row r="55" spans="1:19" ht="13.2" customHeight="1">
      <c r="A55" s="2039"/>
      <c r="B55" s="538"/>
      <c r="C55" s="538" t="s">
        <v>551</v>
      </c>
      <c r="D55" s="2032"/>
      <c r="E55" s="2033"/>
      <c r="F55" s="3365"/>
      <c r="G55" s="3365"/>
      <c r="H55" s="3365"/>
      <c r="I55" s="3365"/>
      <c r="J55" s="3365"/>
      <c r="K55" s="3365"/>
      <c r="L55" s="3365"/>
      <c r="M55" s="3366"/>
      <c r="S55" s="730"/>
    </row>
    <row r="56" spans="1:19" ht="13.2" customHeight="1">
      <c r="A56" s="2039"/>
      <c r="B56" s="538"/>
      <c r="C56" s="538" t="s">
        <v>551</v>
      </c>
      <c r="D56" s="2032"/>
      <c r="E56" s="2033"/>
      <c r="F56" s="3365"/>
      <c r="G56" s="3365"/>
      <c r="H56" s="3365"/>
      <c r="I56" s="3365"/>
      <c r="J56" s="3365"/>
      <c r="K56" s="3365"/>
      <c r="L56" s="3365"/>
      <c r="M56" s="3366"/>
      <c r="S56" s="730"/>
    </row>
    <row r="57" spans="1:19" ht="13.2" customHeight="1">
      <c r="A57" s="2039"/>
      <c r="B57" s="538"/>
      <c r="C57" s="538" t="s">
        <v>551</v>
      </c>
      <c r="D57" s="2032"/>
      <c r="E57" s="2033"/>
      <c r="F57" s="3365"/>
      <c r="G57" s="3365"/>
      <c r="H57" s="3365"/>
      <c r="I57" s="3365"/>
      <c r="J57" s="3365"/>
      <c r="K57" s="3365"/>
      <c r="L57" s="3365"/>
      <c r="M57" s="3366"/>
      <c r="S57" s="730"/>
    </row>
    <row r="58" spans="1:19" ht="13.2" customHeight="1">
      <c r="A58" s="2035">
        <f>A54</f>
        <v>30</v>
      </c>
      <c r="B58" s="812" t="str">
        <f>IF('Part VI-Revenues &amp; Expenses'!$L$61=0,"",'Part VI-Revenues &amp; Expenses'!$L$61)</f>
        <v/>
      </c>
      <c r="C58" s="2031">
        <v>1</v>
      </c>
      <c r="D58" s="538"/>
      <c r="E58" s="538"/>
      <c r="F58" s="3363"/>
      <c r="G58" s="3364"/>
      <c r="H58" s="2031"/>
      <c r="I58" s="2031"/>
      <c r="J58" s="2031"/>
      <c r="K58" s="2031"/>
      <c r="L58" s="2031"/>
      <c r="M58" s="2031"/>
      <c r="S58" s="730"/>
    </row>
    <row r="59" spans="1:19" ht="13.2" customHeight="1">
      <c r="A59" s="2035"/>
      <c r="B59" s="538"/>
      <c r="C59" s="2034">
        <v>1</v>
      </c>
      <c r="D59" s="2032"/>
      <c r="E59" s="2033"/>
      <c r="F59" s="3365"/>
      <c r="G59" s="3365"/>
      <c r="H59" s="3365"/>
      <c r="I59" s="3365"/>
      <c r="J59" s="3365"/>
      <c r="K59" s="3365"/>
      <c r="L59" s="3365"/>
      <c r="M59" s="3366"/>
      <c r="S59" s="730"/>
    </row>
    <row r="60" spans="1:19" ht="13.2" customHeight="1">
      <c r="A60" s="2035"/>
      <c r="B60" s="538"/>
      <c r="C60" s="2034">
        <v>1</v>
      </c>
      <c r="D60" s="2032"/>
      <c r="E60" s="2033"/>
      <c r="F60" s="3365"/>
      <c r="G60" s="3365"/>
      <c r="H60" s="3365"/>
      <c r="I60" s="3365"/>
      <c r="J60" s="3365"/>
      <c r="K60" s="3365"/>
      <c r="L60" s="3365"/>
      <c r="M60" s="3366"/>
      <c r="S60" s="730"/>
    </row>
    <row r="61" spans="1:19" ht="13.2" customHeight="1">
      <c r="A61" s="2035"/>
      <c r="B61" s="538"/>
      <c r="C61" s="2034">
        <v>1</v>
      </c>
      <c r="D61" s="2032"/>
      <c r="E61" s="2033"/>
      <c r="F61" s="3365"/>
      <c r="G61" s="3365"/>
      <c r="H61" s="3365"/>
      <c r="I61" s="3365"/>
      <c r="J61" s="3365"/>
      <c r="K61" s="3365"/>
      <c r="L61" s="3365"/>
      <c r="M61" s="3366"/>
      <c r="S61" s="730"/>
    </row>
    <row r="62" spans="1:19" ht="13.2" customHeight="1">
      <c r="A62" s="2035">
        <f>A54</f>
        <v>30</v>
      </c>
      <c r="B62" s="812" t="str">
        <f>IF('Part VI-Revenues &amp; Expenses'!$M$61=0,"",'Part VI-Revenues &amp; Expenses'!$M$61)</f>
        <v/>
      </c>
      <c r="C62" s="2031">
        <v>2</v>
      </c>
      <c r="D62" s="538"/>
      <c r="E62" s="538"/>
      <c r="F62" s="3363"/>
      <c r="G62" s="3364"/>
      <c r="H62" s="2031"/>
      <c r="I62" s="2031"/>
      <c r="J62" s="2031"/>
      <c r="K62" s="2031"/>
      <c r="L62" s="2031"/>
      <c r="M62" s="2031"/>
      <c r="S62" s="730"/>
    </row>
    <row r="63" spans="1:19" ht="13.2" customHeight="1">
      <c r="A63" s="2035"/>
      <c r="B63" s="538"/>
      <c r="C63" s="2034">
        <v>2</v>
      </c>
      <c r="D63" s="2032"/>
      <c r="E63" s="2033"/>
      <c r="F63" s="3365"/>
      <c r="G63" s="3365"/>
      <c r="H63" s="3365"/>
      <c r="I63" s="3365"/>
      <c r="J63" s="3365"/>
      <c r="K63" s="3365"/>
      <c r="L63" s="3365"/>
      <c r="M63" s="3366"/>
      <c r="S63" s="730"/>
    </row>
    <row r="64" spans="1:19" ht="13.2" customHeight="1">
      <c r="A64" s="2035"/>
      <c r="B64" s="538"/>
      <c r="C64" s="2034">
        <v>2</v>
      </c>
      <c r="D64" s="2032"/>
      <c r="E64" s="2033"/>
      <c r="F64" s="3365"/>
      <c r="G64" s="3365"/>
      <c r="H64" s="3365"/>
      <c r="I64" s="3365"/>
      <c r="J64" s="3365"/>
      <c r="K64" s="3365"/>
      <c r="L64" s="3365"/>
      <c r="M64" s="3366"/>
      <c r="S64" s="730"/>
    </row>
    <row r="65" spans="1:19" ht="13.2" customHeight="1">
      <c r="A65" s="2035"/>
      <c r="B65" s="538"/>
      <c r="C65" s="2034">
        <v>2</v>
      </c>
      <c r="D65" s="2032"/>
      <c r="E65" s="2033"/>
      <c r="F65" s="3365"/>
      <c r="G65" s="3365"/>
      <c r="H65" s="3365"/>
      <c r="I65" s="3365"/>
      <c r="J65" s="3365"/>
      <c r="K65" s="3365"/>
      <c r="L65" s="3365"/>
      <c r="M65" s="3366"/>
      <c r="S65" s="730"/>
    </row>
    <row r="66" spans="1:19" ht="13.2" customHeight="1">
      <c r="A66" s="2035"/>
      <c r="B66" s="538"/>
      <c r="C66" s="2034">
        <v>2</v>
      </c>
      <c r="D66" s="2032"/>
      <c r="E66" s="2033"/>
      <c r="F66" s="3365"/>
      <c r="G66" s="3365"/>
      <c r="H66" s="3365"/>
      <c r="I66" s="3365"/>
      <c r="J66" s="3365"/>
      <c r="K66" s="3365"/>
      <c r="L66" s="3365"/>
      <c r="M66" s="3366"/>
      <c r="S66" s="730"/>
    </row>
    <row r="67" spans="1:19" ht="13.2" customHeight="1">
      <c r="A67" s="2035">
        <f>A54</f>
        <v>30</v>
      </c>
      <c r="B67" s="812" t="str">
        <f>IF('Part VI-Revenues &amp; Expenses'!$N$61=0,"",'Part VI-Revenues &amp; Expenses'!$N$61)</f>
        <v/>
      </c>
      <c r="C67" s="2031">
        <v>3</v>
      </c>
      <c r="D67" s="538"/>
      <c r="E67" s="538"/>
      <c r="F67" s="3363"/>
      <c r="G67" s="3364"/>
      <c r="H67" s="2031"/>
      <c r="I67" s="2031"/>
      <c r="J67" s="2031"/>
      <c r="K67" s="2031"/>
      <c r="L67" s="2031"/>
      <c r="M67" s="2031"/>
      <c r="S67" s="730"/>
    </row>
    <row r="68" spans="1:19" ht="13.2" customHeight="1">
      <c r="A68" s="2035"/>
      <c r="B68" s="538"/>
      <c r="C68" s="2034">
        <v>3</v>
      </c>
      <c r="D68" s="2032"/>
      <c r="E68" s="2033"/>
      <c r="F68" s="3365"/>
      <c r="G68" s="3365"/>
      <c r="H68" s="3365"/>
      <c r="I68" s="3365"/>
      <c r="J68" s="3365"/>
      <c r="K68" s="3365"/>
      <c r="L68" s="3365"/>
      <c r="M68" s="3366"/>
      <c r="S68" s="730"/>
    </row>
    <row r="69" spans="1:19" ht="13.2" customHeight="1">
      <c r="A69" s="2035"/>
      <c r="B69" s="538"/>
      <c r="C69" s="2034">
        <v>3</v>
      </c>
      <c r="D69" s="2032"/>
      <c r="E69" s="2033"/>
      <c r="F69" s="3365"/>
      <c r="G69" s="3365"/>
      <c r="H69" s="3365"/>
      <c r="I69" s="3365"/>
      <c r="J69" s="3365"/>
      <c r="K69" s="3365"/>
      <c r="L69" s="3365"/>
      <c r="M69" s="3366"/>
      <c r="S69" s="730"/>
    </row>
    <row r="70" spans="1:19" ht="13.2" customHeight="1">
      <c r="A70" s="2035"/>
      <c r="B70" s="538"/>
      <c r="C70" s="2034">
        <v>3</v>
      </c>
      <c r="D70" s="2032"/>
      <c r="E70" s="2033"/>
      <c r="F70" s="3365"/>
      <c r="G70" s="3365"/>
      <c r="H70" s="3365"/>
      <c r="I70" s="3365"/>
      <c r="J70" s="3365"/>
      <c r="K70" s="3365"/>
      <c r="L70" s="3365"/>
      <c r="M70" s="3366"/>
      <c r="S70" s="730"/>
    </row>
    <row r="71" spans="1:19" ht="13.2" customHeight="1">
      <c r="A71" s="2035"/>
      <c r="B71" s="538"/>
      <c r="C71" s="2034">
        <v>3</v>
      </c>
      <c r="D71" s="2032"/>
      <c r="E71" s="2033"/>
      <c r="F71" s="3365"/>
      <c r="G71" s="3365"/>
      <c r="H71" s="3365"/>
      <c r="I71" s="3365"/>
      <c r="J71" s="3365"/>
      <c r="K71" s="3365"/>
      <c r="L71" s="3365"/>
      <c r="M71" s="3366"/>
      <c r="S71" s="730"/>
    </row>
    <row r="72" spans="1:19" ht="13.2" customHeight="1">
      <c r="A72" s="2035">
        <f>A54</f>
        <v>30</v>
      </c>
      <c r="B72" s="812" t="str">
        <f>IF('Part VI-Revenues &amp; Expenses'!$O$61=0,"",'Part VI-Revenues &amp; Expenses'!$O$61)</f>
        <v/>
      </c>
      <c r="C72" s="2031">
        <v>4</v>
      </c>
      <c r="D72" s="538"/>
      <c r="E72" s="538"/>
      <c r="F72" s="3363"/>
      <c r="G72" s="3364"/>
      <c r="H72" s="2031"/>
      <c r="I72" s="2031"/>
      <c r="J72" s="2031"/>
      <c r="K72" s="2031"/>
      <c r="L72" s="2031"/>
      <c r="M72" s="2031"/>
      <c r="S72" s="730"/>
    </row>
    <row r="73" spans="1:19" ht="13.2" customHeight="1">
      <c r="A73" s="2039"/>
      <c r="B73" s="538"/>
      <c r="C73" s="2034">
        <v>4</v>
      </c>
      <c r="D73" s="2032"/>
      <c r="E73" s="2033"/>
      <c r="F73" s="3365"/>
      <c r="G73" s="3365"/>
      <c r="H73" s="3365"/>
      <c r="I73" s="3365"/>
      <c r="J73" s="3365"/>
      <c r="K73" s="3365"/>
      <c r="L73" s="3365"/>
      <c r="M73" s="3366"/>
      <c r="S73" s="730"/>
    </row>
    <row r="74" spans="1:19" ht="13.2" customHeight="1">
      <c r="A74" s="2036"/>
      <c r="C74" s="2034">
        <v>4</v>
      </c>
      <c r="D74" s="2032"/>
      <c r="E74" s="2033"/>
      <c r="F74" s="3365"/>
      <c r="G74" s="3365"/>
      <c r="H74" s="3365"/>
      <c r="I74" s="3365"/>
      <c r="J74" s="3365"/>
      <c r="K74" s="3365"/>
      <c r="L74" s="3365"/>
      <c r="M74" s="3366"/>
      <c r="S74" s="730"/>
    </row>
    <row r="75" spans="1:19" ht="13.2" customHeight="1">
      <c r="A75" s="2036"/>
      <c r="C75" s="2034">
        <v>4</v>
      </c>
      <c r="D75" s="2032"/>
      <c r="E75" s="2033"/>
      <c r="F75" s="3365"/>
      <c r="G75" s="3365"/>
      <c r="H75" s="3365"/>
      <c r="I75" s="3365"/>
      <c r="J75" s="3365"/>
      <c r="K75" s="3365"/>
      <c r="L75" s="3365"/>
      <c r="M75" s="3366"/>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3"/>
      <c r="G78" s="3364"/>
      <c r="H78" s="538"/>
      <c r="I78" s="737"/>
      <c r="J78" s="538"/>
      <c r="K78" s="538"/>
      <c r="L78" s="538"/>
      <c r="M78" s="538"/>
      <c r="S78" s="730"/>
    </row>
    <row r="79" spans="1:19" ht="13.2" customHeight="1">
      <c r="A79" s="2039"/>
      <c r="B79" s="538"/>
      <c r="C79" s="538" t="s">
        <v>551</v>
      </c>
      <c r="D79" s="2032"/>
      <c r="E79" s="2033"/>
      <c r="F79" s="3365"/>
      <c r="G79" s="3365"/>
      <c r="H79" s="3365"/>
      <c r="I79" s="3365"/>
      <c r="J79" s="3365"/>
      <c r="K79" s="3365"/>
      <c r="L79" s="3365"/>
      <c r="M79" s="3366"/>
      <c r="S79" s="730"/>
    </row>
    <row r="80" spans="1:19" ht="13.2" customHeight="1">
      <c r="A80" s="2039"/>
      <c r="B80" s="538"/>
      <c r="C80" s="538" t="s">
        <v>551</v>
      </c>
      <c r="D80" s="2032"/>
      <c r="E80" s="2033"/>
      <c r="F80" s="3365"/>
      <c r="G80" s="3365"/>
      <c r="H80" s="3365"/>
      <c r="I80" s="3365"/>
      <c r="J80" s="3365"/>
      <c r="K80" s="3365"/>
      <c r="L80" s="3365"/>
      <c r="M80" s="3366"/>
      <c r="S80" s="730"/>
    </row>
    <row r="81" spans="1:19" ht="13.2" customHeight="1">
      <c r="A81" s="2039"/>
      <c r="B81" s="538"/>
      <c r="C81" s="538" t="s">
        <v>551</v>
      </c>
      <c r="D81" s="2032"/>
      <c r="E81" s="2033"/>
      <c r="F81" s="3365"/>
      <c r="G81" s="3365"/>
      <c r="H81" s="3365"/>
      <c r="I81" s="3365"/>
      <c r="J81" s="3365"/>
      <c r="K81" s="3365"/>
      <c r="L81" s="3365"/>
      <c r="M81" s="3366"/>
      <c r="S81" s="730"/>
    </row>
    <row r="82" spans="1:19" ht="13.2" customHeight="1">
      <c r="A82" s="2035">
        <f>A78</f>
        <v>40</v>
      </c>
      <c r="B82" s="812" t="str">
        <f>IF('Part VI-Revenues &amp; Expenses'!$L$60=0,"",'Part VI-Revenues &amp; Expenses'!$L$60)</f>
        <v/>
      </c>
      <c r="C82" s="2031">
        <v>1</v>
      </c>
      <c r="D82" s="538"/>
      <c r="E82" s="538"/>
      <c r="F82" s="3363"/>
      <c r="G82" s="3364"/>
      <c r="H82" s="2031"/>
      <c r="I82" s="2031"/>
      <c r="J82" s="2031"/>
      <c r="K82" s="2031"/>
      <c r="L82" s="2031"/>
      <c r="M82" s="2031"/>
      <c r="S82" s="730"/>
    </row>
    <row r="83" spans="1:19" ht="13.2" customHeight="1">
      <c r="A83" s="2035"/>
      <c r="B83" s="538"/>
      <c r="C83" s="2034">
        <v>1</v>
      </c>
      <c r="D83" s="2032"/>
      <c r="E83" s="2033"/>
      <c r="F83" s="3365"/>
      <c r="G83" s="3365"/>
      <c r="H83" s="3365"/>
      <c r="I83" s="3365"/>
      <c r="J83" s="3365"/>
      <c r="K83" s="3365"/>
      <c r="L83" s="3365"/>
      <c r="M83" s="3366"/>
      <c r="S83" s="730"/>
    </row>
    <row r="84" spans="1:19" ht="13.2" customHeight="1">
      <c r="A84" s="2035"/>
      <c r="B84" s="538"/>
      <c r="C84" s="2034">
        <v>1</v>
      </c>
      <c r="D84" s="2032"/>
      <c r="E84" s="2033"/>
      <c r="F84" s="3365"/>
      <c r="G84" s="3365"/>
      <c r="H84" s="3365"/>
      <c r="I84" s="3365"/>
      <c r="J84" s="3365"/>
      <c r="K84" s="3365"/>
      <c r="L84" s="3365"/>
      <c r="M84" s="3366"/>
      <c r="S84" s="730"/>
    </row>
    <row r="85" spans="1:19" ht="13.2" customHeight="1">
      <c r="A85" s="2035"/>
      <c r="B85" s="538"/>
      <c r="C85" s="2034">
        <v>1</v>
      </c>
      <c r="D85" s="2032"/>
      <c r="E85" s="2033"/>
      <c r="F85" s="3365"/>
      <c r="G85" s="3365"/>
      <c r="H85" s="3365"/>
      <c r="I85" s="3365"/>
      <c r="J85" s="3365"/>
      <c r="K85" s="3365"/>
      <c r="L85" s="3365"/>
      <c r="M85" s="3366"/>
      <c r="S85" s="730"/>
    </row>
    <row r="86" spans="1:19" ht="13.2" customHeight="1">
      <c r="A86" s="2035">
        <f>A78</f>
        <v>40</v>
      </c>
      <c r="B86" s="812" t="str">
        <f>IF('Part VI-Revenues &amp; Expenses'!$M$60=0,"",'Part VI-Revenues &amp; Expenses'!$M$60)</f>
        <v/>
      </c>
      <c r="C86" s="2031">
        <v>2</v>
      </c>
      <c r="D86" s="538"/>
      <c r="E86" s="538"/>
      <c r="F86" s="3363"/>
      <c r="G86" s="3364"/>
      <c r="H86" s="2031"/>
      <c r="I86" s="2031"/>
      <c r="J86" s="2031"/>
      <c r="K86" s="2031"/>
      <c r="L86" s="2031"/>
      <c r="M86" s="2031"/>
      <c r="S86" s="730"/>
    </row>
    <row r="87" spans="1:19" ht="13.2" customHeight="1">
      <c r="A87" s="2035"/>
      <c r="B87" s="538"/>
      <c r="C87" s="2034">
        <v>2</v>
      </c>
      <c r="D87" s="2032"/>
      <c r="E87" s="2033"/>
      <c r="F87" s="3365"/>
      <c r="G87" s="3365"/>
      <c r="H87" s="3365"/>
      <c r="I87" s="3365"/>
      <c r="J87" s="3365"/>
      <c r="K87" s="3365"/>
      <c r="L87" s="3365"/>
      <c r="M87" s="3366"/>
      <c r="S87" s="730"/>
    </row>
    <row r="88" spans="1:19" ht="13.2" customHeight="1">
      <c r="A88" s="2035"/>
      <c r="B88" s="538"/>
      <c r="C88" s="2034">
        <v>2</v>
      </c>
      <c r="D88" s="2032"/>
      <c r="E88" s="2033"/>
      <c r="F88" s="3365"/>
      <c r="G88" s="3365"/>
      <c r="H88" s="3365"/>
      <c r="I88" s="3365"/>
      <c r="J88" s="3365"/>
      <c r="K88" s="3365"/>
      <c r="L88" s="3365"/>
      <c r="M88" s="3366"/>
      <c r="S88" s="730"/>
    </row>
    <row r="89" spans="1:19" ht="13.2" customHeight="1">
      <c r="A89" s="2035"/>
      <c r="B89" s="538"/>
      <c r="C89" s="2034">
        <v>2</v>
      </c>
      <c r="D89" s="2032"/>
      <c r="E89" s="2033"/>
      <c r="F89" s="3365"/>
      <c r="G89" s="3365"/>
      <c r="H89" s="3365"/>
      <c r="I89" s="3365"/>
      <c r="J89" s="3365"/>
      <c r="K89" s="3365"/>
      <c r="L89" s="3365"/>
      <c r="M89" s="3366"/>
      <c r="S89" s="730"/>
    </row>
    <row r="90" spans="1:19" ht="13.2" customHeight="1">
      <c r="A90" s="2035"/>
      <c r="B90" s="538"/>
      <c r="C90" s="2034">
        <v>2</v>
      </c>
      <c r="D90" s="2032"/>
      <c r="E90" s="2033"/>
      <c r="F90" s="3365"/>
      <c r="G90" s="3365"/>
      <c r="H90" s="3365"/>
      <c r="I90" s="3365"/>
      <c r="J90" s="3365"/>
      <c r="K90" s="3365"/>
      <c r="L90" s="3365"/>
      <c r="M90" s="3366"/>
      <c r="S90" s="730"/>
    </row>
    <row r="91" spans="1:19" ht="13.2" customHeight="1">
      <c r="A91" s="2035">
        <f>A78</f>
        <v>40</v>
      </c>
      <c r="B91" s="812" t="str">
        <f>IF('Part VI-Revenues &amp; Expenses'!$N$60=0,"",'Part VI-Revenues &amp; Expenses'!$N$60)</f>
        <v/>
      </c>
      <c r="C91" s="2031">
        <v>3</v>
      </c>
      <c r="D91" s="538"/>
      <c r="E91" s="538"/>
      <c r="F91" s="3363"/>
      <c r="G91" s="3364"/>
      <c r="H91" s="2031"/>
      <c r="I91" s="2031"/>
      <c r="J91" s="2031"/>
      <c r="K91" s="2031"/>
      <c r="L91" s="2031"/>
      <c r="M91" s="2031"/>
      <c r="S91" s="730"/>
    </row>
    <row r="92" spans="1:19" ht="13.2" customHeight="1">
      <c r="A92" s="2035"/>
      <c r="B92" s="538"/>
      <c r="C92" s="2034">
        <v>3</v>
      </c>
      <c r="D92" s="2032"/>
      <c r="E92" s="2033"/>
      <c r="F92" s="3365"/>
      <c r="G92" s="3365"/>
      <c r="H92" s="3365"/>
      <c r="I92" s="3365"/>
      <c r="J92" s="3365"/>
      <c r="K92" s="3365"/>
      <c r="L92" s="3365"/>
      <c r="M92" s="3366"/>
      <c r="S92" s="730"/>
    </row>
    <row r="93" spans="1:19" ht="13.2" customHeight="1">
      <c r="A93" s="2035"/>
      <c r="B93" s="538"/>
      <c r="C93" s="2034">
        <v>3</v>
      </c>
      <c r="D93" s="2032"/>
      <c r="E93" s="2033"/>
      <c r="F93" s="3365"/>
      <c r="G93" s="3365"/>
      <c r="H93" s="3365"/>
      <c r="I93" s="3365"/>
      <c r="J93" s="3365"/>
      <c r="K93" s="3365"/>
      <c r="L93" s="3365"/>
      <c r="M93" s="3366"/>
      <c r="S93" s="730"/>
    </row>
    <row r="94" spans="1:19" ht="13.2" customHeight="1">
      <c r="A94" s="2035"/>
      <c r="B94" s="538"/>
      <c r="C94" s="2034">
        <v>3</v>
      </c>
      <c r="D94" s="2032"/>
      <c r="E94" s="2033"/>
      <c r="F94" s="3365"/>
      <c r="G94" s="3365"/>
      <c r="H94" s="3365"/>
      <c r="I94" s="3365"/>
      <c r="J94" s="3365"/>
      <c r="K94" s="3365"/>
      <c r="L94" s="3365"/>
      <c r="M94" s="3366"/>
      <c r="S94" s="730"/>
    </row>
    <row r="95" spans="1:19" ht="13.2" customHeight="1">
      <c r="A95" s="2035"/>
      <c r="B95" s="538"/>
      <c r="C95" s="2034">
        <v>3</v>
      </c>
      <c r="D95" s="2032"/>
      <c r="E95" s="2033"/>
      <c r="F95" s="3365"/>
      <c r="G95" s="3365"/>
      <c r="H95" s="3365"/>
      <c r="I95" s="3365"/>
      <c r="J95" s="3365"/>
      <c r="K95" s="3365"/>
      <c r="L95" s="3365"/>
      <c r="M95" s="3366"/>
      <c r="S95" s="730"/>
    </row>
    <row r="96" spans="1:19" ht="13.2" customHeight="1">
      <c r="A96" s="2035">
        <f>A78</f>
        <v>40</v>
      </c>
      <c r="B96" s="812" t="str">
        <f>IF('Part VI-Revenues &amp; Expenses'!$O$60=0,"",'Part VI-Revenues &amp; Expenses'!$O$60)</f>
        <v/>
      </c>
      <c r="C96" s="2031">
        <v>4</v>
      </c>
      <c r="D96" s="538"/>
      <c r="E96" s="538"/>
      <c r="F96" s="3363"/>
      <c r="G96" s="3364"/>
      <c r="H96" s="2031"/>
      <c r="I96" s="2031"/>
      <c r="J96" s="2031"/>
      <c r="K96" s="2031"/>
      <c r="L96" s="2031"/>
      <c r="M96" s="2031"/>
      <c r="S96" s="730"/>
    </row>
    <row r="97" spans="1:19" ht="13.2" customHeight="1">
      <c r="A97" s="2039"/>
      <c r="B97" s="538"/>
      <c r="C97" s="2034">
        <v>4</v>
      </c>
      <c r="D97" s="2032"/>
      <c r="E97" s="2033"/>
      <c r="F97" s="3365"/>
      <c r="G97" s="3365"/>
      <c r="H97" s="3365"/>
      <c r="I97" s="3365"/>
      <c r="J97" s="3365"/>
      <c r="K97" s="3365"/>
      <c r="L97" s="3365"/>
      <c r="M97" s="3366"/>
      <c r="S97" s="730"/>
    </row>
    <row r="98" spans="1:19" ht="13.2" customHeight="1">
      <c r="A98" s="2036"/>
      <c r="C98" s="2034">
        <v>4</v>
      </c>
      <c r="D98" s="2032"/>
      <c r="E98" s="2033"/>
      <c r="F98" s="3365"/>
      <c r="G98" s="3365"/>
      <c r="H98" s="3365"/>
      <c r="I98" s="3365"/>
      <c r="J98" s="3365"/>
      <c r="K98" s="3365"/>
      <c r="L98" s="3365"/>
      <c r="M98" s="3366"/>
      <c r="S98" s="730"/>
    </row>
    <row r="99" spans="1:19" ht="13.2" customHeight="1">
      <c r="A99" s="2036"/>
      <c r="C99" s="2034">
        <v>4</v>
      </c>
      <c r="D99" s="2032"/>
      <c r="E99" s="2033"/>
      <c r="F99" s="3365"/>
      <c r="G99" s="3365"/>
      <c r="H99" s="3365"/>
      <c r="I99" s="3365"/>
      <c r="J99" s="3365"/>
      <c r="K99" s="3365"/>
      <c r="L99" s="3365"/>
      <c r="M99" s="3366"/>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3"/>
      <c r="G102" s="3364"/>
      <c r="H102" s="538"/>
      <c r="I102" s="737"/>
      <c r="J102" s="538"/>
      <c r="K102" s="538"/>
      <c r="L102" s="538"/>
      <c r="M102" s="538"/>
      <c r="S102" s="730"/>
    </row>
    <row r="103" spans="1:19" ht="13.2" customHeight="1">
      <c r="A103" s="2039"/>
      <c r="B103" s="538"/>
      <c r="C103" s="538" t="s">
        <v>551</v>
      </c>
      <c r="D103" s="2032"/>
      <c r="E103" s="2033"/>
      <c r="F103" s="3365"/>
      <c r="G103" s="3365"/>
      <c r="H103" s="3365"/>
      <c r="I103" s="3365"/>
      <c r="J103" s="3365"/>
      <c r="K103" s="3365"/>
      <c r="L103" s="3365"/>
      <c r="M103" s="3366"/>
      <c r="S103" s="730"/>
    </row>
    <row r="104" spans="1:19" ht="13.2" customHeight="1">
      <c r="A104" s="2039"/>
      <c r="B104" s="538"/>
      <c r="C104" s="538" t="s">
        <v>551</v>
      </c>
      <c r="D104" s="2032"/>
      <c r="E104" s="2033"/>
      <c r="F104" s="3365"/>
      <c r="G104" s="3365"/>
      <c r="H104" s="3365"/>
      <c r="I104" s="3365"/>
      <c r="J104" s="3365"/>
      <c r="K104" s="3365"/>
      <c r="L104" s="3365"/>
      <c r="M104" s="3366"/>
      <c r="S104" s="730"/>
    </row>
    <row r="105" spans="1:19" ht="13.2" customHeight="1">
      <c r="A105" s="2039"/>
      <c r="B105" s="538"/>
      <c r="C105" s="538" t="s">
        <v>551</v>
      </c>
      <c r="D105" s="2032"/>
      <c r="E105" s="2033"/>
      <c r="F105" s="3365"/>
      <c r="G105" s="3365"/>
      <c r="H105" s="3365"/>
      <c r="I105" s="3365"/>
      <c r="J105" s="3365"/>
      <c r="K105" s="3365"/>
      <c r="L105" s="3365"/>
      <c r="M105" s="3366"/>
      <c r="S105" s="730"/>
    </row>
    <row r="106" spans="1:19" ht="13.2" customHeight="1">
      <c r="A106" s="2035">
        <f>A102</f>
        <v>50</v>
      </c>
      <c r="B106" s="812">
        <f>IF('Part VI-Revenues &amp; Expenses'!$L$59=0,"",'Part VI-Revenues &amp; Expenses'!$L$59)</f>
        <v>5</v>
      </c>
      <c r="C106" s="2031">
        <v>1</v>
      </c>
      <c r="D106" s="538"/>
      <c r="E106" s="538"/>
      <c r="F106" s="3363"/>
      <c r="G106" s="3364"/>
      <c r="H106" s="2031"/>
      <c r="I106" s="2031"/>
      <c r="J106" s="2031"/>
      <c r="K106" s="2031"/>
      <c r="L106" s="2031"/>
      <c r="M106" s="2031"/>
      <c r="S106" s="730"/>
    </row>
    <row r="107" spans="1:19" ht="13.2" customHeight="1">
      <c r="A107" s="2035"/>
      <c r="B107" s="538"/>
      <c r="C107" s="2034">
        <v>1</v>
      </c>
      <c r="D107" s="2032"/>
      <c r="E107" s="2033"/>
      <c r="F107" s="3365"/>
      <c r="G107" s="3365"/>
      <c r="H107" s="3365"/>
      <c r="I107" s="3365"/>
      <c r="J107" s="3365"/>
      <c r="K107" s="3365"/>
      <c r="L107" s="3365"/>
      <c r="M107" s="3366"/>
      <c r="S107" s="730"/>
    </row>
    <row r="108" spans="1:19" ht="13.2" customHeight="1">
      <c r="A108" s="2035"/>
      <c r="B108" s="538"/>
      <c r="C108" s="2034">
        <v>1</v>
      </c>
      <c r="D108" s="2032"/>
      <c r="E108" s="2033"/>
      <c r="F108" s="3365"/>
      <c r="G108" s="3365"/>
      <c r="H108" s="3365"/>
      <c r="I108" s="3365"/>
      <c r="J108" s="3365"/>
      <c r="K108" s="3365"/>
      <c r="L108" s="3365"/>
      <c r="M108" s="3366"/>
      <c r="S108" s="730"/>
    </row>
    <row r="109" spans="1:19" ht="13.2" customHeight="1">
      <c r="A109" s="2035"/>
      <c r="B109" s="538"/>
      <c r="C109" s="2034">
        <v>1</v>
      </c>
      <c r="D109" s="2032"/>
      <c r="E109" s="2033"/>
      <c r="F109" s="3365"/>
      <c r="G109" s="3365"/>
      <c r="H109" s="3365"/>
      <c r="I109" s="3365"/>
      <c r="J109" s="3365"/>
      <c r="K109" s="3365"/>
      <c r="L109" s="3365"/>
      <c r="M109" s="3366"/>
      <c r="S109" s="730"/>
    </row>
    <row r="110" spans="1:19" ht="13.2" customHeight="1">
      <c r="A110" s="2035">
        <f>A102</f>
        <v>50</v>
      </c>
      <c r="B110" s="812">
        <f>IF('Part VI-Revenues &amp; Expenses'!$M$59=0,"",'Part VI-Revenues &amp; Expenses'!$M$59)</f>
        <v>5</v>
      </c>
      <c r="C110" s="2031">
        <v>2</v>
      </c>
      <c r="D110" s="538"/>
      <c r="E110" s="538"/>
      <c r="F110" s="3363"/>
      <c r="G110" s="3364"/>
      <c r="H110" s="2031"/>
      <c r="I110" s="2031"/>
      <c r="J110" s="2031"/>
      <c r="K110" s="2031"/>
      <c r="L110" s="2031"/>
      <c r="M110" s="2031"/>
      <c r="S110" s="730"/>
    </row>
    <row r="111" spans="1:19" ht="13.2" customHeight="1">
      <c r="A111" s="2035"/>
      <c r="B111" s="538"/>
      <c r="C111" s="2034">
        <v>2</v>
      </c>
      <c r="D111" s="2032"/>
      <c r="E111" s="2033"/>
      <c r="F111" s="3365"/>
      <c r="G111" s="3365"/>
      <c r="H111" s="3365"/>
      <c r="I111" s="3365"/>
      <c r="J111" s="3365"/>
      <c r="K111" s="3365"/>
      <c r="L111" s="3365"/>
      <c r="M111" s="3366"/>
      <c r="S111" s="730"/>
    </row>
    <row r="112" spans="1:19" ht="13.2" customHeight="1">
      <c r="A112" s="2035"/>
      <c r="B112" s="538"/>
      <c r="C112" s="2034">
        <v>2</v>
      </c>
      <c r="D112" s="2032"/>
      <c r="E112" s="2033"/>
      <c r="F112" s="3365"/>
      <c r="G112" s="3365"/>
      <c r="H112" s="3365"/>
      <c r="I112" s="3365"/>
      <c r="J112" s="3365"/>
      <c r="K112" s="3365"/>
      <c r="L112" s="3365"/>
      <c r="M112" s="3366"/>
      <c r="S112" s="730"/>
    </row>
    <row r="113" spans="1:19" ht="13.2" customHeight="1">
      <c r="A113" s="2035"/>
      <c r="B113" s="538"/>
      <c r="C113" s="2034">
        <v>2</v>
      </c>
      <c r="D113" s="2032"/>
      <c r="E113" s="2033"/>
      <c r="F113" s="3365"/>
      <c r="G113" s="3365"/>
      <c r="H113" s="3365"/>
      <c r="I113" s="3365"/>
      <c r="J113" s="3365"/>
      <c r="K113" s="3365"/>
      <c r="L113" s="3365"/>
      <c r="M113" s="3366"/>
      <c r="S113" s="730"/>
    </row>
    <row r="114" spans="1:19" ht="13.2" customHeight="1">
      <c r="A114" s="2035"/>
      <c r="B114" s="538"/>
      <c r="C114" s="2034">
        <v>2</v>
      </c>
      <c r="D114" s="2032"/>
      <c r="E114" s="2033"/>
      <c r="F114" s="3365"/>
      <c r="G114" s="3365"/>
      <c r="H114" s="3365"/>
      <c r="I114" s="3365"/>
      <c r="J114" s="3365"/>
      <c r="K114" s="3365"/>
      <c r="L114" s="3365"/>
      <c r="M114" s="3366"/>
      <c r="S114" s="730"/>
    </row>
    <row r="115" spans="1:19" ht="13.2" customHeight="1">
      <c r="A115" s="2035">
        <f>A102</f>
        <v>50</v>
      </c>
      <c r="B115" s="812" t="str">
        <f>IF('Part VI-Revenues &amp; Expenses'!$N$59=0,"",'Part VI-Revenues &amp; Expenses'!$N$59)</f>
        <v/>
      </c>
      <c r="C115" s="2031">
        <v>3</v>
      </c>
      <c r="D115" s="538"/>
      <c r="E115" s="538"/>
      <c r="F115" s="3363"/>
      <c r="G115" s="3364"/>
      <c r="H115" s="2031"/>
      <c r="I115" s="2031"/>
      <c r="J115" s="2031"/>
      <c r="K115" s="2031"/>
      <c r="L115" s="2031"/>
      <c r="M115" s="2031"/>
      <c r="S115" s="730"/>
    </row>
    <row r="116" spans="1:19" ht="13.2" customHeight="1">
      <c r="A116" s="2035"/>
      <c r="B116" s="538"/>
      <c r="C116" s="2034">
        <v>3</v>
      </c>
      <c r="D116" s="2032"/>
      <c r="E116" s="2033"/>
      <c r="F116" s="3365"/>
      <c r="G116" s="3365"/>
      <c r="H116" s="3365"/>
      <c r="I116" s="3365"/>
      <c r="J116" s="3365"/>
      <c r="K116" s="3365"/>
      <c r="L116" s="3365"/>
      <c r="M116" s="3366"/>
      <c r="S116" s="730"/>
    </row>
    <row r="117" spans="1:19" ht="13.2" customHeight="1">
      <c r="A117" s="2035"/>
      <c r="B117" s="538"/>
      <c r="C117" s="2034">
        <v>3</v>
      </c>
      <c r="D117" s="2032"/>
      <c r="E117" s="2033"/>
      <c r="F117" s="3365"/>
      <c r="G117" s="3365"/>
      <c r="H117" s="3365"/>
      <c r="I117" s="3365"/>
      <c r="J117" s="3365"/>
      <c r="K117" s="3365"/>
      <c r="L117" s="3365"/>
      <c r="M117" s="3366"/>
      <c r="S117" s="730"/>
    </row>
    <row r="118" spans="1:19" ht="13.2" customHeight="1">
      <c r="A118" s="2035"/>
      <c r="B118" s="538"/>
      <c r="C118" s="2034">
        <v>3</v>
      </c>
      <c r="D118" s="2032"/>
      <c r="E118" s="2033"/>
      <c r="F118" s="3365"/>
      <c r="G118" s="3365"/>
      <c r="H118" s="3365"/>
      <c r="I118" s="3365"/>
      <c r="J118" s="3365"/>
      <c r="K118" s="3365"/>
      <c r="L118" s="3365"/>
      <c r="M118" s="3366"/>
      <c r="S118" s="730"/>
    </row>
    <row r="119" spans="1:19" ht="13.2" customHeight="1">
      <c r="A119" s="2035"/>
      <c r="B119" s="538"/>
      <c r="C119" s="2034">
        <v>3</v>
      </c>
      <c r="D119" s="2032"/>
      <c r="E119" s="2033"/>
      <c r="F119" s="3365"/>
      <c r="G119" s="3365"/>
      <c r="H119" s="3365"/>
      <c r="I119" s="3365"/>
      <c r="J119" s="3365"/>
      <c r="K119" s="3365"/>
      <c r="L119" s="3365"/>
      <c r="M119" s="3366"/>
      <c r="S119" s="730"/>
    </row>
    <row r="120" spans="1:19" ht="13.2" customHeight="1">
      <c r="A120" s="2035">
        <f>A102</f>
        <v>50</v>
      </c>
      <c r="B120" s="812" t="str">
        <f>IF('Part VI-Revenues &amp; Expenses'!$O$59=0,"",'Part VI-Revenues &amp; Expenses'!$O$59)</f>
        <v/>
      </c>
      <c r="C120" s="2031">
        <v>4</v>
      </c>
      <c r="D120" s="538"/>
      <c r="E120" s="538"/>
      <c r="F120" s="3363"/>
      <c r="G120" s="3364"/>
      <c r="H120" s="2031"/>
      <c r="I120" s="2031"/>
      <c r="J120" s="2031"/>
      <c r="K120" s="2031"/>
      <c r="L120" s="2031"/>
      <c r="M120" s="2031"/>
      <c r="S120" s="730"/>
    </row>
    <row r="121" spans="1:19" ht="13.2" customHeight="1">
      <c r="A121" s="2039"/>
      <c r="B121" s="538"/>
      <c r="C121" s="2034">
        <v>4</v>
      </c>
      <c r="D121" s="2032"/>
      <c r="E121" s="2033"/>
      <c r="F121" s="3365"/>
      <c r="G121" s="3365"/>
      <c r="H121" s="3365"/>
      <c r="I121" s="3365"/>
      <c r="J121" s="3365"/>
      <c r="K121" s="3365"/>
      <c r="L121" s="3365"/>
      <c r="M121" s="3366"/>
      <c r="S121" s="730"/>
    </row>
    <row r="122" spans="1:19" ht="13.2" customHeight="1">
      <c r="A122" s="2036"/>
      <c r="C122" s="2034">
        <v>4</v>
      </c>
      <c r="D122" s="2032"/>
      <c r="E122" s="2033"/>
      <c r="F122" s="3365"/>
      <c r="G122" s="3365"/>
      <c r="H122" s="3365"/>
      <c r="I122" s="3365"/>
      <c r="J122" s="3365"/>
      <c r="K122" s="3365"/>
      <c r="L122" s="3365"/>
      <c r="M122" s="3366"/>
      <c r="S122" s="730"/>
    </row>
    <row r="123" spans="1:19" ht="13.2" customHeight="1">
      <c r="A123" s="2036"/>
      <c r="C123" s="2034">
        <v>4</v>
      </c>
      <c r="D123" s="2032"/>
      <c r="E123" s="2033"/>
      <c r="F123" s="3365"/>
      <c r="G123" s="3365"/>
      <c r="H123" s="3365"/>
      <c r="I123" s="3365"/>
      <c r="J123" s="3365"/>
      <c r="K123" s="3365"/>
      <c r="L123" s="3365"/>
      <c r="M123" s="3366"/>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3"/>
      <c r="G126" s="3364"/>
      <c r="H126" s="538"/>
      <c r="I126" s="737"/>
      <c r="J126" s="538"/>
      <c r="K126" s="538"/>
      <c r="L126" s="538"/>
      <c r="M126" s="538"/>
      <c r="S126" s="730"/>
    </row>
    <row r="127" spans="1:19" ht="13.2" customHeight="1">
      <c r="A127" s="2039"/>
      <c r="B127" s="538"/>
      <c r="C127" s="538" t="s">
        <v>551</v>
      </c>
      <c r="D127" s="2032"/>
      <c r="E127" s="2033"/>
      <c r="F127" s="3365"/>
      <c r="G127" s="3365"/>
      <c r="H127" s="3365"/>
      <c r="I127" s="3365"/>
      <c r="J127" s="3365"/>
      <c r="K127" s="3365"/>
      <c r="L127" s="3365"/>
      <c r="M127" s="3366"/>
      <c r="S127" s="730"/>
    </row>
    <row r="128" spans="1:19" ht="13.2" customHeight="1">
      <c r="A128" s="2039"/>
      <c r="B128" s="538"/>
      <c r="C128" s="538" t="s">
        <v>551</v>
      </c>
      <c r="D128" s="2032"/>
      <c r="E128" s="2033"/>
      <c r="F128" s="3365"/>
      <c r="G128" s="3365"/>
      <c r="H128" s="3365"/>
      <c r="I128" s="3365"/>
      <c r="J128" s="3365"/>
      <c r="K128" s="3365"/>
      <c r="L128" s="3365"/>
      <c r="M128" s="3366"/>
      <c r="S128" s="730"/>
    </row>
    <row r="129" spans="1:19" ht="13.2" customHeight="1">
      <c r="A129" s="2039"/>
      <c r="B129" s="538"/>
      <c r="C129" s="538" t="s">
        <v>551</v>
      </c>
      <c r="D129" s="2032"/>
      <c r="E129" s="2033"/>
      <c r="F129" s="3365"/>
      <c r="G129" s="3365"/>
      <c r="H129" s="3365"/>
      <c r="I129" s="3365"/>
      <c r="J129" s="3365"/>
      <c r="K129" s="3365"/>
      <c r="L129" s="3365"/>
      <c r="M129" s="3366"/>
      <c r="S129" s="730"/>
    </row>
    <row r="130" spans="1:19" ht="13.2" customHeight="1">
      <c r="A130" s="2035">
        <f>A126</f>
        <v>60</v>
      </c>
      <c r="B130" s="812">
        <f>IF('Part VI-Revenues &amp; Expenses'!$L$58=0,"",'Part VI-Revenues &amp; Expenses'!$L$58)</f>
        <v>19</v>
      </c>
      <c r="C130" s="2031">
        <v>1</v>
      </c>
      <c r="D130" s="538"/>
      <c r="E130" s="538"/>
      <c r="F130" s="3363"/>
      <c r="G130" s="3364"/>
      <c r="H130" s="2031"/>
      <c r="I130" s="2031"/>
      <c r="J130" s="2031"/>
      <c r="K130" s="2031"/>
      <c r="L130" s="2031"/>
      <c r="M130" s="2031"/>
      <c r="S130" s="730"/>
    </row>
    <row r="131" spans="1:19" ht="13.2" customHeight="1">
      <c r="A131" s="2035"/>
      <c r="B131" s="538"/>
      <c r="C131" s="2034">
        <v>1</v>
      </c>
      <c r="D131" s="2032"/>
      <c r="E131" s="2033"/>
      <c r="F131" s="3365"/>
      <c r="G131" s="3365"/>
      <c r="H131" s="3365"/>
      <c r="I131" s="3365"/>
      <c r="J131" s="3365"/>
      <c r="K131" s="3365"/>
      <c r="L131" s="3365"/>
      <c r="M131" s="3366"/>
      <c r="S131" s="730"/>
    </row>
    <row r="132" spans="1:19" ht="13.2" customHeight="1">
      <c r="A132" s="2035"/>
      <c r="B132" s="538"/>
      <c r="C132" s="2034">
        <v>1</v>
      </c>
      <c r="D132" s="2032"/>
      <c r="E132" s="2033"/>
      <c r="F132" s="3365"/>
      <c r="G132" s="3365"/>
      <c r="H132" s="3365"/>
      <c r="I132" s="3365"/>
      <c r="J132" s="3365"/>
      <c r="K132" s="3365"/>
      <c r="L132" s="3365"/>
      <c r="M132" s="3366"/>
      <c r="S132" s="730"/>
    </row>
    <row r="133" spans="1:19" ht="13.2" customHeight="1">
      <c r="A133" s="2035"/>
      <c r="B133" s="538"/>
      <c r="C133" s="2034">
        <v>1</v>
      </c>
      <c r="D133" s="2032"/>
      <c r="E133" s="2033"/>
      <c r="F133" s="3365"/>
      <c r="G133" s="3365"/>
      <c r="H133" s="3365"/>
      <c r="I133" s="3365"/>
      <c r="J133" s="3365"/>
      <c r="K133" s="3365"/>
      <c r="L133" s="3365"/>
      <c r="M133" s="3366"/>
      <c r="S133" s="730"/>
    </row>
    <row r="134" spans="1:19" ht="13.2" customHeight="1">
      <c r="A134" s="2035">
        <f>A126</f>
        <v>60</v>
      </c>
      <c r="B134" s="812">
        <f>IF('Part VI-Revenues &amp; Expenses'!$M$58=0,"",'Part VI-Revenues &amp; Expenses'!$M$58)</f>
        <v>19</v>
      </c>
      <c r="C134" s="2031">
        <v>2</v>
      </c>
      <c r="D134" s="538"/>
      <c r="E134" s="538"/>
      <c r="F134" s="3363"/>
      <c r="G134" s="3364"/>
      <c r="H134" s="2031"/>
      <c r="I134" s="2031"/>
      <c r="J134" s="2031"/>
      <c r="K134" s="2031"/>
      <c r="L134" s="2031"/>
      <c r="M134" s="2031"/>
      <c r="S134" s="730"/>
    </row>
    <row r="135" spans="1:19" ht="13.2" customHeight="1">
      <c r="A135" s="2035"/>
      <c r="B135" s="538"/>
      <c r="C135" s="2034">
        <v>2</v>
      </c>
      <c r="D135" s="2032"/>
      <c r="E135" s="2033"/>
      <c r="F135" s="3365"/>
      <c r="G135" s="3365"/>
      <c r="H135" s="3365"/>
      <c r="I135" s="3365"/>
      <c r="J135" s="3365"/>
      <c r="K135" s="3365"/>
      <c r="L135" s="3365"/>
      <c r="M135" s="3366"/>
      <c r="S135" s="730"/>
    </row>
    <row r="136" spans="1:19" ht="13.2" customHeight="1">
      <c r="A136" s="2035"/>
      <c r="B136" s="538"/>
      <c r="C136" s="2034">
        <v>2</v>
      </c>
      <c r="D136" s="2032"/>
      <c r="E136" s="2033"/>
      <c r="F136" s="3365"/>
      <c r="G136" s="3365"/>
      <c r="H136" s="3365"/>
      <c r="I136" s="3365"/>
      <c r="J136" s="3365"/>
      <c r="K136" s="3365"/>
      <c r="L136" s="3365"/>
      <c r="M136" s="3366"/>
      <c r="S136" s="730"/>
    </row>
    <row r="137" spans="1:19" ht="13.2" customHeight="1">
      <c r="A137" s="2035"/>
      <c r="B137" s="538"/>
      <c r="C137" s="2034">
        <v>2</v>
      </c>
      <c r="D137" s="2032"/>
      <c r="E137" s="2033"/>
      <c r="F137" s="3365"/>
      <c r="G137" s="3365"/>
      <c r="H137" s="3365"/>
      <c r="I137" s="3365"/>
      <c r="J137" s="3365"/>
      <c r="K137" s="3365"/>
      <c r="L137" s="3365"/>
      <c r="M137" s="3366"/>
      <c r="S137" s="730"/>
    </row>
    <row r="138" spans="1:19" ht="13.2" customHeight="1">
      <c r="A138" s="2035"/>
      <c r="B138" s="538"/>
      <c r="C138" s="2034">
        <v>2</v>
      </c>
      <c r="D138" s="2032"/>
      <c r="E138" s="2033"/>
      <c r="F138" s="3365"/>
      <c r="G138" s="3365"/>
      <c r="H138" s="3365"/>
      <c r="I138" s="3365"/>
      <c r="J138" s="3365"/>
      <c r="K138" s="3365"/>
      <c r="L138" s="3365"/>
      <c r="M138" s="3366"/>
      <c r="S138" s="730"/>
    </row>
    <row r="139" spans="1:19" ht="13.2" customHeight="1">
      <c r="A139" s="2035">
        <f>A126</f>
        <v>60</v>
      </c>
      <c r="B139" s="812" t="str">
        <f>IF('Part VI-Revenues &amp; Expenses'!$N$58=0,"",'Part VI-Revenues &amp; Expenses'!$N$58)</f>
        <v/>
      </c>
      <c r="C139" s="2031">
        <v>3</v>
      </c>
      <c r="D139" s="538"/>
      <c r="E139" s="538"/>
      <c r="F139" s="3363"/>
      <c r="G139" s="3364"/>
      <c r="H139" s="2031"/>
      <c r="I139" s="2031"/>
      <c r="J139" s="2031"/>
      <c r="K139" s="2031"/>
      <c r="L139" s="2031"/>
      <c r="M139" s="2031"/>
      <c r="S139" s="730"/>
    </row>
    <row r="140" spans="1:19" ht="13.2" customHeight="1">
      <c r="A140" s="2035"/>
      <c r="B140" s="538"/>
      <c r="C140" s="2034">
        <v>3</v>
      </c>
      <c r="D140" s="2032"/>
      <c r="E140" s="2033"/>
      <c r="F140" s="3365"/>
      <c r="G140" s="3365"/>
      <c r="H140" s="3365"/>
      <c r="I140" s="3365"/>
      <c r="J140" s="3365"/>
      <c r="K140" s="3365"/>
      <c r="L140" s="3365"/>
      <c r="M140" s="3366"/>
      <c r="S140" s="730"/>
    </row>
    <row r="141" spans="1:19" ht="13.2" customHeight="1">
      <c r="A141" s="2035"/>
      <c r="B141" s="538"/>
      <c r="C141" s="2034">
        <v>3</v>
      </c>
      <c r="D141" s="2032"/>
      <c r="E141" s="2033"/>
      <c r="F141" s="3365"/>
      <c r="G141" s="3365"/>
      <c r="H141" s="3365"/>
      <c r="I141" s="3365"/>
      <c r="J141" s="3365"/>
      <c r="K141" s="3365"/>
      <c r="L141" s="3365"/>
      <c r="M141" s="3366"/>
      <c r="S141" s="730"/>
    </row>
    <row r="142" spans="1:19" ht="13.2" customHeight="1">
      <c r="A142" s="2035"/>
      <c r="B142" s="538"/>
      <c r="C142" s="2034">
        <v>3</v>
      </c>
      <c r="D142" s="2032"/>
      <c r="E142" s="2033"/>
      <c r="F142" s="3365"/>
      <c r="G142" s="3365"/>
      <c r="H142" s="3365"/>
      <c r="I142" s="3365"/>
      <c r="J142" s="3365"/>
      <c r="K142" s="3365"/>
      <c r="L142" s="3365"/>
      <c r="M142" s="3366"/>
      <c r="S142" s="730"/>
    </row>
    <row r="143" spans="1:19" ht="13.2" customHeight="1">
      <c r="A143" s="2035"/>
      <c r="B143" s="538"/>
      <c r="C143" s="2034">
        <v>3</v>
      </c>
      <c r="D143" s="2032"/>
      <c r="E143" s="2033"/>
      <c r="F143" s="3365"/>
      <c r="G143" s="3365"/>
      <c r="H143" s="3365"/>
      <c r="I143" s="3365"/>
      <c r="J143" s="3365"/>
      <c r="K143" s="3365"/>
      <c r="L143" s="3365"/>
      <c r="M143" s="3366"/>
      <c r="S143" s="730"/>
    </row>
    <row r="144" spans="1:19" ht="13.2" customHeight="1">
      <c r="A144" s="2035">
        <f>A126</f>
        <v>60</v>
      </c>
      <c r="B144" s="812" t="str">
        <f>IF('Part VI-Revenues &amp; Expenses'!$O$58=0,"",'Part VI-Revenues &amp; Expenses'!$O$58)</f>
        <v/>
      </c>
      <c r="C144" s="2031">
        <v>4</v>
      </c>
      <c r="D144" s="538"/>
      <c r="E144" s="538"/>
      <c r="F144" s="3363"/>
      <c r="G144" s="3364"/>
      <c r="H144" s="2031"/>
      <c r="I144" s="2031"/>
      <c r="J144" s="2031"/>
      <c r="K144" s="2031"/>
      <c r="L144" s="2031"/>
      <c r="M144" s="2031"/>
      <c r="S144" s="730"/>
    </row>
    <row r="145" spans="1:19" ht="13.2" customHeight="1">
      <c r="A145" s="2039"/>
      <c r="B145" s="538"/>
      <c r="C145" s="2034">
        <v>4</v>
      </c>
      <c r="D145" s="2032"/>
      <c r="E145" s="2033"/>
      <c r="F145" s="3365"/>
      <c r="G145" s="3365"/>
      <c r="H145" s="3365"/>
      <c r="I145" s="3365"/>
      <c r="J145" s="3365"/>
      <c r="K145" s="3365"/>
      <c r="L145" s="3365"/>
      <c r="M145" s="3366"/>
      <c r="S145" s="730"/>
    </row>
    <row r="146" spans="1:19" ht="13.2" customHeight="1">
      <c r="A146" s="2036"/>
      <c r="C146" s="2034">
        <v>4</v>
      </c>
      <c r="D146" s="2032"/>
      <c r="E146" s="2033"/>
      <c r="F146" s="3365"/>
      <c r="G146" s="3365"/>
      <c r="H146" s="3365"/>
      <c r="I146" s="3365"/>
      <c r="J146" s="3365"/>
      <c r="K146" s="3365"/>
      <c r="L146" s="3365"/>
      <c r="M146" s="3366"/>
      <c r="S146" s="730"/>
    </row>
    <row r="147" spans="1:19" ht="13.2" customHeight="1">
      <c r="A147" s="2036"/>
      <c r="C147" s="2034">
        <v>4</v>
      </c>
      <c r="D147" s="2032"/>
      <c r="E147" s="2033"/>
      <c r="F147" s="3365"/>
      <c r="G147" s="3365"/>
      <c r="H147" s="3365"/>
      <c r="I147" s="3365"/>
      <c r="J147" s="3365"/>
      <c r="K147" s="3365"/>
      <c r="L147" s="3365"/>
      <c r="M147" s="3366"/>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3"/>
      <c r="G150" s="3364"/>
      <c r="H150" s="538"/>
      <c r="I150" s="737"/>
      <c r="J150" s="538"/>
      <c r="K150" s="538"/>
      <c r="L150" s="538"/>
      <c r="M150" s="538"/>
      <c r="S150" s="730"/>
    </row>
    <row r="151" spans="1:19" ht="13.2" customHeight="1">
      <c r="A151" s="2039"/>
      <c r="B151" s="538"/>
      <c r="C151" s="538" t="s">
        <v>551</v>
      </c>
      <c r="D151" s="2032"/>
      <c r="E151" s="2033"/>
      <c r="F151" s="3365"/>
      <c r="G151" s="3365"/>
      <c r="H151" s="3365"/>
      <c r="I151" s="3365"/>
      <c r="J151" s="3365"/>
      <c r="K151" s="3365"/>
      <c r="L151" s="3365"/>
      <c r="M151" s="3366"/>
      <c r="S151" s="730"/>
    </row>
    <row r="152" spans="1:19" ht="13.2" customHeight="1">
      <c r="A152" s="2039"/>
      <c r="B152" s="538"/>
      <c r="C152" s="538" t="s">
        <v>551</v>
      </c>
      <c r="D152" s="2032"/>
      <c r="E152" s="2033"/>
      <c r="F152" s="3365"/>
      <c r="G152" s="3365"/>
      <c r="H152" s="3365"/>
      <c r="I152" s="3365"/>
      <c r="J152" s="3365"/>
      <c r="K152" s="3365"/>
      <c r="L152" s="3365"/>
      <c r="M152" s="3366"/>
      <c r="S152" s="730"/>
    </row>
    <row r="153" spans="1:19" ht="13.2" customHeight="1">
      <c r="A153" s="2039"/>
      <c r="B153" s="538"/>
      <c r="C153" s="538" t="s">
        <v>551</v>
      </c>
      <c r="D153" s="2032"/>
      <c r="E153" s="2033"/>
      <c r="F153" s="3365"/>
      <c r="G153" s="3365"/>
      <c r="H153" s="3365"/>
      <c r="I153" s="3365"/>
      <c r="J153" s="3365"/>
      <c r="K153" s="3365"/>
      <c r="L153" s="3365"/>
      <c r="M153" s="3366"/>
      <c r="S153" s="730"/>
    </row>
    <row r="154" spans="1:19" ht="13.2" customHeight="1">
      <c r="A154" s="2035">
        <f>A150</f>
        <v>70</v>
      </c>
      <c r="B154" s="812" t="str">
        <f>IF('Part VI-Revenues &amp; Expenses'!$L$57=0,"",'Part VI-Revenues &amp; Expenses'!$L$57)</f>
        <v/>
      </c>
      <c r="C154" s="2031">
        <v>1</v>
      </c>
      <c r="D154" s="538"/>
      <c r="E154" s="538"/>
      <c r="F154" s="3363"/>
      <c r="G154" s="3364"/>
      <c r="H154" s="2031"/>
      <c r="I154" s="2031"/>
      <c r="J154" s="2031"/>
      <c r="K154" s="2031"/>
      <c r="L154" s="2031"/>
      <c r="M154" s="2031"/>
      <c r="S154" s="730"/>
    </row>
    <row r="155" spans="1:19" ht="13.2" customHeight="1">
      <c r="A155" s="2035"/>
      <c r="B155" s="538"/>
      <c r="C155" s="2034">
        <v>1</v>
      </c>
      <c r="D155" s="2032"/>
      <c r="E155" s="2033"/>
      <c r="F155" s="3365"/>
      <c r="G155" s="3365"/>
      <c r="H155" s="3365"/>
      <c r="I155" s="3365"/>
      <c r="J155" s="3365"/>
      <c r="K155" s="3365"/>
      <c r="L155" s="3365"/>
      <c r="M155" s="3366"/>
      <c r="S155" s="730"/>
    </row>
    <row r="156" spans="1:19" ht="13.2" customHeight="1">
      <c r="A156" s="2035"/>
      <c r="B156" s="538"/>
      <c r="C156" s="2034">
        <v>1</v>
      </c>
      <c r="D156" s="2032"/>
      <c r="E156" s="2033"/>
      <c r="F156" s="3365"/>
      <c r="G156" s="3365"/>
      <c r="H156" s="3365"/>
      <c r="I156" s="3365"/>
      <c r="J156" s="3365"/>
      <c r="K156" s="3365"/>
      <c r="L156" s="3365"/>
      <c r="M156" s="3366"/>
      <c r="S156" s="730"/>
    </row>
    <row r="157" spans="1:19" ht="13.2" customHeight="1">
      <c r="A157" s="2035"/>
      <c r="B157" s="538"/>
      <c r="C157" s="2034">
        <v>1</v>
      </c>
      <c r="D157" s="2032"/>
      <c r="E157" s="2033"/>
      <c r="F157" s="3365"/>
      <c r="G157" s="3365"/>
      <c r="H157" s="3365"/>
      <c r="I157" s="3365"/>
      <c r="J157" s="3365"/>
      <c r="K157" s="3365"/>
      <c r="L157" s="3365"/>
      <c r="M157" s="3366"/>
      <c r="S157" s="730"/>
    </row>
    <row r="158" spans="1:19" ht="13.2" customHeight="1">
      <c r="A158" s="2035">
        <f>A150</f>
        <v>70</v>
      </c>
      <c r="B158" s="812" t="str">
        <f>IF('Part VI-Revenues &amp; Expenses'!$M$57=0,"",'Part VI-Revenues &amp; Expenses'!$M$57)</f>
        <v/>
      </c>
      <c r="C158" s="2031">
        <v>2</v>
      </c>
      <c r="D158" s="538"/>
      <c r="E158" s="538"/>
      <c r="F158" s="3363"/>
      <c r="G158" s="3364"/>
      <c r="H158" s="2031"/>
      <c r="I158" s="2031"/>
      <c r="J158" s="2031"/>
      <c r="K158" s="2031"/>
      <c r="L158" s="2031"/>
      <c r="M158" s="2031"/>
      <c r="S158" s="730"/>
    </row>
    <row r="159" spans="1:19" ht="13.2" customHeight="1">
      <c r="A159" s="2035"/>
      <c r="B159" s="538"/>
      <c r="C159" s="2034">
        <v>2</v>
      </c>
      <c r="D159" s="2032"/>
      <c r="E159" s="2033"/>
      <c r="F159" s="3365"/>
      <c r="G159" s="3365"/>
      <c r="H159" s="3365"/>
      <c r="I159" s="3365"/>
      <c r="J159" s="3365"/>
      <c r="K159" s="3365"/>
      <c r="L159" s="3365"/>
      <c r="M159" s="3366"/>
      <c r="S159" s="730"/>
    </row>
    <row r="160" spans="1:19" ht="13.2" customHeight="1">
      <c r="A160" s="2035"/>
      <c r="B160" s="538"/>
      <c r="C160" s="2034">
        <v>2</v>
      </c>
      <c r="D160" s="2032"/>
      <c r="E160" s="2033"/>
      <c r="F160" s="3365"/>
      <c r="G160" s="3365"/>
      <c r="H160" s="3365"/>
      <c r="I160" s="3365"/>
      <c r="J160" s="3365"/>
      <c r="K160" s="3365"/>
      <c r="L160" s="3365"/>
      <c r="M160" s="3366"/>
      <c r="S160" s="730"/>
    </row>
    <row r="161" spans="1:19" ht="13.2" customHeight="1">
      <c r="A161" s="2035"/>
      <c r="B161" s="538"/>
      <c r="C161" s="2034">
        <v>2</v>
      </c>
      <c r="D161" s="2032"/>
      <c r="E161" s="2033"/>
      <c r="F161" s="3365"/>
      <c r="G161" s="3365"/>
      <c r="H161" s="3365"/>
      <c r="I161" s="3365"/>
      <c r="J161" s="3365"/>
      <c r="K161" s="3365"/>
      <c r="L161" s="3365"/>
      <c r="M161" s="3366"/>
      <c r="S161" s="730"/>
    </row>
    <row r="162" spans="1:19" ht="13.2" customHeight="1">
      <c r="A162" s="2035"/>
      <c r="B162" s="538"/>
      <c r="C162" s="2034">
        <v>2</v>
      </c>
      <c r="D162" s="2032"/>
      <c r="E162" s="2033"/>
      <c r="F162" s="3365"/>
      <c r="G162" s="3365"/>
      <c r="H162" s="3365"/>
      <c r="I162" s="3365"/>
      <c r="J162" s="3365"/>
      <c r="K162" s="3365"/>
      <c r="L162" s="3365"/>
      <c r="M162" s="3366"/>
      <c r="S162" s="730"/>
    </row>
    <row r="163" spans="1:19" ht="13.2" customHeight="1">
      <c r="A163" s="2035">
        <f>A150</f>
        <v>70</v>
      </c>
      <c r="B163" s="812" t="str">
        <f>IF('Part VI-Revenues &amp; Expenses'!$N$57=0,"",'Part VI-Revenues &amp; Expenses'!$N$57)</f>
        <v/>
      </c>
      <c r="C163" s="2031">
        <v>3</v>
      </c>
      <c r="D163" s="538"/>
      <c r="E163" s="538"/>
      <c r="F163" s="3363"/>
      <c r="G163" s="3364"/>
      <c r="H163" s="2031"/>
      <c r="I163" s="2031"/>
      <c r="J163" s="2031"/>
      <c r="K163" s="2031"/>
      <c r="L163" s="2031"/>
      <c r="M163" s="2031"/>
      <c r="S163" s="730"/>
    </row>
    <row r="164" spans="1:19" ht="13.2" customHeight="1">
      <c r="A164" s="2035"/>
      <c r="B164" s="538"/>
      <c r="C164" s="2034">
        <v>3</v>
      </c>
      <c r="D164" s="2032"/>
      <c r="E164" s="2033"/>
      <c r="F164" s="3365"/>
      <c r="G164" s="3365"/>
      <c r="H164" s="3365"/>
      <c r="I164" s="3365"/>
      <c r="J164" s="3365"/>
      <c r="K164" s="3365"/>
      <c r="L164" s="3365"/>
      <c r="M164" s="3366"/>
      <c r="S164" s="730"/>
    </row>
    <row r="165" spans="1:19" ht="13.2" customHeight="1">
      <c r="A165" s="2035"/>
      <c r="B165" s="538"/>
      <c r="C165" s="2034">
        <v>3</v>
      </c>
      <c r="D165" s="2032"/>
      <c r="E165" s="2033"/>
      <c r="F165" s="3365"/>
      <c r="G165" s="3365"/>
      <c r="H165" s="3365"/>
      <c r="I165" s="3365"/>
      <c r="J165" s="3365"/>
      <c r="K165" s="3365"/>
      <c r="L165" s="3365"/>
      <c r="M165" s="3366"/>
      <c r="S165" s="730"/>
    </row>
    <row r="166" spans="1:19" ht="13.2" customHeight="1">
      <c r="A166" s="2035"/>
      <c r="B166" s="538"/>
      <c r="C166" s="2034">
        <v>3</v>
      </c>
      <c r="D166" s="2032"/>
      <c r="E166" s="2033"/>
      <c r="F166" s="3365"/>
      <c r="G166" s="3365"/>
      <c r="H166" s="3365"/>
      <c r="I166" s="3365"/>
      <c r="J166" s="3365"/>
      <c r="K166" s="3365"/>
      <c r="L166" s="3365"/>
      <c r="M166" s="3366"/>
      <c r="S166" s="730"/>
    </row>
    <row r="167" spans="1:19" ht="13.2" customHeight="1">
      <c r="A167" s="2035"/>
      <c r="B167" s="538"/>
      <c r="C167" s="2034">
        <v>3</v>
      </c>
      <c r="D167" s="2032"/>
      <c r="E167" s="2033"/>
      <c r="F167" s="3365"/>
      <c r="G167" s="3365"/>
      <c r="H167" s="3365"/>
      <c r="I167" s="3365"/>
      <c r="J167" s="3365"/>
      <c r="K167" s="3365"/>
      <c r="L167" s="3365"/>
      <c r="M167" s="3366"/>
      <c r="S167" s="730"/>
    </row>
    <row r="168" spans="1:19" ht="13.2" customHeight="1">
      <c r="A168" s="2035">
        <f>A150</f>
        <v>70</v>
      </c>
      <c r="B168" s="812" t="str">
        <f>IF('Part VI-Revenues &amp; Expenses'!$O$57=0,"",'Part VI-Revenues &amp; Expenses'!$O$57)</f>
        <v/>
      </c>
      <c r="C168" s="2031">
        <v>4</v>
      </c>
      <c r="D168" s="538"/>
      <c r="E168" s="538"/>
      <c r="F168" s="3363"/>
      <c r="G168" s="3364"/>
      <c r="H168" s="2031"/>
      <c r="I168" s="2031"/>
      <c r="J168" s="2031"/>
      <c r="K168" s="2031"/>
      <c r="L168" s="2031"/>
      <c r="M168" s="2031"/>
      <c r="S168" s="730"/>
    </row>
    <row r="169" spans="1:19" ht="13.2" customHeight="1">
      <c r="A169" s="2039"/>
      <c r="B169" s="538"/>
      <c r="C169" s="2034">
        <v>4</v>
      </c>
      <c r="D169" s="2032"/>
      <c r="E169" s="2033"/>
      <c r="F169" s="3365"/>
      <c r="G169" s="3365"/>
      <c r="H169" s="3365"/>
      <c r="I169" s="3365"/>
      <c r="J169" s="3365"/>
      <c r="K169" s="3365"/>
      <c r="L169" s="3365"/>
      <c r="M169" s="3366"/>
      <c r="S169" s="730"/>
    </row>
    <row r="170" spans="1:19" ht="13.2" customHeight="1">
      <c r="A170" s="2036"/>
      <c r="C170" s="2034">
        <v>4</v>
      </c>
      <c r="D170" s="2032"/>
      <c r="E170" s="2033"/>
      <c r="F170" s="3365"/>
      <c r="G170" s="3365"/>
      <c r="H170" s="3365"/>
      <c r="I170" s="3365"/>
      <c r="J170" s="3365"/>
      <c r="K170" s="3365"/>
      <c r="L170" s="3365"/>
      <c r="M170" s="3366"/>
      <c r="S170" s="730"/>
    </row>
    <row r="171" spans="1:19" ht="13.2" customHeight="1">
      <c r="A171" s="2036"/>
      <c r="C171" s="2034">
        <v>4</v>
      </c>
      <c r="D171" s="2032"/>
      <c r="E171" s="2033"/>
      <c r="F171" s="3365"/>
      <c r="G171" s="3365"/>
      <c r="H171" s="3365"/>
      <c r="I171" s="3365"/>
      <c r="J171" s="3365"/>
      <c r="K171" s="3365"/>
      <c r="L171" s="3365"/>
      <c r="M171" s="3366"/>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3"/>
      <c r="G174" s="3364"/>
      <c r="H174" s="538"/>
      <c r="I174" s="737"/>
      <c r="J174" s="538"/>
      <c r="K174" s="538"/>
      <c r="L174" s="538"/>
      <c r="M174" s="538"/>
      <c r="S174" s="730"/>
    </row>
    <row r="175" spans="1:19" ht="13.2" customHeight="1">
      <c r="A175" s="2039"/>
      <c r="B175" s="538"/>
      <c r="C175" s="538" t="s">
        <v>551</v>
      </c>
      <c r="D175" s="2032"/>
      <c r="E175" s="2033"/>
      <c r="F175" s="3365"/>
      <c r="G175" s="3365"/>
      <c r="H175" s="3365"/>
      <c r="I175" s="3365"/>
      <c r="J175" s="3365"/>
      <c r="K175" s="3365"/>
      <c r="L175" s="3365"/>
      <c r="M175" s="3366"/>
      <c r="S175" s="730"/>
    </row>
    <row r="176" spans="1:19" ht="13.2" customHeight="1">
      <c r="A176" s="2039"/>
      <c r="B176" s="538"/>
      <c r="C176" s="538" t="s">
        <v>551</v>
      </c>
      <c r="D176" s="2032"/>
      <c r="E176" s="2033"/>
      <c r="F176" s="3365"/>
      <c r="G176" s="3365"/>
      <c r="H176" s="3365"/>
      <c r="I176" s="3365"/>
      <c r="J176" s="3365"/>
      <c r="K176" s="3365"/>
      <c r="L176" s="3365"/>
      <c r="M176" s="3366"/>
      <c r="S176" s="730"/>
    </row>
    <row r="177" spans="1:19" ht="13.2" customHeight="1">
      <c r="A177" s="2039"/>
      <c r="B177" s="538"/>
      <c r="C177" s="538" t="s">
        <v>551</v>
      </c>
      <c r="D177" s="2032"/>
      <c r="E177" s="2033"/>
      <c r="F177" s="3365"/>
      <c r="G177" s="3365"/>
      <c r="H177" s="3365"/>
      <c r="I177" s="3365"/>
      <c r="J177" s="3365"/>
      <c r="K177" s="3365"/>
      <c r="L177" s="3365"/>
      <c r="M177" s="3366"/>
      <c r="S177" s="730"/>
    </row>
    <row r="178" spans="1:19" ht="13.2" customHeight="1">
      <c r="A178" s="2035">
        <f>A174</f>
        <v>80</v>
      </c>
      <c r="B178" s="812" t="str">
        <f>IF('Part VI-Revenues &amp; Expenses'!$L$56=0,"",'Part VI-Revenues &amp; Expenses'!$L$56)</f>
        <v/>
      </c>
      <c r="C178" s="2031">
        <v>1</v>
      </c>
      <c r="D178" s="538"/>
      <c r="E178" s="538"/>
      <c r="F178" s="3363"/>
      <c r="G178" s="3364"/>
      <c r="H178" s="2031"/>
      <c r="I178" s="2031"/>
      <c r="J178" s="2031"/>
      <c r="K178" s="2031"/>
      <c r="L178" s="2031"/>
      <c r="M178" s="2031"/>
      <c r="S178" s="730"/>
    </row>
    <row r="179" spans="1:19" ht="13.2" customHeight="1">
      <c r="A179" s="2035"/>
      <c r="B179" s="538"/>
      <c r="C179" s="2034">
        <v>1</v>
      </c>
      <c r="D179" s="2032"/>
      <c r="E179" s="2033"/>
      <c r="F179" s="3365"/>
      <c r="G179" s="3365"/>
      <c r="H179" s="3365"/>
      <c r="I179" s="3365"/>
      <c r="J179" s="3365"/>
      <c r="K179" s="3365"/>
      <c r="L179" s="3365"/>
      <c r="M179" s="3366"/>
      <c r="S179" s="730"/>
    </row>
    <row r="180" spans="1:19" ht="13.2" customHeight="1">
      <c r="A180" s="2035"/>
      <c r="B180" s="538"/>
      <c r="C180" s="2034">
        <v>1</v>
      </c>
      <c r="D180" s="2032"/>
      <c r="E180" s="2033"/>
      <c r="F180" s="3365"/>
      <c r="G180" s="3365"/>
      <c r="H180" s="3365"/>
      <c r="I180" s="3365"/>
      <c r="J180" s="3365"/>
      <c r="K180" s="3365"/>
      <c r="L180" s="3365"/>
      <c r="M180" s="3366"/>
      <c r="S180" s="730"/>
    </row>
    <row r="181" spans="1:19" ht="13.2" customHeight="1">
      <c r="A181" s="2035"/>
      <c r="B181" s="538"/>
      <c r="C181" s="2034">
        <v>1</v>
      </c>
      <c r="D181" s="2032"/>
      <c r="E181" s="2033"/>
      <c r="F181" s="3365"/>
      <c r="G181" s="3365"/>
      <c r="H181" s="3365"/>
      <c r="I181" s="3365"/>
      <c r="J181" s="3365"/>
      <c r="K181" s="3365"/>
      <c r="L181" s="3365"/>
      <c r="M181" s="3366"/>
      <c r="S181" s="730"/>
    </row>
    <row r="182" spans="1:19" ht="13.2" customHeight="1">
      <c r="A182" s="2035">
        <f>A174</f>
        <v>80</v>
      </c>
      <c r="B182" s="812" t="str">
        <f>IF('Part VI-Revenues &amp; Expenses'!$M$56=0,"",'Part VI-Revenues &amp; Expenses'!$M$56)</f>
        <v/>
      </c>
      <c r="C182" s="2031">
        <v>2</v>
      </c>
      <c r="D182" s="538"/>
      <c r="E182" s="538"/>
      <c r="F182" s="3363"/>
      <c r="G182" s="3364"/>
      <c r="H182" s="2031"/>
      <c r="I182" s="2031"/>
      <c r="J182" s="2031"/>
      <c r="K182" s="2031"/>
      <c r="L182" s="2031"/>
      <c r="M182" s="2031"/>
      <c r="S182" s="730"/>
    </row>
    <row r="183" spans="1:19" ht="13.2" customHeight="1">
      <c r="A183" s="2035"/>
      <c r="B183" s="538"/>
      <c r="C183" s="2034">
        <v>2</v>
      </c>
      <c r="D183" s="2032"/>
      <c r="E183" s="2033"/>
      <c r="F183" s="3365"/>
      <c r="G183" s="3365"/>
      <c r="H183" s="3365"/>
      <c r="I183" s="3365"/>
      <c r="J183" s="3365"/>
      <c r="K183" s="3365"/>
      <c r="L183" s="3365"/>
      <c r="M183" s="3366"/>
      <c r="S183" s="730"/>
    </row>
    <row r="184" spans="1:19" ht="13.2" customHeight="1">
      <c r="A184" s="2035"/>
      <c r="B184" s="538"/>
      <c r="C184" s="2034">
        <v>2</v>
      </c>
      <c r="D184" s="2032"/>
      <c r="E184" s="2033"/>
      <c r="F184" s="3365"/>
      <c r="G184" s="3365"/>
      <c r="H184" s="3365"/>
      <c r="I184" s="3365"/>
      <c r="J184" s="3365"/>
      <c r="K184" s="3365"/>
      <c r="L184" s="3365"/>
      <c r="M184" s="3366"/>
      <c r="S184" s="730"/>
    </row>
    <row r="185" spans="1:19" ht="13.2" customHeight="1">
      <c r="A185" s="2035"/>
      <c r="B185" s="538"/>
      <c r="C185" s="2034">
        <v>2</v>
      </c>
      <c r="D185" s="2032"/>
      <c r="E185" s="2033"/>
      <c r="F185" s="3365"/>
      <c r="G185" s="3365"/>
      <c r="H185" s="3365"/>
      <c r="I185" s="3365"/>
      <c r="J185" s="3365"/>
      <c r="K185" s="3365"/>
      <c r="L185" s="3365"/>
      <c r="M185" s="3366"/>
      <c r="S185" s="730"/>
    </row>
    <row r="186" spans="1:19" ht="13.2" customHeight="1">
      <c r="A186" s="2035"/>
      <c r="B186" s="538"/>
      <c r="C186" s="2034">
        <v>2</v>
      </c>
      <c r="D186" s="2032"/>
      <c r="E186" s="2033"/>
      <c r="F186" s="3365"/>
      <c r="G186" s="3365"/>
      <c r="H186" s="3365"/>
      <c r="I186" s="3365"/>
      <c r="J186" s="3365"/>
      <c r="K186" s="3365"/>
      <c r="L186" s="3365"/>
      <c r="M186" s="3366"/>
      <c r="S186" s="730"/>
    </row>
    <row r="187" spans="1:19" ht="13.2" customHeight="1">
      <c r="A187" s="2035">
        <f>A174</f>
        <v>80</v>
      </c>
      <c r="B187" s="812" t="str">
        <f>IF('Part VI-Revenues &amp; Expenses'!$N$56=0,"",'Part VI-Revenues &amp; Expenses'!$N$56)</f>
        <v/>
      </c>
      <c r="C187" s="2031">
        <v>3</v>
      </c>
      <c r="D187" s="538"/>
      <c r="E187" s="538"/>
      <c r="F187" s="3363"/>
      <c r="G187" s="3364"/>
      <c r="H187" s="2031"/>
      <c r="I187" s="2031"/>
      <c r="J187" s="2031"/>
      <c r="K187" s="2031"/>
      <c r="L187" s="2031"/>
      <c r="M187" s="2031"/>
      <c r="S187" s="730"/>
    </row>
    <row r="188" spans="1:19" ht="13.2" customHeight="1">
      <c r="A188" s="2035"/>
      <c r="B188" s="538"/>
      <c r="C188" s="2034">
        <v>3</v>
      </c>
      <c r="D188" s="2032"/>
      <c r="E188" s="2033"/>
      <c r="F188" s="3365"/>
      <c r="G188" s="3365"/>
      <c r="H188" s="3365"/>
      <c r="I188" s="3365"/>
      <c r="J188" s="3365"/>
      <c r="K188" s="3365"/>
      <c r="L188" s="3365"/>
      <c r="M188" s="3366"/>
      <c r="S188" s="730"/>
    </row>
    <row r="189" spans="1:19" ht="13.2" customHeight="1">
      <c r="A189" s="2035"/>
      <c r="B189" s="538"/>
      <c r="C189" s="2034">
        <v>3</v>
      </c>
      <c r="D189" s="2032"/>
      <c r="E189" s="2033"/>
      <c r="F189" s="3365"/>
      <c r="G189" s="3365"/>
      <c r="H189" s="3365"/>
      <c r="I189" s="3365"/>
      <c r="J189" s="3365"/>
      <c r="K189" s="3365"/>
      <c r="L189" s="3365"/>
      <c r="M189" s="3366"/>
      <c r="S189" s="730"/>
    </row>
    <row r="190" spans="1:19" ht="13.2" customHeight="1">
      <c r="A190" s="2035"/>
      <c r="B190" s="538"/>
      <c r="C190" s="2034">
        <v>3</v>
      </c>
      <c r="D190" s="2032"/>
      <c r="E190" s="2033"/>
      <c r="F190" s="3365"/>
      <c r="G190" s="3365"/>
      <c r="H190" s="3365"/>
      <c r="I190" s="3365"/>
      <c r="J190" s="3365"/>
      <c r="K190" s="3365"/>
      <c r="L190" s="3365"/>
      <c r="M190" s="3366"/>
      <c r="S190" s="730"/>
    </row>
    <row r="191" spans="1:19" ht="13.2" customHeight="1">
      <c r="A191" s="2035"/>
      <c r="B191" s="538"/>
      <c r="C191" s="2034">
        <v>3</v>
      </c>
      <c r="D191" s="2032"/>
      <c r="E191" s="2033"/>
      <c r="F191" s="3365"/>
      <c r="G191" s="3365"/>
      <c r="H191" s="3365"/>
      <c r="I191" s="3365"/>
      <c r="J191" s="3365"/>
      <c r="K191" s="3365"/>
      <c r="L191" s="3365"/>
      <c r="M191" s="3366"/>
      <c r="S191" s="730"/>
    </row>
    <row r="192" spans="1:19" ht="13.2" customHeight="1">
      <c r="A192" s="2035">
        <f>A174</f>
        <v>80</v>
      </c>
      <c r="B192" s="812" t="str">
        <f>IF('Part VI-Revenues &amp; Expenses'!$O$56=0,"",'Part VI-Revenues &amp; Expenses'!$O$56)</f>
        <v/>
      </c>
      <c r="C192" s="2031">
        <v>4</v>
      </c>
      <c r="D192" s="538"/>
      <c r="E192" s="538"/>
      <c r="F192" s="3363"/>
      <c r="G192" s="3364"/>
      <c r="H192" s="2031"/>
      <c r="I192" s="2031"/>
      <c r="J192" s="2031"/>
      <c r="K192" s="2031"/>
      <c r="L192" s="2031"/>
      <c r="M192" s="2031"/>
      <c r="S192" s="730"/>
    </row>
    <row r="193" spans="1:19" ht="13.2" customHeight="1">
      <c r="A193" s="2039"/>
      <c r="B193" s="538"/>
      <c r="C193" s="2034">
        <v>4</v>
      </c>
      <c r="D193" s="2032"/>
      <c r="E193" s="2033"/>
      <c r="F193" s="3365"/>
      <c r="G193" s="3365"/>
      <c r="H193" s="3365"/>
      <c r="I193" s="3365"/>
      <c r="J193" s="3365"/>
      <c r="K193" s="3365"/>
      <c r="L193" s="3365"/>
      <c r="M193" s="3366"/>
      <c r="S193" s="730"/>
    </row>
    <row r="194" spans="1:19" ht="13.2" customHeight="1">
      <c r="A194" s="2036"/>
      <c r="C194" s="2034">
        <v>4</v>
      </c>
      <c r="D194" s="2032"/>
      <c r="E194" s="2033"/>
      <c r="F194" s="3365"/>
      <c r="G194" s="3365"/>
      <c r="H194" s="3365"/>
      <c r="I194" s="3365"/>
      <c r="J194" s="3365"/>
      <c r="K194" s="3365"/>
      <c r="L194" s="3365"/>
      <c r="M194" s="3366"/>
      <c r="S194" s="730"/>
    </row>
    <row r="195" spans="1:19" ht="13.2" customHeight="1">
      <c r="A195" s="2036"/>
      <c r="C195" s="2034">
        <v>4</v>
      </c>
      <c r="D195" s="2032"/>
      <c r="E195" s="2033"/>
      <c r="F195" s="3365"/>
      <c r="G195" s="3365"/>
      <c r="H195" s="3365"/>
      <c r="I195" s="3365"/>
      <c r="J195" s="3365"/>
      <c r="K195" s="3365"/>
      <c r="L195" s="3365"/>
      <c r="M195" s="3366"/>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4" t="s">
        <v>3914</v>
      </c>
      <c r="C1" s="3404"/>
      <c r="D1" s="3404"/>
      <c r="E1" s="3404"/>
      <c r="F1" s="3404"/>
      <c r="G1" s="3404"/>
      <c r="H1" s="3404"/>
      <c r="I1" s="3404"/>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405" t="s">
        <v>3139</v>
      </c>
      <c r="C4" s="3405"/>
      <c r="D4" s="3405"/>
      <c r="E4" s="3410" t="s">
        <v>3140</v>
      </c>
      <c r="F4" s="3412"/>
      <c r="G4" s="3410" t="s">
        <v>599</v>
      </c>
      <c r="H4" s="3411"/>
      <c r="I4" s="3412"/>
      <c r="J4" s="1254" t="s">
        <v>2985</v>
      </c>
      <c r="K4" s="1254"/>
      <c r="L4" s="1262"/>
      <c r="M4" s="1262"/>
    </row>
    <row r="5" spans="2:13">
      <c r="B5" s="3406" t="str">
        <f>'Closing term sheet'!C8</f>
        <v>Boxwood Heights Columbus, LP</v>
      </c>
      <c r="C5" s="3407"/>
      <c r="D5" s="3407"/>
      <c r="E5" s="3416"/>
      <c r="F5" s="3417"/>
      <c r="G5" s="3413" t="str">
        <f>'Closing term sheet'!C28</f>
        <v>Boxwood Heights</v>
      </c>
      <c r="H5" s="3414"/>
      <c r="I5" s="3415"/>
      <c r="K5" s="730"/>
    </row>
    <row r="6" spans="2:13" ht="4.5" customHeight="1">
      <c r="D6" s="1263"/>
      <c r="E6" s="1263"/>
      <c r="F6" s="1263"/>
      <c r="G6" s="1263"/>
      <c r="H6" s="1263"/>
      <c r="I6" s="1263"/>
      <c r="K6" s="730"/>
    </row>
    <row r="7" spans="2:13">
      <c r="B7" s="3399" t="s">
        <v>3141</v>
      </c>
      <c r="C7" s="3399"/>
      <c r="D7" s="1264"/>
      <c r="E7" s="1264"/>
      <c r="F7" s="1264"/>
      <c r="G7" s="1264"/>
      <c r="H7" s="3408">
        <f>'Preview term'!E9</f>
        <v>0</v>
      </c>
      <c r="I7" s="3409"/>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418" t="s">
        <v>3922</v>
      </c>
      <c r="I35" s="3419"/>
    </row>
    <row r="36" spans="2:9">
      <c r="B36" s="1291" t="s">
        <v>3921</v>
      </c>
      <c r="C36" s="1289"/>
      <c r="D36" s="1289"/>
      <c r="E36" s="1264"/>
      <c r="F36" s="1533"/>
      <c r="G36" s="1292"/>
      <c r="H36" s="3418"/>
      <c r="I36" s="3419"/>
    </row>
    <row r="37" spans="2:9">
      <c r="B37" s="1291" t="s">
        <v>3919</v>
      </c>
      <c r="D37" s="1289"/>
      <c r="E37" s="1264"/>
      <c r="F37" s="1534"/>
      <c r="G37" s="1292"/>
      <c r="H37" s="3418"/>
      <c r="I37" s="3419"/>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3154</v>
      </c>
      <c r="C48" s="1289"/>
      <c r="D48" s="1289" t="s">
        <v>3155</v>
      </c>
      <c r="E48" s="1264"/>
      <c r="F48" s="3427" t="str">
        <f>'Closing term sheet'!$C$30</f>
        <v>Midtown Loop</v>
      </c>
      <c r="G48" s="3428"/>
      <c r="H48" s="3428"/>
      <c r="I48" s="3429"/>
    </row>
    <row r="49" spans="2:9">
      <c r="B49" s="1280" t="s">
        <v>3156</v>
      </c>
      <c r="D49" s="1289" t="s">
        <v>3157</v>
      </c>
      <c r="E49" s="1264"/>
      <c r="F49" s="3430"/>
      <c r="G49" s="3431"/>
      <c r="H49" s="3431"/>
      <c r="I49" s="3432"/>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3395" t="str">
        <f>'Part I-Project Information'!F38</f>
        <v>Columbus</v>
      </c>
      <c r="D52" s="3396"/>
      <c r="E52" s="1306" t="s">
        <v>3925</v>
      </c>
      <c r="F52" s="1266" t="s">
        <v>828</v>
      </c>
      <c r="G52" s="1306" t="s">
        <v>3926</v>
      </c>
      <c r="H52" s="1307">
        <f>'Part I-Project Information'!J38</f>
        <v>319062330</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48</v>
      </c>
      <c r="E55" s="1310"/>
      <c r="F55" s="787" t="s">
        <v>3159</v>
      </c>
      <c r="G55" s="1264"/>
      <c r="H55" s="1264"/>
      <c r="I55" s="1274"/>
    </row>
    <row r="56" spans="2:9">
      <c r="B56" s="1298" t="s">
        <v>4092</v>
      </c>
      <c r="D56" s="1311">
        <f>'Closing term sheet'!$D$62</f>
        <v>6714167</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1" t="s">
        <v>3162</v>
      </c>
      <c r="C61" s="3402"/>
      <c r="D61" s="3402"/>
      <c r="E61" s="3402"/>
      <c r="F61" s="3402"/>
      <c r="G61" s="3402"/>
      <c r="H61" s="3402"/>
      <c r="I61" s="3403"/>
    </row>
    <row r="62" spans="2:9" ht="7.5" customHeight="1">
      <c r="B62" s="3397"/>
      <c r="C62" s="3398"/>
      <c r="D62" s="3398"/>
      <c r="E62" s="1264"/>
      <c r="F62" s="1264"/>
      <c r="G62" s="1314"/>
      <c r="H62" s="1264"/>
      <c r="I62" s="1274"/>
    </row>
    <row r="63" spans="2:9">
      <c r="B63" s="1315" t="s">
        <v>3164</v>
      </c>
      <c r="C63" s="1264"/>
      <c r="D63" s="1309">
        <v>4</v>
      </c>
      <c r="F63" s="1264"/>
      <c r="G63" s="3399" t="s">
        <v>3163</v>
      </c>
      <c r="H63" s="3399"/>
      <c r="I63" s="3400"/>
    </row>
    <row r="64" spans="2:9">
      <c r="B64" s="1272"/>
      <c r="C64" s="1289" t="s">
        <v>3167</v>
      </c>
      <c r="D64" s="1289" t="s">
        <v>3168</v>
      </c>
      <c r="F64" s="1264"/>
      <c r="G64" s="799" t="s">
        <v>3165</v>
      </c>
      <c r="H64" s="1264"/>
      <c r="I64" s="1316">
        <f>'Closing term sheet'!$D$35</f>
        <v>48</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1" t="s">
        <v>3175</v>
      </c>
      <c r="C81" s="3402"/>
      <c r="D81" s="3402"/>
      <c r="E81" s="3402"/>
      <c r="F81" s="3402"/>
      <c r="G81" s="3402"/>
      <c r="H81" s="3402"/>
      <c r="I81" s="3403"/>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23">
        <f>'Closing term sheet'!D62</f>
        <v>6714167</v>
      </c>
      <c r="G84" s="3423"/>
      <c r="H84" s="1264"/>
      <c r="I84" s="1274"/>
    </row>
    <row r="85" spans="2:9">
      <c r="B85" s="1272"/>
      <c r="C85" s="807" t="s">
        <v>3178</v>
      </c>
      <c r="D85" s="1264"/>
      <c r="E85" s="1264"/>
      <c r="F85" s="3394">
        <f>'Part III-Sources of Funds'!I45+'Part III-Sources of Funds'!L45</f>
        <v>19127.026320147444</v>
      </c>
      <c r="G85" s="3394"/>
      <c r="H85" s="1264"/>
      <c r="I85" s="1274"/>
    </row>
    <row r="86" spans="2:9">
      <c r="B86" s="1272"/>
      <c r="C86" s="807" t="s">
        <v>3179</v>
      </c>
      <c r="D86" s="1264"/>
      <c r="E86" s="1264"/>
      <c r="F86" s="3393"/>
      <c r="G86" s="3393"/>
      <c r="H86" s="1264"/>
      <c r="I86" s="1274"/>
    </row>
    <row r="87" spans="2:9">
      <c r="B87" s="1272"/>
      <c r="C87" s="1289" t="s">
        <v>3180</v>
      </c>
      <c r="D87" s="1264"/>
      <c r="E87" s="1264"/>
      <c r="F87" s="3394">
        <v>11000</v>
      </c>
      <c r="G87" s="3394"/>
      <c r="H87" s="1264"/>
      <c r="I87" s="1274"/>
    </row>
    <row r="88" spans="2:9">
      <c r="B88" s="1272"/>
      <c r="C88" s="807" t="s">
        <v>3181</v>
      </c>
      <c r="D88" s="1264"/>
      <c r="E88" s="1264"/>
      <c r="F88" s="3426"/>
      <c r="G88" s="3426"/>
      <c r="H88" s="1264"/>
      <c r="I88" s="1274"/>
    </row>
    <row r="89" spans="2:9">
      <c r="B89" s="1272"/>
      <c r="C89" s="787" t="s">
        <v>3182</v>
      </c>
      <c r="D89" s="1264"/>
      <c r="E89" s="1264"/>
      <c r="F89" s="3421">
        <f>SUM(F84:G88)</f>
        <v>6744294.0263201473</v>
      </c>
      <c r="G89" s="3421"/>
      <c r="H89" s="1264"/>
      <c r="I89" s="1274"/>
    </row>
    <row r="90" spans="2:9">
      <c r="B90" s="1272"/>
      <c r="C90" s="1264"/>
      <c r="D90" s="1264"/>
      <c r="E90" s="1264"/>
      <c r="F90" s="3422"/>
      <c r="G90" s="3422"/>
      <c r="H90" s="1264"/>
      <c r="I90" s="1274"/>
    </row>
    <row r="91" spans="2:9">
      <c r="B91" s="1275" t="s">
        <v>3183</v>
      </c>
      <c r="C91" s="1264"/>
      <c r="D91" s="1264"/>
      <c r="E91" s="1264"/>
      <c r="F91" s="1264"/>
      <c r="G91" s="1264"/>
      <c r="H91" s="1264"/>
      <c r="I91" s="1274"/>
    </row>
    <row r="92" spans="2:9">
      <c r="B92" s="1272"/>
      <c r="C92" s="807" t="s">
        <v>3184</v>
      </c>
      <c r="D92" s="1264"/>
      <c r="E92" s="1264"/>
      <c r="F92" s="3423"/>
      <c r="G92" s="3423"/>
      <c r="H92" s="1264"/>
      <c r="I92" s="1274"/>
    </row>
    <row r="93" spans="2:9">
      <c r="B93" s="1272"/>
      <c r="C93" s="807" t="s">
        <v>3185</v>
      </c>
      <c r="D93" s="1264"/>
      <c r="E93" s="1264"/>
      <c r="F93" s="3424"/>
      <c r="G93" s="3424"/>
      <c r="H93" s="1264"/>
      <c r="I93" s="1274"/>
    </row>
    <row r="94" spans="2:9">
      <c r="B94" s="1272"/>
      <c r="C94" s="807" t="s">
        <v>3186</v>
      </c>
      <c r="D94" s="1264"/>
      <c r="E94" s="1264"/>
      <c r="F94" s="3425" t="s">
        <v>3061</v>
      </c>
      <c r="G94" s="3420"/>
      <c r="H94" s="1264"/>
      <c r="I94" s="1274"/>
    </row>
    <row r="95" spans="2:9">
      <c r="B95" s="1272"/>
      <c r="C95" s="787" t="s">
        <v>3187</v>
      </c>
      <c r="D95" s="1264"/>
      <c r="E95" s="1264"/>
      <c r="F95" s="3421">
        <f>+SUM(F92:G94)</f>
        <v>0</v>
      </c>
      <c r="G95" s="3421"/>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23"/>
      <c r="G98" s="3423"/>
      <c r="H98" s="1264"/>
      <c r="I98" s="1274"/>
    </row>
    <row r="99" spans="2:9">
      <c r="B99" s="1272"/>
      <c r="C99" s="807" t="s">
        <v>3190</v>
      </c>
      <c r="D99" s="1264"/>
      <c r="E99" s="1264"/>
      <c r="F99" s="3424"/>
      <c r="G99" s="3424"/>
      <c r="H99" s="1264"/>
      <c r="I99" s="1274"/>
    </row>
    <row r="100" spans="2:9">
      <c r="B100" s="1272"/>
      <c r="C100" s="807" t="s">
        <v>3191</v>
      </c>
      <c r="D100" s="1264"/>
      <c r="E100" s="1264"/>
      <c r="F100" s="3426"/>
      <c r="G100" s="3426"/>
      <c r="H100" s="1264"/>
      <c r="I100" s="1274"/>
    </row>
    <row r="101" spans="2:9">
      <c r="B101" s="1272"/>
      <c r="C101" s="787" t="s">
        <v>3192</v>
      </c>
      <c r="D101" s="1264"/>
      <c r="E101" s="1264"/>
      <c r="F101" s="3421">
        <f>+SUM(F98:G100)</f>
        <v>0</v>
      </c>
      <c r="G101" s="3421"/>
      <c r="H101" s="1264"/>
      <c r="I101" s="1274"/>
    </row>
    <row r="102" spans="2:9">
      <c r="B102" s="1272"/>
      <c r="C102" s="1264"/>
      <c r="D102" s="1264"/>
      <c r="E102" s="1264"/>
      <c r="F102" s="1264"/>
      <c r="G102" s="1264"/>
      <c r="H102" s="1264"/>
      <c r="I102" s="1274"/>
    </row>
    <row r="103" spans="2:9">
      <c r="B103" s="1315" t="s">
        <v>3193</v>
      </c>
      <c r="C103" s="807"/>
      <c r="D103" s="1264"/>
      <c r="E103" s="1264"/>
      <c r="F103" s="3420">
        <f>'Part III-Sources of Funds'!I46+'Part III-Sources of Funds'!I47</f>
        <v>0</v>
      </c>
      <c r="G103" s="3420"/>
      <c r="H103" s="1264"/>
      <c r="I103" s="1274"/>
    </row>
    <row r="104" spans="2:9">
      <c r="B104" s="1272"/>
      <c r="C104" s="1264"/>
      <c r="D104" s="1264"/>
      <c r="E104" s="1264"/>
      <c r="F104" s="1264"/>
      <c r="G104" s="1264"/>
      <c r="H104" s="1264"/>
      <c r="I104" s="1320" t="s">
        <v>3194</v>
      </c>
    </row>
    <row r="105" spans="2:9">
      <c r="B105" s="1275" t="s">
        <v>3195</v>
      </c>
      <c r="C105" s="1264"/>
      <c r="D105" s="1264"/>
      <c r="E105" s="1264"/>
      <c r="F105" s="3420">
        <f>+F103+F101+F95+F89</f>
        <v>6744294.0263201473</v>
      </c>
      <c r="G105" s="3420"/>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4225" customWidth="1"/>
    <col min="2" max="13" width="7.88671875" style="4225" customWidth="1"/>
    <col min="14" max="15" width="5.88671875" style="4225" customWidth="1"/>
    <col min="16" max="16384" width="8.88671875" style="4225"/>
  </cols>
  <sheetData>
    <row r="1" spans="1:26" ht="18">
      <c r="N1" s="4226" t="s">
        <v>1467</v>
      </c>
      <c r="O1" s="4226"/>
      <c r="P1" s="4226"/>
      <c r="Q1" s="4226"/>
      <c r="R1" s="4226"/>
      <c r="S1" s="4226"/>
      <c r="T1" s="4226"/>
      <c r="U1" s="4226"/>
      <c r="V1" s="4226"/>
      <c r="W1" s="4226"/>
      <c r="X1" s="4226"/>
      <c r="Y1" s="4226"/>
      <c r="Z1" s="4226"/>
    </row>
    <row r="2" spans="1:26">
      <c r="N2" s="4227" t="s">
        <v>1468</v>
      </c>
      <c r="O2" s="4227"/>
      <c r="P2" s="4227"/>
      <c r="Q2" s="4227"/>
      <c r="R2" s="4227"/>
      <c r="S2" s="4227"/>
      <c r="T2" s="4227"/>
      <c r="U2" s="4227"/>
      <c r="V2" s="4227"/>
      <c r="W2" s="4227"/>
      <c r="X2" s="4227"/>
      <c r="Y2" s="4227"/>
      <c r="Z2" s="4227"/>
    </row>
    <row r="3" spans="1:26">
      <c r="N3" s="4228" t="s">
        <v>1469</v>
      </c>
      <c r="O3" s="4228"/>
      <c r="P3" s="4228"/>
      <c r="Q3" s="4228"/>
      <c r="R3" s="4228"/>
      <c r="S3" s="4228"/>
      <c r="T3" s="4228"/>
      <c r="U3" s="4228"/>
      <c r="V3" s="4228"/>
      <c r="W3" s="4228"/>
      <c r="X3" s="4228"/>
      <c r="Y3" s="4228"/>
      <c r="Z3" s="4228"/>
    </row>
    <row r="4" spans="1:26">
      <c r="B4" s="4229"/>
      <c r="C4" s="4229"/>
      <c r="D4" s="4229"/>
      <c r="E4" s="4229"/>
      <c r="F4" s="4229"/>
      <c r="G4" s="4229"/>
      <c r="H4" s="4229"/>
      <c r="I4" s="4229"/>
      <c r="J4" s="4229"/>
      <c r="K4" s="4229"/>
      <c r="L4" s="4229"/>
      <c r="M4" s="4229"/>
      <c r="N4" s="4230" t="s">
        <v>684</v>
      </c>
    </row>
    <row r="5" spans="1:26" ht="59.25" customHeight="1">
      <c r="A5" s="4231" t="s">
        <v>2661</v>
      </c>
      <c r="B5" s="4231"/>
      <c r="C5" s="4231"/>
      <c r="D5" s="4231"/>
      <c r="E5" s="4231"/>
      <c r="F5" s="4231"/>
      <c r="G5" s="4231"/>
      <c r="H5" s="4231"/>
      <c r="I5" s="4231"/>
      <c r="J5" s="4231"/>
      <c r="K5" s="4231"/>
      <c r="L5" s="4231"/>
      <c r="M5" s="4231"/>
    </row>
    <row r="6" spans="1:26" ht="11.4" customHeight="1">
      <c r="A6" s="4229"/>
      <c r="B6" s="4229"/>
      <c r="C6" s="4229"/>
      <c r="D6" s="4229"/>
      <c r="E6" s="4229"/>
      <c r="F6" s="4229"/>
      <c r="G6" s="4229"/>
      <c r="H6" s="4229"/>
      <c r="I6" s="4229"/>
      <c r="J6" s="4229"/>
      <c r="K6" s="4229"/>
      <c r="L6" s="4229"/>
      <c r="M6" s="4229"/>
    </row>
    <row r="7" spans="1:26">
      <c r="A7" s="4229" t="s">
        <v>689</v>
      </c>
      <c r="B7" s="4229"/>
      <c r="C7" s="4229"/>
      <c r="D7" s="4229"/>
      <c r="E7" s="4229"/>
      <c r="F7" s="4229"/>
      <c r="G7" s="4229"/>
      <c r="H7" s="4229"/>
      <c r="I7" s="4229"/>
      <c r="J7" s="4229"/>
      <c r="K7" s="4229"/>
      <c r="L7" s="4229"/>
      <c r="M7" s="4229"/>
    </row>
    <row r="8" spans="1:26" ht="11.4" customHeight="1">
      <c r="A8" s="4229"/>
      <c r="B8" s="4229"/>
      <c r="C8" s="4229"/>
      <c r="D8" s="4229"/>
      <c r="E8" s="4229"/>
      <c r="F8" s="4229"/>
      <c r="G8" s="4229"/>
      <c r="H8" s="4229"/>
      <c r="I8" s="4229"/>
      <c r="J8" s="4229"/>
      <c r="K8" s="4229"/>
      <c r="L8" s="4229"/>
      <c r="M8" s="4229"/>
    </row>
    <row r="9" spans="1:26">
      <c r="A9" s="4232" t="s">
        <v>1858</v>
      </c>
      <c r="B9" s="4232"/>
      <c r="C9" s="4232"/>
      <c r="D9" s="4232"/>
      <c r="E9" s="4232"/>
      <c r="F9" s="4232"/>
      <c r="G9" s="4232"/>
      <c r="H9" s="4232"/>
      <c r="I9" s="4232"/>
      <c r="J9" s="4232"/>
      <c r="K9" s="4232"/>
      <c r="L9" s="4232"/>
      <c r="M9" s="4232"/>
    </row>
    <row r="10" spans="1:26" ht="6.75" customHeight="1">
      <c r="A10" s="4232"/>
      <c r="B10" s="4232"/>
      <c r="C10" s="4232"/>
      <c r="D10" s="4232"/>
      <c r="E10" s="4232"/>
      <c r="F10" s="4232"/>
      <c r="G10" s="4232"/>
      <c r="H10" s="4232"/>
      <c r="I10" s="4232"/>
      <c r="J10" s="4232"/>
      <c r="K10" s="4232"/>
      <c r="L10" s="4232"/>
      <c r="M10" s="4232"/>
    </row>
    <row r="11" spans="1:26" ht="44.25" customHeight="1">
      <c r="A11" s="4233" t="s">
        <v>4490</v>
      </c>
      <c r="B11" s="4233"/>
      <c r="C11" s="4233"/>
      <c r="D11" s="4233"/>
      <c r="E11" s="4233"/>
      <c r="F11" s="4233"/>
      <c r="G11" s="4233"/>
      <c r="H11" s="4233"/>
      <c r="I11" s="4233"/>
      <c r="J11" s="4233"/>
      <c r="K11" s="4233"/>
      <c r="L11" s="4233"/>
      <c r="M11" s="4233"/>
    </row>
    <row r="12" spans="1:26" ht="3" customHeight="1">
      <c r="A12" s="4232"/>
      <c r="B12" s="4232"/>
      <c r="C12" s="4232"/>
      <c r="D12" s="4232"/>
      <c r="E12" s="4232"/>
      <c r="F12" s="4232"/>
      <c r="G12" s="4232"/>
      <c r="H12" s="4232"/>
      <c r="I12" s="4232"/>
      <c r="J12" s="4232"/>
      <c r="K12" s="4232"/>
      <c r="L12" s="4232"/>
      <c r="M12" s="4232"/>
    </row>
    <row r="13" spans="1:26" ht="96" customHeight="1">
      <c r="A13" s="4234" t="s">
        <v>1694</v>
      </c>
      <c r="B13" s="4235" t="s">
        <v>3500</v>
      </c>
      <c r="C13" s="4235"/>
      <c r="D13" s="4235"/>
      <c r="E13" s="4235"/>
      <c r="F13" s="4235"/>
      <c r="G13" s="4235"/>
      <c r="H13" s="4235"/>
      <c r="I13" s="4235"/>
      <c r="J13" s="4235"/>
      <c r="K13" s="4235"/>
      <c r="L13" s="4235"/>
      <c r="M13" s="4235"/>
    </row>
    <row r="14" spans="1:26" ht="47.25" customHeight="1">
      <c r="A14" s="4234" t="s">
        <v>1695</v>
      </c>
      <c r="B14" s="4235" t="s">
        <v>3501</v>
      </c>
      <c r="C14" s="4235"/>
      <c r="D14" s="4235"/>
      <c r="E14" s="4235"/>
      <c r="F14" s="4235"/>
      <c r="G14" s="4235"/>
      <c r="H14" s="4235"/>
      <c r="I14" s="4235"/>
      <c r="J14" s="4235"/>
      <c r="K14" s="4235"/>
      <c r="L14" s="4235"/>
      <c r="M14" s="4235"/>
    </row>
    <row r="15" spans="1:26" ht="117" customHeight="1">
      <c r="A15" s="4234" t="s">
        <v>1696</v>
      </c>
      <c r="B15" s="4235" t="s">
        <v>3502</v>
      </c>
      <c r="C15" s="4235"/>
      <c r="D15" s="4235"/>
      <c r="E15" s="4235"/>
      <c r="F15" s="4235"/>
      <c r="G15" s="4235"/>
      <c r="H15" s="4235"/>
      <c r="I15" s="4235"/>
      <c r="J15" s="4235"/>
      <c r="K15" s="4235"/>
      <c r="L15" s="4235"/>
      <c r="M15" s="4235"/>
    </row>
    <row r="16" spans="1:26" ht="147" customHeight="1">
      <c r="A16" s="4234" t="s">
        <v>2304</v>
      </c>
      <c r="B16" s="4235" t="s">
        <v>3340</v>
      </c>
      <c r="C16" s="4235"/>
      <c r="D16" s="4235"/>
      <c r="E16" s="4235"/>
      <c r="F16" s="4235"/>
      <c r="G16" s="4235"/>
      <c r="H16" s="4235"/>
      <c r="I16" s="4235"/>
      <c r="J16" s="4235"/>
      <c r="K16" s="4235"/>
      <c r="L16" s="4235"/>
      <c r="M16" s="4235"/>
    </row>
    <row r="17" spans="1:13" ht="48.75" customHeight="1">
      <c r="A17" s="4234" t="s">
        <v>1516</v>
      </c>
      <c r="B17" s="4235" t="s">
        <v>665</v>
      </c>
      <c r="C17" s="4235"/>
      <c r="D17" s="4235"/>
      <c r="E17" s="4235"/>
      <c r="F17" s="4235"/>
      <c r="G17" s="4235"/>
      <c r="H17" s="4235"/>
      <c r="I17" s="4235"/>
      <c r="J17" s="4235"/>
      <c r="K17" s="4235"/>
      <c r="L17" s="4235"/>
      <c r="M17" s="4235"/>
    </row>
    <row r="18" spans="1:13" ht="165" customHeight="1">
      <c r="A18" s="4234" t="s">
        <v>1517</v>
      </c>
      <c r="B18" s="4235" t="s">
        <v>3339</v>
      </c>
      <c r="C18" s="4235"/>
      <c r="D18" s="4235"/>
      <c r="E18" s="4235"/>
      <c r="F18" s="4235"/>
      <c r="G18" s="4235"/>
      <c r="H18" s="4235"/>
      <c r="I18" s="4235"/>
      <c r="J18" s="4235"/>
      <c r="K18" s="4235"/>
      <c r="L18" s="4235"/>
      <c r="M18" s="4235"/>
    </row>
    <row r="19" spans="1:13" ht="48.75" customHeight="1">
      <c r="A19" s="4234" t="s">
        <v>96</v>
      </c>
      <c r="B19" s="4236" t="s">
        <v>3503</v>
      </c>
      <c r="C19" s="4236"/>
      <c r="D19" s="4236"/>
      <c r="E19" s="4236"/>
      <c r="F19" s="4236"/>
      <c r="G19" s="4236"/>
      <c r="H19" s="4236"/>
      <c r="I19" s="4236"/>
      <c r="J19" s="4236"/>
      <c r="K19" s="4236"/>
      <c r="L19" s="4236"/>
      <c r="M19" s="4236"/>
    </row>
    <row r="20" spans="1:13" ht="50.25" customHeight="1">
      <c r="A20" s="4234" t="s">
        <v>500</v>
      </c>
      <c r="B20" s="4235" t="s">
        <v>3342</v>
      </c>
      <c r="C20" s="4235"/>
      <c r="D20" s="4235"/>
      <c r="E20" s="4235"/>
      <c r="F20" s="4235"/>
      <c r="G20" s="4235"/>
      <c r="H20" s="4235"/>
      <c r="I20" s="4235"/>
      <c r="J20" s="4235"/>
      <c r="K20" s="4235"/>
      <c r="L20" s="4235"/>
      <c r="M20" s="4235"/>
    </row>
    <row r="21" spans="1:13" ht="31.5" customHeight="1">
      <c r="A21" s="4234" t="s">
        <v>501</v>
      </c>
      <c r="B21" s="4235" t="s">
        <v>3362</v>
      </c>
      <c r="C21" s="4235"/>
      <c r="D21" s="4235"/>
      <c r="E21" s="4235"/>
      <c r="F21" s="4235"/>
      <c r="G21" s="4235"/>
      <c r="H21" s="4235"/>
      <c r="I21" s="4235"/>
      <c r="J21" s="4235"/>
      <c r="K21" s="4235"/>
      <c r="L21" s="4235"/>
      <c r="M21" s="4235"/>
    </row>
    <row r="22" spans="1:13" ht="1.5" customHeight="1">
      <c r="A22" s="4232"/>
      <c r="B22" s="4232"/>
      <c r="C22" s="4232"/>
      <c r="D22" s="4232"/>
      <c r="E22" s="4232"/>
      <c r="F22" s="4232"/>
      <c r="G22" s="4232"/>
      <c r="H22" s="4232"/>
      <c r="I22" s="4232"/>
      <c r="J22" s="4232"/>
      <c r="K22" s="4232"/>
      <c r="L22" s="4232"/>
      <c r="M22" s="4232"/>
    </row>
    <row r="23" spans="1:13" ht="3" customHeight="1">
      <c r="A23" s="4232"/>
      <c r="B23" s="4232"/>
      <c r="C23" s="4232"/>
      <c r="D23" s="4232"/>
      <c r="E23" s="4232"/>
      <c r="F23" s="4232"/>
      <c r="G23" s="4232"/>
      <c r="H23" s="4232"/>
      <c r="I23" s="4232"/>
      <c r="J23" s="4232"/>
      <c r="K23" s="4232"/>
      <c r="L23" s="4232"/>
      <c r="M23" s="4232"/>
    </row>
    <row r="24" spans="1:13" ht="13.5" customHeight="1">
      <c r="A24" s="4232" t="s">
        <v>1436</v>
      </c>
      <c r="B24" s="4232"/>
      <c r="C24" s="4232"/>
      <c r="D24" s="4232"/>
      <c r="E24" s="4232"/>
      <c r="F24" s="4232"/>
      <c r="G24" s="4232"/>
      <c r="H24" s="4232"/>
      <c r="I24" s="4232"/>
      <c r="J24" s="4232"/>
      <c r="K24" s="4232"/>
      <c r="L24" s="4232"/>
      <c r="M24" s="4232"/>
    </row>
    <row r="25" spans="1:13" ht="32.25" customHeight="1">
      <c r="A25" s="4234" t="s">
        <v>1437</v>
      </c>
      <c r="B25" s="4235" t="s">
        <v>3363</v>
      </c>
      <c r="C25" s="4235"/>
      <c r="D25" s="4235"/>
      <c r="E25" s="4235"/>
      <c r="F25" s="4235"/>
      <c r="G25" s="4235"/>
      <c r="H25" s="4235"/>
      <c r="I25" s="4235"/>
      <c r="J25" s="4235"/>
      <c r="K25" s="4235"/>
      <c r="L25" s="4235"/>
      <c r="M25" s="4235"/>
    </row>
    <row r="26" spans="1:13" ht="31.5" customHeight="1">
      <c r="A26" s="4234" t="s">
        <v>1437</v>
      </c>
      <c r="B26" s="4235" t="s">
        <v>3364</v>
      </c>
      <c r="C26" s="4235"/>
      <c r="D26" s="4235"/>
      <c r="E26" s="4235"/>
      <c r="F26" s="4235"/>
      <c r="G26" s="4235"/>
      <c r="H26" s="4235"/>
      <c r="I26" s="4235"/>
      <c r="J26" s="4235"/>
      <c r="K26" s="4235"/>
      <c r="L26" s="4235"/>
      <c r="M26" s="4235"/>
    </row>
    <row r="27" spans="1:13" ht="78.75" customHeight="1">
      <c r="A27" s="4234" t="s">
        <v>1437</v>
      </c>
      <c r="B27" s="4235" t="s">
        <v>2662</v>
      </c>
      <c r="C27" s="4235"/>
      <c r="D27" s="4235"/>
      <c r="E27" s="4235"/>
      <c r="F27" s="4235"/>
      <c r="G27" s="4235"/>
      <c r="H27" s="4235"/>
      <c r="I27" s="4235"/>
      <c r="J27" s="4235"/>
      <c r="K27" s="4235"/>
      <c r="L27" s="4235"/>
      <c r="M27" s="4235"/>
    </row>
    <row r="28" spans="1:13" ht="7.5" customHeight="1">
      <c r="A28" s="4232"/>
      <c r="B28" s="4232"/>
      <c r="C28" s="4232"/>
      <c r="D28" s="4232"/>
      <c r="E28" s="4232"/>
      <c r="F28" s="4232"/>
      <c r="G28" s="4232"/>
      <c r="H28" s="4232"/>
      <c r="I28" s="4232"/>
      <c r="J28" s="4232"/>
      <c r="K28" s="4232"/>
      <c r="L28" s="4232"/>
      <c r="M28" s="4232"/>
    </row>
    <row r="29" spans="1:13" ht="43.5" customHeight="1">
      <c r="A29" s="4235" t="s">
        <v>924</v>
      </c>
      <c r="B29" s="4235"/>
      <c r="C29" s="4235"/>
      <c r="D29" s="4235"/>
      <c r="E29" s="4235"/>
      <c r="F29" s="4235"/>
      <c r="G29" s="4235"/>
      <c r="H29" s="4235"/>
      <c r="I29" s="4235"/>
      <c r="J29" s="4235"/>
      <c r="K29" s="4235"/>
      <c r="L29" s="4235"/>
      <c r="M29" s="4235"/>
    </row>
    <row r="30" spans="1:13" ht="3" customHeight="1">
      <c r="A30" s="4232"/>
      <c r="B30" s="4232"/>
      <c r="C30" s="4232"/>
      <c r="D30" s="4232"/>
      <c r="E30" s="4232"/>
      <c r="F30" s="4232"/>
      <c r="G30" s="4232"/>
      <c r="H30" s="4232"/>
      <c r="I30" s="4232"/>
      <c r="J30" s="4232"/>
      <c r="K30" s="4232"/>
      <c r="L30" s="4232"/>
      <c r="M30" s="4232"/>
    </row>
    <row r="31" spans="1:13" ht="32.25" customHeight="1">
      <c r="A31" s="4235" t="s">
        <v>2663</v>
      </c>
      <c r="B31" s="4235"/>
      <c r="C31" s="4235"/>
      <c r="D31" s="4235"/>
      <c r="E31" s="4235"/>
      <c r="F31" s="4235"/>
      <c r="G31" s="4235"/>
      <c r="H31" s="4235"/>
      <c r="I31" s="4235"/>
      <c r="J31" s="4235"/>
      <c r="K31" s="4235"/>
      <c r="L31" s="4235"/>
      <c r="M31" s="4235"/>
    </row>
    <row r="32" spans="1:13" ht="4.5" customHeight="1">
      <c r="A32" s="4232"/>
      <c r="B32" s="4232"/>
      <c r="C32" s="4232"/>
      <c r="D32" s="4232"/>
      <c r="E32" s="4232"/>
      <c r="F32" s="4232"/>
      <c r="G32" s="4232"/>
      <c r="H32" s="4232"/>
      <c r="I32" s="4232"/>
      <c r="J32" s="4232"/>
      <c r="K32" s="4232"/>
      <c r="L32" s="4232"/>
      <c r="M32" s="4232"/>
    </row>
    <row r="33" spans="1:13">
      <c r="A33" s="4232" t="s">
        <v>901</v>
      </c>
      <c r="B33" s="4232"/>
      <c r="C33" s="4232"/>
      <c r="D33" s="4232"/>
      <c r="E33" s="4232"/>
      <c r="F33" s="4232"/>
      <c r="G33" s="4232"/>
      <c r="H33" s="4232"/>
      <c r="I33" s="4232"/>
      <c r="J33" s="4232"/>
      <c r="K33" s="4232"/>
      <c r="L33" s="4232"/>
      <c r="M33" s="4232"/>
    </row>
    <row r="34" spans="1:13" ht="6" customHeight="1">
      <c r="A34" s="4237"/>
      <c r="B34" s="4237"/>
      <c r="C34" s="4237"/>
      <c r="D34" s="4237"/>
      <c r="E34" s="4237"/>
      <c r="F34" s="4237"/>
      <c r="G34" s="4237"/>
      <c r="H34" s="4237"/>
      <c r="I34" s="4237"/>
      <c r="J34" s="4237"/>
      <c r="K34" s="4237"/>
      <c r="L34" s="4237"/>
      <c r="M34" s="4237"/>
    </row>
    <row r="35" spans="1:13">
      <c r="A35" s="4238"/>
      <c r="B35" s="4238"/>
      <c r="C35" s="4238"/>
      <c r="D35" s="4238"/>
      <c r="E35" s="4238"/>
      <c r="F35" s="4238"/>
      <c r="G35" s="4239"/>
      <c r="H35" s="4238"/>
      <c r="I35" s="4238"/>
      <c r="J35" s="4238"/>
      <c r="K35" s="4238"/>
      <c r="L35" s="4238"/>
      <c r="M35" s="4238"/>
    </row>
    <row r="36" spans="1:13" ht="12" customHeight="1">
      <c r="A36" s="4240" t="s">
        <v>902</v>
      </c>
      <c r="B36" s="4240"/>
      <c r="C36" s="4240"/>
      <c r="D36" s="4240"/>
      <c r="E36" s="4240"/>
      <c r="F36" s="4240"/>
      <c r="G36" s="4239"/>
      <c r="H36" s="4240" t="s">
        <v>1932</v>
      </c>
      <c r="I36" s="4240"/>
      <c r="J36" s="4240"/>
      <c r="K36" s="4240"/>
      <c r="L36" s="4240"/>
      <c r="M36" s="4240"/>
    </row>
    <row r="37" spans="1:13" ht="6" customHeight="1">
      <c r="A37" s="4239"/>
      <c r="B37" s="4239"/>
      <c r="C37" s="4239"/>
      <c r="D37" s="4239"/>
      <c r="E37" s="4239"/>
      <c r="F37" s="4239"/>
      <c r="G37" s="4239"/>
      <c r="H37" s="4239"/>
      <c r="I37" s="4239"/>
      <c r="J37" s="4239"/>
      <c r="K37" s="4239"/>
      <c r="L37" s="4239"/>
      <c r="M37" s="4239"/>
    </row>
    <row r="38" spans="1:13">
      <c r="A38" s="4238"/>
      <c r="B38" s="4238"/>
      <c r="C38" s="4238"/>
      <c r="D38" s="4238"/>
      <c r="E38" s="4238"/>
      <c r="F38" s="4238"/>
      <c r="G38" s="4239"/>
      <c r="H38" s="4241"/>
      <c r="I38" s="4241"/>
      <c r="J38" s="4241"/>
      <c r="K38" s="4241"/>
      <c r="L38" s="4241"/>
      <c r="M38" s="4241"/>
    </row>
    <row r="39" spans="1:13" ht="12" customHeight="1">
      <c r="A39" s="4240" t="s">
        <v>903</v>
      </c>
      <c r="B39" s="4240"/>
      <c r="C39" s="4240"/>
      <c r="D39" s="4240"/>
      <c r="E39" s="4240"/>
      <c r="F39" s="4240"/>
      <c r="G39" s="4239"/>
      <c r="H39" s="4240" t="s">
        <v>904</v>
      </c>
      <c r="I39" s="4240"/>
      <c r="J39" s="4240"/>
      <c r="K39" s="4240"/>
      <c r="L39" s="4240"/>
      <c r="M39" s="4240"/>
    </row>
    <row r="40" spans="1:13" ht="3" customHeight="1">
      <c r="A40" s="4242"/>
      <c r="B40" s="4242"/>
      <c r="C40" s="4242"/>
      <c r="D40" s="4242"/>
      <c r="E40" s="4242"/>
      <c r="F40" s="4242"/>
      <c r="G40" s="4239"/>
      <c r="H40" s="4242"/>
      <c r="I40" s="4242"/>
      <c r="J40" s="4242"/>
      <c r="K40" s="4242"/>
      <c r="L40" s="4242"/>
      <c r="M40" s="4242"/>
    </row>
    <row r="41" spans="1:13" ht="11.4" customHeight="1">
      <c r="A41" s="4229"/>
      <c r="B41" s="4229"/>
      <c r="C41" s="4229"/>
      <c r="D41" s="4229"/>
      <c r="E41" s="4229"/>
      <c r="F41" s="4229"/>
      <c r="G41" s="4229"/>
      <c r="H41" s="4243" t="s">
        <v>905</v>
      </c>
      <c r="I41" s="4243"/>
      <c r="J41" s="4243"/>
      <c r="K41" s="4243"/>
      <c r="L41" s="4243"/>
      <c r="M41" s="4243"/>
    </row>
    <row r="42" spans="1:13" ht="11.4" customHeight="1">
      <c r="A42" s="4229"/>
      <c r="B42" s="4229"/>
      <c r="C42" s="4229"/>
      <c r="D42" s="4229"/>
      <c r="E42" s="4229"/>
      <c r="F42" s="4229"/>
      <c r="G42" s="4229"/>
    </row>
    <row r="43" spans="1:13" ht="11.4" customHeight="1">
      <c r="A43" s="4229"/>
      <c r="B43" s="4229"/>
      <c r="C43" s="4229"/>
      <c r="D43" s="4229"/>
      <c r="E43" s="4229"/>
      <c r="F43" s="4229"/>
      <c r="G43" s="4229"/>
      <c r="H43" s="4229"/>
      <c r="I43" s="4229"/>
      <c r="J43" s="4229"/>
      <c r="K43" s="4229"/>
      <c r="L43" s="4229"/>
      <c r="M43" s="4229"/>
    </row>
    <row r="44" spans="1:13" ht="11.4" customHeight="1">
      <c r="A44" s="4229"/>
      <c r="B44" s="4229"/>
      <c r="C44" s="4229"/>
      <c r="D44" s="4229"/>
      <c r="E44" s="4229"/>
      <c r="F44" s="4229"/>
      <c r="G44" s="4229"/>
      <c r="H44" s="4229"/>
      <c r="I44" s="4229"/>
      <c r="J44" s="4229"/>
      <c r="K44" s="4229"/>
      <c r="L44" s="4229"/>
      <c r="M44" s="4229"/>
    </row>
    <row r="45" spans="1:13" ht="11.4" customHeight="1"/>
    <row r="46" spans="1:13" ht="11.4" customHeight="1"/>
    <row r="47" spans="1:13" ht="11.4" customHeight="1"/>
    <row r="48" spans="1:13" ht="11.4" customHeight="1"/>
    <row r="49" ht="11.4" customHeight="1"/>
  </sheetData>
  <sheetProtection algorithmName="SHA-512" hashValue="pn4o6VH2MwGkl+1qr9sIkdfGX1D0QLiQ29mRFeDCWKJsedW/UQERDMqi3uSsQtKqXVtvdw6N9i553BDEiVvYaQ==" saltValue="uNkIuF2glkBddvC+uOJnr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zoomScale="130" zoomScaleNormal="130" workbookViewId="0"/>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38" t="s">
        <v>703</v>
      </c>
      <c r="B2" s="3439"/>
      <c r="C2" s="3439"/>
      <c r="D2" s="3439"/>
      <c r="E2" s="3439"/>
      <c r="F2" s="3439"/>
      <c r="G2" s="3439"/>
      <c r="H2" s="3439"/>
      <c r="I2" s="3439"/>
      <c r="J2" s="3439"/>
      <c r="K2" s="3439"/>
      <c r="L2" s="3439"/>
      <c r="M2" s="3439"/>
      <c r="N2" s="3439"/>
      <c r="O2" s="3439"/>
      <c r="P2" s="3439"/>
      <c r="Q2" s="3439"/>
      <c r="R2" s="3440"/>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3441</v>
      </c>
      <c r="K12" s="280"/>
      <c r="M12" s="280"/>
      <c r="N12" s="280"/>
      <c r="O12" s="170"/>
      <c r="Q12" s="3433">
        <v>0.1</v>
      </c>
      <c r="R12" s="3434"/>
      <c r="S12" s="291"/>
      <c r="T12" s="168"/>
      <c r="U12" s="168"/>
      <c r="V12" s="945"/>
      <c r="W12" s="945"/>
      <c r="X12" s="945"/>
      <c r="AA12" s="502"/>
      <c r="AB12" s="502"/>
    </row>
    <row r="13" spans="1:28" s="270" customFormat="1" ht="12.75" customHeight="1">
      <c r="A13" s="170"/>
      <c r="B13" s="170"/>
      <c r="C13" s="170"/>
      <c r="F13" s="1563" t="s">
        <v>2633</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1" t="s">
        <v>3251</v>
      </c>
      <c r="G20" s="3442"/>
      <c r="H20" s="3442"/>
      <c r="I20" s="3442"/>
      <c r="J20" s="3443"/>
      <c r="K20" s="280"/>
      <c r="L20" s="542" t="s">
        <v>3441</v>
      </c>
      <c r="M20" s="280"/>
      <c r="N20" s="3441" t="s">
        <v>3251</v>
      </c>
      <c r="O20" s="3442"/>
      <c r="P20" s="3442"/>
      <c r="Q20" s="3442"/>
      <c r="R20" s="3443"/>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3357</v>
      </c>
      <c r="G81" s="170"/>
      <c r="H81" s="168"/>
      <c r="I81" s="168"/>
      <c r="J81" s="170" t="s">
        <v>1174</v>
      </c>
      <c r="K81" s="170"/>
      <c r="L81" s="170"/>
      <c r="M81" s="170"/>
      <c r="N81" s="170"/>
      <c r="O81" s="170"/>
      <c r="P81" s="168"/>
      <c r="Q81" s="3444">
        <v>1000</v>
      </c>
      <c r="R81" s="3445"/>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4">
        <v>500</v>
      </c>
      <c r="R82" s="3445"/>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44">
        <v>1500</v>
      </c>
      <c r="R83" s="3445"/>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44">
        <v>1500</v>
      </c>
      <c r="R84" s="3445"/>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44">
        <v>1500</v>
      </c>
      <c r="R85" s="3445"/>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44">
        <v>1500</v>
      </c>
      <c r="R86" s="3445"/>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44">
        <v>6500</v>
      </c>
      <c r="R87" s="3445"/>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44">
        <v>5500</v>
      </c>
      <c r="R88" s="3445"/>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44">
        <v>5000</v>
      </c>
      <c r="R89" s="3445"/>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44">
        <v>500</v>
      </c>
      <c r="R90" s="3445"/>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44">
        <v>1500</v>
      </c>
      <c r="R91" s="3445"/>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37">
        <v>0.08</v>
      </c>
      <c r="R92" s="3437"/>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37">
        <v>0.08</v>
      </c>
      <c r="R93" s="3437"/>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44">
        <v>3000</v>
      </c>
      <c r="R94" s="3445"/>
      <c r="S94" s="282"/>
      <c r="T94" s="282"/>
      <c r="U94" s="282"/>
      <c r="AA94" s="502"/>
      <c r="AB94" s="502"/>
    </row>
    <row r="95" spans="1:28" s="270" customFormat="1" ht="11.4" customHeight="1">
      <c r="A95" s="170"/>
      <c r="C95" s="170"/>
      <c r="D95" s="168"/>
      <c r="E95" s="168"/>
      <c r="F95" s="172" t="s">
        <v>3644</v>
      </c>
      <c r="H95" s="170"/>
      <c r="I95" s="168"/>
      <c r="J95" s="170"/>
      <c r="K95" s="170"/>
      <c r="L95" s="170"/>
      <c r="M95" s="170"/>
      <c r="N95" s="170"/>
      <c r="O95" s="170"/>
      <c r="P95" s="168"/>
      <c r="Q95" s="3444">
        <v>1500</v>
      </c>
      <c r="R95" s="3445"/>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4">
        <v>800</v>
      </c>
      <c r="R96" s="3445"/>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44">
        <v>1000</v>
      </c>
      <c r="R97" s="3445"/>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44">
        <v>800</v>
      </c>
      <c r="R98" s="3445"/>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44">
        <v>1500</v>
      </c>
      <c r="R99" s="3445"/>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44">
        <v>3000</v>
      </c>
      <c r="R101" s="3445"/>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44">
        <v>75</v>
      </c>
      <c r="R102" s="3445"/>
      <c r="S102" s="282"/>
      <c r="T102" s="282"/>
      <c r="U102" s="282"/>
      <c r="AA102" s="502"/>
      <c r="AB102" s="502"/>
    </row>
    <row r="103" spans="1:28" customFormat="1" ht="11.25" customHeight="1">
      <c r="B103" s="170" t="s">
        <v>1815</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3452">
        <v>25000</v>
      </c>
      <c r="R104" s="3452"/>
    </row>
    <row r="105" spans="1:28" customFormat="1" ht="11.25" customHeight="1">
      <c r="B105" s="27"/>
      <c r="C105" s="27"/>
      <c r="F105" s="158"/>
      <c r="G105" s="27"/>
      <c r="H105" s="1576"/>
      <c r="I105" s="27"/>
      <c r="J105" s="1582">
        <v>51</v>
      </c>
      <c r="K105" s="1584">
        <v>70</v>
      </c>
      <c r="Q105" s="3451">
        <v>20000</v>
      </c>
      <c r="R105" s="3451"/>
    </row>
    <row r="106" spans="1:28" customFormat="1" ht="11.25" customHeight="1">
      <c r="B106" s="27"/>
      <c r="C106" s="27"/>
      <c r="F106" s="158"/>
      <c r="G106" s="27"/>
      <c r="H106" s="1576"/>
      <c r="I106" s="27"/>
      <c r="J106" s="1582">
        <v>71</v>
      </c>
      <c r="K106" s="1583"/>
      <c r="Q106" s="3450">
        <v>15000</v>
      </c>
      <c r="R106" s="3450"/>
    </row>
    <row r="107" spans="1:28" customFormat="1" ht="11.25" customHeight="1">
      <c r="B107" s="27"/>
      <c r="C107" s="27"/>
      <c r="F107" s="27"/>
      <c r="G107" s="27"/>
      <c r="H107" s="1575">
        <v>0.04</v>
      </c>
      <c r="I107" s="27"/>
      <c r="J107" s="1582">
        <v>1</v>
      </c>
      <c r="K107" s="1584">
        <v>100</v>
      </c>
      <c r="Q107" s="3452">
        <v>18000</v>
      </c>
      <c r="R107" s="3452"/>
    </row>
    <row r="108" spans="1:28" customFormat="1" ht="11.25" customHeight="1">
      <c r="B108" s="27"/>
      <c r="C108" s="27"/>
      <c r="F108" s="27"/>
      <c r="G108" s="27"/>
      <c r="H108" s="1577"/>
      <c r="I108" s="27"/>
      <c r="J108" s="1582">
        <v>101</v>
      </c>
      <c r="K108" s="1584">
        <v>130</v>
      </c>
      <c r="Q108" s="3451">
        <v>15500</v>
      </c>
      <c r="R108" s="3451"/>
    </row>
    <row r="109" spans="1:28" customFormat="1" ht="11.25" customHeight="1">
      <c r="B109" s="27"/>
      <c r="C109" s="27"/>
      <c r="F109" s="27"/>
      <c r="G109" s="27"/>
      <c r="H109" s="1577"/>
      <c r="I109" s="27"/>
      <c r="J109" s="1582">
        <v>131</v>
      </c>
      <c r="K109" s="1583"/>
      <c r="Q109" s="3450">
        <v>13000</v>
      </c>
      <c r="R109" s="3450"/>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3453">
        <v>2000000</v>
      </c>
      <c r="R112" s="3453"/>
    </row>
    <row r="113" spans="1:28" customFormat="1" ht="11.25" customHeight="1">
      <c r="B113" s="27"/>
      <c r="C113" s="27"/>
      <c r="F113" s="27"/>
      <c r="G113" s="27"/>
      <c r="H113" s="1579">
        <v>0.04</v>
      </c>
      <c r="I113" s="1571"/>
      <c r="J113" s="27"/>
      <c r="Q113" s="3453">
        <v>3500000</v>
      </c>
      <c r="R113" s="3453"/>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48">
        <v>3500000</v>
      </c>
      <c r="R115" s="3449"/>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46">
        <v>0.15</v>
      </c>
      <c r="R116" s="3447"/>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6">
        <v>0.15</v>
      </c>
      <c r="R117" s="3447"/>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6">
        <v>0.15</v>
      </c>
      <c r="R118" s="3447"/>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6">
        <v>0.15</v>
      </c>
      <c r="R119" s="3447"/>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6">
        <v>0.15</v>
      </c>
      <c r="R120" s="3447"/>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46">
        <v>0.15</v>
      </c>
      <c r="R121" s="3447"/>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46" t="s">
        <v>2312</v>
      </c>
      <c r="R122" s="3447"/>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44">
        <v>3000</v>
      </c>
      <c r="R128" s="3445"/>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37">
        <v>0.02</v>
      </c>
      <c r="R136" s="3437"/>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37">
        <v>7.0000000000000007E-2</v>
      </c>
      <c r="R137" s="3437"/>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37">
        <v>7.0000000000000007E-2</v>
      </c>
      <c r="R138" s="3437"/>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37">
        <v>0.03</v>
      </c>
      <c r="R139" s="3437"/>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37">
        <v>0.03</v>
      </c>
      <c r="R140" s="3437"/>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37">
        <v>0</v>
      </c>
      <c r="R141" s="3437"/>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37">
        <v>0.1</v>
      </c>
      <c r="R143" s="3437"/>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36">
        <v>1000000</v>
      </c>
      <c r="R144" s="3436"/>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36">
        <v>1500000</v>
      </c>
      <c r="R145" s="3436"/>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36">
        <v>375000</v>
      </c>
      <c r="R146" s="3436"/>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36"/>
      <c r="R147" s="3436"/>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36">
        <v>4000000</v>
      </c>
      <c r="R148" s="3436"/>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37">
        <v>0.35</v>
      </c>
      <c r="R151" s="3437"/>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37" t="s">
        <v>2723</v>
      </c>
      <c r="R152" s="3437"/>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37">
        <v>0.05</v>
      </c>
      <c r="R154" s="3437"/>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37">
        <v>0.4</v>
      </c>
      <c r="R155" s="3437"/>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37">
        <v>0.02</v>
      </c>
      <c r="R156" s="3437"/>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5" t="s">
        <v>3827</v>
      </c>
      <c r="E169" s="282"/>
      <c r="F169" s="282"/>
    </row>
    <row r="170" spans="2:37" ht="10.5" customHeight="1">
      <c r="C170" s="3435"/>
      <c r="E170" s="282"/>
      <c r="F170" s="282"/>
    </row>
    <row r="171" spans="2:37" ht="10.5" customHeight="1">
      <c r="C171" s="3435"/>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3928</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3929</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3930</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3931</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3932</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3933</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3934</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3935</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3936</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3937</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3938</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3939</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3940</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3942</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3943</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3944</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3945</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3946</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3947</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3948</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3949</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3950</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3951</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3952</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3953</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3954</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3955</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3959</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3960</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3961</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3962</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3963</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3964</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3965</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3966</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3968</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3970</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3971</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3972</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3973</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3974</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3975</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3976</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3977</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3978</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3979</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3980</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3981</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3982</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3983</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3984</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3985</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3986</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3987</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3988</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3989</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3990</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3991</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3992</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3993</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3994</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3995</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3997</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3998</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3999</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4000</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4001</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4002</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4004</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4007</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4009</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4010</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4011</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4012</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4013</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4014</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4015</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3555</v>
      </c>
      <c r="L262" s="970" t="s">
        <v>416</v>
      </c>
      <c r="M262" s="1050" t="s">
        <v>2531</v>
      </c>
      <c r="N262" s="1050" t="s">
        <v>1303</v>
      </c>
      <c r="O262" s="1207" t="s">
        <v>4017</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4019</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4021</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4028</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4029</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4030</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3554</v>
      </c>
      <c r="L276" s="970" t="s">
        <v>416</v>
      </c>
      <c r="M276" s="1050" t="s">
        <v>2531</v>
      </c>
      <c r="N276" s="1050" t="s">
        <v>1179</v>
      </c>
      <c r="O276" s="1207" t="s">
        <v>4031</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4032</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4033</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4034</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4035</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4036</v>
      </c>
      <c r="P281" s="530" t="s">
        <v>2269</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4037</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4038</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4040</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4041</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4042</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4044</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4045</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4047</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4049</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4050</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4051</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4055</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4056</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4057</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4058</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4059</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4060</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4061</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4062</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4063</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4064</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4066</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4067</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4068</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4069</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4070</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4073</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4074</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4078</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4079</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4080</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4081</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4082</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4083</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4084</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4086</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4087</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54">
        <v>2019</v>
      </c>
      <c r="D334" s="3455"/>
      <c r="E334" s="3455"/>
      <c r="F334" s="3455"/>
      <c r="G334" s="3454">
        <v>2020</v>
      </c>
      <c r="H334" s="3454"/>
      <c r="I334" s="3454"/>
      <c r="J334" s="3454"/>
      <c r="K334"/>
      <c r="L334" s="3456" t="s">
        <v>4764</v>
      </c>
      <c r="M334" s="3457"/>
      <c r="N334" s="3457"/>
      <c r="O334" s="3458"/>
      <c r="P334" s="530" t="s">
        <v>774</v>
      </c>
      <c r="Q334" s="291"/>
      <c r="R334" s="170"/>
      <c r="S334" s="387"/>
      <c r="T334" s="531" t="s">
        <v>671</v>
      </c>
      <c r="U334" s="531" t="s">
        <v>2126</v>
      </c>
      <c r="W334" s="427" t="s">
        <v>1422</v>
      </c>
      <c r="X334" s="427" t="s">
        <v>3277</v>
      </c>
      <c r="AA334" s="27"/>
      <c r="AB334" s="27"/>
      <c r="AC334" s="889"/>
      <c r="AD334" s="502"/>
    </row>
    <row r="335" spans="3:30" ht="10.5" customHeight="1">
      <c r="C335" s="3459" t="s">
        <v>4607</v>
      </c>
      <c r="D335" s="3460" t="s">
        <v>4608</v>
      </c>
      <c r="E335" s="3460" t="s">
        <v>4609</v>
      </c>
      <c r="F335" s="3460" t="s">
        <v>4610</v>
      </c>
      <c r="G335" s="3459" t="s">
        <v>4607</v>
      </c>
      <c r="H335" s="3460" t="s">
        <v>4608</v>
      </c>
      <c r="I335" s="3460" t="s">
        <v>4609</v>
      </c>
      <c r="J335" s="3460" t="s">
        <v>4610</v>
      </c>
      <c r="K335"/>
      <c r="L335" s="3459" t="s">
        <v>4607</v>
      </c>
      <c r="M335" s="3460" t="s">
        <v>4608</v>
      </c>
      <c r="N335" s="3460" t="s">
        <v>4609</v>
      </c>
      <c r="O335" s="3460" t="s">
        <v>4610</v>
      </c>
      <c r="P335" s="530" t="s">
        <v>2358</v>
      </c>
      <c r="Q335" s="291"/>
      <c r="R335" s="170"/>
      <c r="S335" s="387"/>
      <c r="T335" s="491" t="s">
        <v>151</v>
      </c>
      <c r="U335" s="491" t="s">
        <v>1828</v>
      </c>
      <c r="W335" s="427" t="s">
        <v>1549</v>
      </c>
      <c r="X335" s="427" t="s">
        <v>3277</v>
      </c>
      <c r="AA335" s="27"/>
      <c r="AB335" s="27"/>
      <c r="AC335" s="890"/>
      <c r="AD335" s="502"/>
    </row>
    <row r="336" spans="3:30" ht="10.5" customHeight="1">
      <c r="C336" s="3459"/>
      <c r="D336" s="3460"/>
      <c r="E336" s="3460"/>
      <c r="F336" s="3460"/>
      <c r="G336" s="3459"/>
      <c r="H336" s="3460"/>
      <c r="I336" s="3460"/>
      <c r="J336" s="3460"/>
      <c r="K336"/>
      <c r="L336" s="3459"/>
      <c r="M336" s="3460"/>
      <c r="N336" s="3460"/>
      <c r="O336" s="3460"/>
      <c r="P336" s="530" t="s">
        <v>2359</v>
      </c>
      <c r="Q336" s="291"/>
      <c r="R336" s="170"/>
      <c r="S336" s="387"/>
      <c r="T336" s="491" t="s">
        <v>192</v>
      </c>
      <c r="U336" s="491" t="s">
        <v>610</v>
      </c>
      <c r="W336" s="427" t="s">
        <v>2069</v>
      </c>
      <c r="X336" s="427" t="s">
        <v>3277</v>
      </c>
      <c r="AA336" s="27"/>
      <c r="AB336" s="27"/>
      <c r="AC336" s="889"/>
      <c r="AD336" s="502"/>
    </row>
    <row r="337" spans="3:30" ht="10.5" customHeight="1">
      <c r="C337" s="3459"/>
      <c r="D337" s="3460"/>
      <c r="E337" s="3460"/>
      <c r="F337" s="3460"/>
      <c r="G337" s="3459"/>
      <c r="H337" s="3460"/>
      <c r="I337" s="3460"/>
      <c r="J337" s="3460"/>
      <c r="K337"/>
      <c r="L337" s="3459"/>
      <c r="M337" s="3460"/>
      <c r="N337" s="3460"/>
      <c r="O337" s="3460"/>
      <c r="P337" s="530" t="s">
        <v>2361</v>
      </c>
      <c r="Q337" s="291"/>
      <c r="R337" s="170"/>
      <c r="S337" s="387"/>
      <c r="T337" s="491" t="s">
        <v>2501</v>
      </c>
      <c r="U337" s="491" t="s">
        <v>1961</v>
      </c>
      <c r="W337" s="427" t="s">
        <v>2071</v>
      </c>
      <c r="X337" s="427" t="s">
        <v>3277</v>
      </c>
      <c r="AA337" s="27"/>
      <c r="AB337" s="27"/>
      <c r="AC337" s="889"/>
      <c r="AD337" s="502"/>
    </row>
    <row r="338" spans="3:30" ht="10.5" customHeight="1">
      <c r="C338" s="3459"/>
      <c r="D338" s="3460"/>
      <c r="E338" s="3460"/>
      <c r="F338" s="3460"/>
      <c r="G338" s="3459"/>
      <c r="H338" s="3460"/>
      <c r="I338" s="3460"/>
      <c r="J338" s="3460"/>
      <c r="K338"/>
      <c r="L338" s="3459"/>
      <c r="M338" s="3460"/>
      <c r="N338" s="3460"/>
      <c r="O338" s="3460"/>
      <c r="P338" s="530" t="s">
        <v>2363</v>
      </c>
      <c r="Q338" s="291"/>
      <c r="R338" s="170"/>
      <c r="S338" s="387"/>
      <c r="T338" s="491" t="s">
        <v>771</v>
      </c>
      <c r="U338" s="491" t="s">
        <v>103</v>
      </c>
      <c r="W338" s="427" t="s">
        <v>1413</v>
      </c>
      <c r="X338" s="427" t="s">
        <v>3277</v>
      </c>
      <c r="AA338" s="27"/>
      <c r="AB338" s="27"/>
      <c r="AC338" s="889"/>
      <c r="AD338" s="502"/>
    </row>
    <row r="339" spans="3:30" ht="10.5" customHeight="1">
      <c r="C339" s="3459"/>
      <c r="D339" s="3460"/>
      <c r="E339" s="3460"/>
      <c r="F339" s="3460"/>
      <c r="G339" s="3459"/>
      <c r="H339" s="3460"/>
      <c r="I339" s="3460"/>
      <c r="J339" s="3460"/>
      <c r="K339"/>
      <c r="L339" s="3459"/>
      <c r="M339" s="3460"/>
      <c r="N339" s="3460"/>
      <c r="O339" s="3460"/>
      <c r="P339" s="530" t="s">
        <v>2364</v>
      </c>
      <c r="Q339" s="291"/>
      <c r="R339" s="170"/>
      <c r="S339" s="387"/>
      <c r="T339" s="491" t="s">
        <v>773</v>
      </c>
      <c r="U339" s="491" t="s">
        <v>119</v>
      </c>
      <c r="W339" s="427" t="s">
        <v>1523</v>
      </c>
      <c r="X339" s="427" t="s">
        <v>3277</v>
      </c>
      <c r="AA339" s="27"/>
      <c r="AB339" s="27"/>
      <c r="AC339" s="889"/>
      <c r="AD339" s="502"/>
    </row>
    <row r="340" spans="3:30" ht="10.5" customHeight="1">
      <c r="C340" s="3459"/>
      <c r="D340" s="3460"/>
      <c r="E340" s="3460"/>
      <c r="F340" s="3460"/>
      <c r="G340" s="3459"/>
      <c r="H340" s="3460"/>
      <c r="I340" s="3460"/>
      <c r="J340" s="3460"/>
      <c r="K340"/>
      <c r="L340" s="3459"/>
      <c r="M340" s="3460"/>
      <c r="N340" s="3460"/>
      <c r="O340" s="3460"/>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1887</v>
      </c>
      <c r="Q366" s="291"/>
      <c r="R366" s="170"/>
      <c r="S366" s="387"/>
      <c r="T366" s="531" t="s">
        <v>4239</v>
      </c>
      <c r="U366" s="531" t="s">
        <v>646</v>
      </c>
      <c r="W366" s="427" t="s">
        <v>2450</v>
      </c>
      <c r="X366" s="427" t="s">
        <v>3277</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3544</v>
      </c>
      <c r="Q394" s="291"/>
      <c r="R394" s="170"/>
      <c r="S394" s="387"/>
      <c r="T394" s="491" t="s">
        <v>2302</v>
      </c>
      <c r="U394" s="491" t="s">
        <v>2416</v>
      </c>
      <c r="W394" s="427" t="s">
        <v>1668</v>
      </c>
      <c r="X394" s="427" t="s">
        <v>3277</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1854</v>
      </c>
      <c r="Q693" s="291"/>
      <c r="R693" s="170"/>
      <c r="S693" s="387"/>
      <c r="T693" s="491" t="s">
        <v>4240</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1920</v>
      </c>
      <c r="Q706" s="291"/>
      <c r="R706" s="170"/>
      <c r="S706" s="387"/>
      <c r="T706" s="491" t="s">
        <v>4241</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C1xh31RiMwFiAps7hjFN6jDfLGhTvEhhN/RNPSh4LL2Mf5DKo466Cz5se9Y3baLbvb7XPfbY6GgWCyxql+TH/g==" saltValue="ir/1jzGVuEKo9CJiSuczs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Boxwood Heights</v>
      </c>
    </row>
    <row r="3" spans="1:6" ht="13.8">
      <c r="A3" s="1818" t="str">
        <f>CONCATENATE('Part I-Project Information'!F38,", ", 'Part I-Project Information'!J39," County")</f>
        <v>Columbus, Muscogee County</v>
      </c>
    </row>
    <row r="5" spans="1:6" ht="13.2" customHeight="1">
      <c r="A5" s="1844" t="str">
        <f>'Project Narrative'!A5</f>
        <v xml:space="preserve">Boxwood Heights is a proposed all new construction Senior 55+ community located on Boxwood Place in Columbus, Muscogee County. The development plan is for a four story, elevator serviced building with amenities such as a business center, exercise room, management office, and a library. 
The development will increase access to affordable housing for family households in Columbus, and will achieve a number of valuable goals and benefits for the surrounding community. 
Unit amenities will include Energy Star appliances in the kitchen, including range, refrigerator, dishwasher, and microwave. Additional amenities will include carpet in bedrooms and living areas, vinyl flooring in the kitchen and bath areas; washer/dryer sets, mini-blinds, and central heating and air. Community amenities will include the above mentioned as well as a picnic area and other outdoor gathering spaces. 
Boxwood Heights is within 1.5 miles of a number of positive, desirable activities and sites including pharmacies, churches, post office, restaurants, retail stores, and food stores.
With more than 25 years of experience, Main Street Homes, LLC  is an industry leader in the development and rehabilitation of multi-family properties, with a primary focus on the development of affordable housing. To-date, 22 properties have been developed by Main Street Homes throughout the southeast through the affordable housing tax credit program. </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6918</v>
      </c>
      <c r="H30" s="1819"/>
      <c r="I30" s="1819"/>
      <c r="J30" s="1819"/>
      <c r="K30" s="1819"/>
      <c r="L30" s="1821"/>
      <c r="M30" s="1819"/>
      <c r="N30" s="1819"/>
      <c r="O30" s="1819"/>
      <c r="P30" s="1826" t="s">
        <v>3647</v>
      </c>
      <c r="Q30" s="1819"/>
      <c r="R30" s="1819"/>
      <c r="S30" s="1819"/>
      <c r="T30" s="1819"/>
      <c r="U30" s="1819"/>
    </row>
    <row r="31" spans="1:21" ht="13.95" customHeight="1">
      <c r="A31" s="1819"/>
      <c r="B31" s="2061" t="str">
        <f>'Part I-Project Information'!B6</f>
        <v>May 26, 2020 Version</v>
      </c>
      <c r="C31" s="2062"/>
      <c r="D31" s="2062"/>
      <c r="E31" s="1815"/>
      <c r="F31" s="1821"/>
      <c r="G31" s="1820" t="s">
        <v>6919</v>
      </c>
      <c r="H31" s="1821"/>
      <c r="I31" s="1821"/>
      <c r="J31" s="1821"/>
      <c r="K31" s="1819"/>
      <c r="L31" s="1819"/>
      <c r="M31" s="1819"/>
      <c r="N31" s="1819"/>
      <c r="O31" s="1819" t="str">
        <f>'Part I-Project Information'!O6</f>
        <v>2020-067</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3603</v>
      </c>
      <c r="G34" s="1819"/>
      <c r="H34" s="1819"/>
      <c r="I34" s="1824">
        <f>'Part IV-A-Uses of Funds'!$J$184</f>
        <v>825000</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3534</v>
      </c>
      <c r="J36" s="1819" t="s">
        <v>6964</v>
      </c>
      <c r="K36" s="1819"/>
      <c r="L36" s="1821"/>
      <c r="M36" s="1819"/>
      <c r="N36" s="1819"/>
      <c r="O36" s="1819" t="str">
        <f>'Part I-Project Information'!O11</f>
        <v>2020PA-070</v>
      </c>
      <c r="P36" s="1819"/>
      <c r="Q36" s="1819"/>
      <c r="R36" s="1819"/>
      <c r="S36" s="1819"/>
      <c r="T36" s="1819"/>
      <c r="U36" s="1819"/>
    </row>
    <row r="37" spans="1:21" ht="13.8">
      <c r="A37" s="1821"/>
      <c r="B37" s="1827"/>
      <c r="C37" s="1827"/>
      <c r="D37" s="1827"/>
      <c r="E37" s="1827"/>
      <c r="F37" s="1819"/>
      <c r="G37" s="1819"/>
      <c r="H37" s="1821"/>
      <c r="I37" s="1819"/>
      <c r="J37" s="1820" t="s">
        <v>6849</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No</v>
      </c>
      <c r="G39" s="1823" t="s">
        <v>4818</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4800</v>
      </c>
      <c r="C40" s="1819"/>
      <c r="D40" s="1819"/>
      <c r="E40" s="1819"/>
      <c r="F40" s="1965">
        <f>'Part I-Project Information'!F15</f>
        <v>0</v>
      </c>
      <c r="G40" s="1965"/>
      <c r="H40" s="1965"/>
      <c r="I40" s="1965"/>
      <c r="J40" s="1819" t="s">
        <v>4514</v>
      </c>
      <c r="K40" s="1819"/>
      <c r="L40" s="1819">
        <f>'Part I-Project Information'!L15</f>
        <v>0</v>
      </c>
      <c r="M40" s="1819"/>
      <c r="N40" s="1819" t="s">
        <v>4513</v>
      </c>
      <c r="O40" s="1819"/>
      <c r="P40" s="1832">
        <f>'Part I-Project Information'!P15</f>
        <v>0</v>
      </c>
      <c r="Q40" s="1819"/>
      <c r="R40" s="1819"/>
      <c r="S40" s="1819"/>
      <c r="T40" s="1819"/>
      <c r="U40" s="1819"/>
    </row>
    <row r="41" spans="1:21" ht="13.8">
      <c r="A41" s="1821"/>
      <c r="B41" s="1819" t="s">
        <v>3602</v>
      </c>
      <c r="C41" s="1819"/>
      <c r="D41" s="1819"/>
      <c r="E41" s="1819"/>
      <c r="F41" s="1861">
        <f>'Part I-Project Information'!F16</f>
        <v>0</v>
      </c>
      <c r="G41" s="1819" t="s">
        <v>4451</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3654</v>
      </c>
      <c r="C45" s="1819"/>
      <c r="D45" s="1819"/>
      <c r="E45" s="1819"/>
      <c r="F45" s="1819" t="str">
        <f>'Part I-Project Information'!F20</f>
        <v>Main Street Homes, LLC</v>
      </c>
      <c r="G45" s="1819"/>
      <c r="H45" s="1819"/>
      <c r="I45" s="1819" t="s">
        <v>1753</v>
      </c>
      <c r="J45" s="1819" t="str">
        <f>'Part I-Project Information'!J20</f>
        <v>C. Jeffrey Rice</v>
      </c>
      <c r="K45" s="1819"/>
      <c r="L45" s="1819"/>
      <c r="M45" s="1823" t="s">
        <v>1932</v>
      </c>
      <c r="N45" s="1819" t="str">
        <f>'Part I-Project Information'!N20</f>
        <v>Principal</v>
      </c>
      <c r="O45" s="1819"/>
      <c r="P45" s="1819"/>
      <c r="Q45" s="1819"/>
      <c r="R45" s="1819"/>
      <c r="S45" s="1819"/>
      <c r="T45" s="1819"/>
      <c r="U45" s="1819"/>
    </row>
    <row r="46" spans="1:21" ht="13.95" customHeight="1">
      <c r="A46" s="1819"/>
      <c r="B46" s="1823" t="s">
        <v>1933</v>
      </c>
      <c r="C46" s="1819"/>
      <c r="D46" s="1819"/>
      <c r="E46" s="1819"/>
      <c r="F46" s="1819" t="str">
        <f>'Part I-Project Information'!F21</f>
        <v>6825 Halcyon Park Drive</v>
      </c>
      <c r="G46" s="1819"/>
      <c r="H46" s="1819"/>
      <c r="I46" s="1819"/>
      <c r="J46" s="1819"/>
      <c r="K46" s="1819"/>
      <c r="L46" s="1819"/>
      <c r="M46" s="1849" t="s">
        <v>3653</v>
      </c>
      <c r="N46" s="1849"/>
      <c r="O46" s="1849"/>
      <c r="P46" s="1849"/>
      <c r="Q46" s="1819"/>
      <c r="R46" s="1819"/>
      <c r="S46" s="1819"/>
      <c r="T46" s="1819"/>
      <c r="U46" s="1819"/>
    </row>
    <row r="47" spans="1:21" ht="13.8">
      <c r="A47" s="1819"/>
      <c r="B47" s="1823" t="s">
        <v>600</v>
      </c>
      <c r="C47" s="1819"/>
      <c r="D47" s="1819"/>
      <c r="E47" s="1819"/>
      <c r="F47" s="1819" t="str">
        <f>'Part I-Project Information'!F22</f>
        <v>Montgomery</v>
      </c>
      <c r="G47" s="1819"/>
      <c r="H47" s="1819"/>
      <c r="I47" s="1823" t="s">
        <v>1754</v>
      </c>
      <c r="J47" s="1838" t="str">
        <f>'Part I-Project Information'!J22</f>
        <v>AL</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361176972</v>
      </c>
      <c r="G48" s="2187"/>
      <c r="H48" s="2187"/>
      <c r="I48" s="1823" t="s">
        <v>1678</v>
      </c>
      <c r="J48" s="2188">
        <f>'Part I-Project Information'!J23</f>
        <v>3342816820</v>
      </c>
      <c r="K48" s="2188"/>
      <c r="L48" s="1821" t="s">
        <v>1677</v>
      </c>
      <c r="M48" s="1821">
        <f>'Part I-Project Information'!M23</f>
        <v>0</v>
      </c>
      <c r="N48" s="1823" t="s">
        <v>1679</v>
      </c>
      <c r="O48" s="2188">
        <f>'Part I-Project Information'!O23</f>
        <v>3342816820</v>
      </c>
      <c r="P48" s="2188"/>
      <c r="Q48" s="1819"/>
      <c r="R48" s="1819"/>
      <c r="S48" s="1819"/>
      <c r="T48" s="1819"/>
      <c r="U48" s="1819"/>
    </row>
    <row r="49" spans="1:21" ht="13.8">
      <c r="A49" s="1819"/>
      <c r="B49" s="1823" t="s">
        <v>1936</v>
      </c>
      <c r="C49" s="1819"/>
      <c r="D49" s="1819"/>
      <c r="E49" s="1819"/>
      <c r="F49" s="1819" t="str">
        <f>'Part I-Project Information'!F24</f>
        <v>jrice@guilifordcompanies.com</v>
      </c>
      <c r="G49" s="1819"/>
      <c r="H49" s="1819"/>
      <c r="I49" s="1819"/>
      <c r="J49" s="1819"/>
      <c r="K49" s="1819"/>
      <c r="L49" s="1819"/>
      <c r="M49" s="1819"/>
      <c r="N49" s="1823" t="s">
        <v>1931</v>
      </c>
      <c r="O49" s="2188">
        <f>'Part I-Project Information'!O24</f>
        <v>0</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3654</v>
      </c>
      <c r="C51" s="1819"/>
      <c r="D51" s="1819"/>
      <c r="E51" s="1819"/>
      <c r="F51" s="1819" t="str">
        <f>'Part I-Project Information'!F26</f>
        <v>Main Street Homes, LLC</v>
      </c>
      <c r="G51" s="1819"/>
      <c r="H51" s="1819"/>
      <c r="I51" s="1819" t="s">
        <v>1753</v>
      </c>
      <c r="J51" s="1819" t="str">
        <f>'Part I-Project Information'!J26</f>
        <v>Terry M. Grimes</v>
      </c>
      <c r="K51" s="1819"/>
      <c r="L51" s="1819"/>
      <c r="M51" s="1823" t="s">
        <v>1932</v>
      </c>
      <c r="N51" s="1819" t="str">
        <f>'Part I-Project Information'!N26</f>
        <v>Assistant to Jeff Rice</v>
      </c>
      <c r="O51" s="1819"/>
      <c r="P51" s="1819"/>
      <c r="Q51" s="1819"/>
      <c r="R51" s="1819"/>
      <c r="S51" s="1819"/>
      <c r="T51" s="1819"/>
      <c r="U51" s="1819"/>
    </row>
    <row r="52" spans="1:21" ht="13.95" customHeight="1">
      <c r="A52" s="1819"/>
      <c r="B52" s="1823" t="s">
        <v>1933</v>
      </c>
      <c r="C52" s="1819"/>
      <c r="D52" s="1819"/>
      <c r="E52" s="1819"/>
      <c r="F52" s="1819" t="str">
        <f>'Part I-Project Information'!F27</f>
        <v>6825 Halcyon Park Drive</v>
      </c>
      <c r="G52" s="1819"/>
      <c r="H52" s="1819"/>
      <c r="I52" s="1819"/>
      <c r="J52" s="1819"/>
      <c r="K52" s="1819"/>
      <c r="L52" s="1819"/>
      <c r="M52" s="1849" t="s">
        <v>3653</v>
      </c>
      <c r="N52" s="1849"/>
      <c r="O52" s="1849"/>
      <c r="P52" s="1849"/>
      <c r="Q52" s="1819"/>
      <c r="R52" s="1819"/>
      <c r="S52" s="1819"/>
      <c r="T52" s="1819"/>
      <c r="U52" s="1819"/>
    </row>
    <row r="53" spans="1:21" ht="13.8">
      <c r="A53" s="1819"/>
      <c r="B53" s="1823" t="s">
        <v>600</v>
      </c>
      <c r="C53" s="1819"/>
      <c r="D53" s="1819"/>
      <c r="E53" s="1819"/>
      <c r="F53" s="1819" t="str">
        <f>'Part I-Project Information'!F28</f>
        <v>Montgomery</v>
      </c>
      <c r="G53" s="1819"/>
      <c r="H53" s="1819"/>
      <c r="I53" s="1823" t="s">
        <v>1754</v>
      </c>
      <c r="J53" s="1838">
        <f>'Part I-Project Information'!J28</f>
        <v>0</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361176972</v>
      </c>
      <c r="G54" s="2187"/>
      <c r="H54" s="2187"/>
      <c r="I54" s="1823" t="s">
        <v>1678</v>
      </c>
      <c r="J54" s="2188">
        <f>'Part I-Project Information'!J29</f>
        <v>3342816820</v>
      </c>
      <c r="K54" s="2188"/>
      <c r="L54" s="1821" t="s">
        <v>1677</v>
      </c>
      <c r="M54" s="1821">
        <f>'Part I-Project Information'!M29</f>
        <v>0</v>
      </c>
      <c r="N54" s="1823" t="s">
        <v>1679</v>
      </c>
      <c r="O54" s="2188">
        <f>'Part I-Project Information'!O29</f>
        <v>3345233611</v>
      </c>
      <c r="P54" s="2188"/>
      <c r="Q54" s="1819"/>
      <c r="R54" s="1819"/>
      <c r="S54" s="1819"/>
      <c r="T54" s="1819"/>
      <c r="U54" s="1819"/>
    </row>
    <row r="55" spans="1:21" ht="13.8">
      <c r="A55" s="1819"/>
      <c r="B55" s="1823" t="s">
        <v>1936</v>
      </c>
      <c r="C55" s="1819"/>
      <c r="D55" s="1819"/>
      <c r="E55" s="1819"/>
      <c r="F55" s="1819" t="str">
        <f>'Part I-Project Information'!F30</f>
        <v>tgrimes@guilfordcompanies.com</v>
      </c>
      <c r="G55" s="1819"/>
      <c r="H55" s="1819"/>
      <c r="I55" s="1819"/>
      <c r="J55" s="1819"/>
      <c r="K55" s="1819"/>
      <c r="L55" s="1819"/>
      <c r="M55" s="1819"/>
      <c r="N55" s="1823" t="s">
        <v>1931</v>
      </c>
      <c r="O55" s="2188">
        <f>'Part I-Project Information'!O30</f>
        <v>0</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Boxwood Heights</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Midtown Loop</v>
      </c>
      <c r="G60" s="1965"/>
      <c r="H60" s="1965"/>
      <c r="I60" s="1965"/>
      <c r="J60" s="1965"/>
      <c r="K60" s="1965"/>
      <c r="L60" s="1819" t="s">
        <v>3506</v>
      </c>
      <c r="M60" s="1819"/>
      <c r="N60" s="1819"/>
      <c r="O60" s="1819">
        <f>'Part I-Project Information'!O35</f>
        <v>0</v>
      </c>
      <c r="P60" s="1819"/>
      <c r="Q60" s="1819"/>
      <c r="R60" s="1819"/>
      <c r="S60" s="1819"/>
      <c r="T60" s="1819"/>
      <c r="U60" s="1819"/>
    </row>
    <row r="61" spans="1:21" ht="13.8">
      <c r="A61" s="1826"/>
      <c r="B61" s="1819" t="s">
        <v>6850</v>
      </c>
      <c r="C61" s="1819"/>
      <c r="D61" s="1826"/>
      <c r="E61" s="1819"/>
      <c r="F61" s="1965" t="str">
        <f>'Part I-Project Information'!F36</f>
        <v>2 Midtown Loop</v>
      </c>
      <c r="G61" s="1965"/>
      <c r="H61" s="1965"/>
      <c r="I61" s="1965"/>
      <c r="J61" s="1965"/>
      <c r="K61" s="1965"/>
      <c r="L61" s="1823" t="s">
        <v>2001</v>
      </c>
      <c r="M61" s="1819"/>
      <c r="N61" s="1821" t="str">
        <f>'Part I-Project Information'!N36</f>
        <v>No</v>
      </c>
      <c r="O61" s="1821" t="s">
        <v>3505</v>
      </c>
      <c r="P61" s="1821">
        <f>'Part I-Project Information'!P36</f>
        <v>1</v>
      </c>
      <c r="Q61" s="1819"/>
      <c r="R61" s="1819"/>
      <c r="S61" s="1819"/>
      <c r="T61" s="1819"/>
      <c r="U61" s="1819"/>
    </row>
    <row r="62" spans="1:21" ht="13.8">
      <c r="A62" s="1826"/>
      <c r="B62" s="1819" t="s">
        <v>3552</v>
      </c>
      <c r="C62" s="1819"/>
      <c r="D62" s="1826"/>
      <c r="E62" s="1819"/>
      <c r="F62" s="1819" t="s">
        <v>3535</v>
      </c>
      <c r="G62" s="2189">
        <f>'Part I-Project Information'!G37</f>
        <v>32.477781</v>
      </c>
      <c r="H62" s="2189"/>
      <c r="I62" s="1821" t="s">
        <v>3536</v>
      </c>
      <c r="J62" s="2189">
        <f>'Part I-Project Information'!J37</f>
        <v>-84.939988</v>
      </c>
      <c r="K62" s="2189"/>
      <c r="L62" s="1823" t="s">
        <v>2224</v>
      </c>
      <c r="M62" s="1819"/>
      <c r="N62" s="1819"/>
      <c r="O62" s="2190">
        <f>'Part I-Project Information'!O37</f>
        <v>4.28</v>
      </c>
      <c r="P62" s="2190"/>
      <c r="Q62" s="1819"/>
      <c r="R62" s="1819"/>
      <c r="S62" s="1819"/>
      <c r="T62" s="1819"/>
      <c r="U62" s="1819"/>
    </row>
    <row r="63" spans="1:21" ht="14.4">
      <c r="A63" s="1821"/>
      <c r="B63" s="1819" t="s">
        <v>600</v>
      </c>
      <c r="C63" s="1819"/>
      <c r="D63" s="1819"/>
      <c r="E63" s="1819"/>
      <c r="F63" s="1819" t="str">
        <f>'Part I-Project Information'!F38</f>
        <v>Columbus</v>
      </c>
      <c r="G63" s="1819"/>
      <c r="H63" s="1819"/>
      <c r="I63" s="1829" t="s">
        <v>6965</v>
      </c>
      <c r="J63" s="2187">
        <f>'Part I-Project Information'!J38</f>
        <v>319062330</v>
      </c>
      <c r="K63" s="2187"/>
      <c r="L63" s="1819" t="str">
        <f>IF(AND(NOT(F59=""),NOT(F63="Select from list"),J63=""),"Enter Zip!","")</f>
        <v/>
      </c>
      <c r="M63" s="1830" t="s">
        <v>2801</v>
      </c>
      <c r="N63" s="1819"/>
      <c r="O63" s="2067" t="str">
        <f>'Part I-Project Information'!O38</f>
        <v>13215002000</v>
      </c>
      <c r="P63" s="1965"/>
      <c r="Q63" s="1819"/>
      <c r="R63" s="1819"/>
      <c r="S63" s="1819"/>
      <c r="T63" s="1819"/>
      <c r="U63" s="1819"/>
    </row>
    <row r="64" spans="1:21" ht="13.8">
      <c r="A64" s="1821"/>
      <c r="B64" s="1819" t="s">
        <v>4489</v>
      </c>
      <c r="C64" s="1819"/>
      <c r="D64" s="1819"/>
      <c r="E64" s="1819"/>
      <c r="F64" s="1819" t="str">
        <f>'Part I-Project Information'!F39</f>
        <v>City Limits</v>
      </c>
      <c r="G64" s="1819"/>
      <c r="H64" s="1819"/>
      <c r="I64" s="1831" t="s">
        <v>601</v>
      </c>
      <c r="J64" s="1965" t="str">
        <f>'Part I-Project Information'!J39</f>
        <v>Muscogee</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2689</v>
      </c>
      <c r="H65" s="1819"/>
      <c r="I65" s="1821" t="str">
        <f>'Part I-Project Information'!I40</f>
        <v>No</v>
      </c>
      <c r="J65" s="1821" t="s">
        <v>2707</v>
      </c>
      <c r="K65" s="1821" t="str">
        <f>'Part I-Project Information'!K40</f>
        <v>Urban</v>
      </c>
      <c r="L65" s="1819"/>
      <c r="M65" s="1823" t="s">
        <v>2543</v>
      </c>
      <c r="N65" s="1821" t="str">
        <f>'Part I-Project Information'!N40</f>
        <v>MSA</v>
      </c>
      <c r="O65" s="1819" t="str">
        <f>'Part I-Project Information'!O40</f>
        <v>Columbus</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6966</v>
      </c>
      <c r="D67" s="1819"/>
      <c r="E67" s="1819"/>
      <c r="F67" s="1827" t="s">
        <v>2672</v>
      </c>
      <c r="G67" s="1827"/>
      <c r="H67" s="1819" t="s">
        <v>718</v>
      </c>
      <c r="I67" s="1819"/>
      <c r="J67" s="1819" t="s">
        <v>719</v>
      </c>
      <c r="K67" s="1819"/>
      <c r="L67" s="1887" t="s">
        <v>6967</v>
      </c>
      <c r="M67" s="1819"/>
      <c r="N67" s="1819"/>
      <c r="O67" s="1819"/>
      <c r="P67" s="1819"/>
      <c r="Q67" s="1819"/>
      <c r="R67" s="1819"/>
      <c r="S67" s="1819"/>
      <c r="T67" s="1819"/>
      <c r="U67" s="1819"/>
    </row>
    <row r="68" spans="1:21" ht="13.8">
      <c r="A68" s="1821"/>
      <c r="B68" s="1819" t="s">
        <v>6851</v>
      </c>
      <c r="C68" s="1819"/>
      <c r="D68" s="1819"/>
      <c r="E68" s="1819"/>
      <c r="F68" s="2191">
        <f>'Part I-Project Information'!F43</f>
        <v>2</v>
      </c>
      <c r="G68" s="2191"/>
      <c r="H68" s="2191">
        <f>'Part I-Project Information'!H43</f>
        <v>15</v>
      </c>
      <c r="I68" s="2191"/>
      <c r="J68" s="2191">
        <f>'Part I-Project Information'!J43</f>
        <v>135</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Columbus</v>
      </c>
      <c r="G71" s="1882"/>
      <c r="H71" s="1882"/>
      <c r="I71" s="1882"/>
      <c r="J71" s="1882"/>
      <c r="K71" s="1882"/>
      <c r="L71" s="1833" t="s">
        <v>2624</v>
      </c>
      <c r="M71" s="1819" t="str">
        <f>'Part I-Project Information'!M46</f>
        <v>www.columbusga.gov</v>
      </c>
      <c r="N71" s="1819"/>
      <c r="O71" s="1819"/>
      <c r="P71" s="1819"/>
      <c r="Q71" s="1819"/>
      <c r="R71" s="1819"/>
      <c r="S71" s="1819"/>
      <c r="T71" s="1819"/>
      <c r="U71" s="1819"/>
    </row>
    <row r="72" spans="1:21" ht="13.8">
      <c r="A72" s="1821"/>
      <c r="B72" s="1819" t="s">
        <v>620</v>
      </c>
      <c r="C72" s="1819"/>
      <c r="D72" s="1819"/>
      <c r="E72" s="1819"/>
      <c r="F72" s="1882" t="str">
        <f>'Part I-Project Information'!F47</f>
        <v>B.H. "Skip" Henderson</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100 10th Street, 6th Floor</v>
      </c>
      <c r="G73" s="1882"/>
      <c r="H73" s="1882"/>
      <c r="I73" s="1882"/>
      <c r="J73" s="1882"/>
      <c r="K73" s="1882"/>
      <c r="L73" s="1823" t="s">
        <v>600</v>
      </c>
      <c r="M73" s="1882" t="str">
        <f>'Part I-Project Information'!M48</f>
        <v>Columbus</v>
      </c>
      <c r="N73" s="1882"/>
      <c r="O73" s="1882"/>
      <c r="P73" s="1882"/>
      <c r="Q73" s="1819"/>
      <c r="R73" s="1819"/>
      <c r="S73" s="1819"/>
      <c r="T73" s="1819"/>
      <c r="U73" s="1819"/>
    </row>
    <row r="74" spans="1:21" ht="13.8">
      <c r="A74" s="1821"/>
      <c r="B74" s="1823" t="s">
        <v>2172</v>
      </c>
      <c r="C74" s="1819"/>
      <c r="D74" s="1819"/>
      <c r="E74" s="1819"/>
      <c r="F74" s="2187">
        <f>'Part I-Project Information'!F49</f>
        <v>319010000</v>
      </c>
      <c r="G74" s="2187"/>
      <c r="H74" s="1821" t="s">
        <v>1934</v>
      </c>
      <c r="I74" s="2188">
        <f>'Part I-Project Information'!I49</f>
        <v>7062254712</v>
      </c>
      <c r="J74" s="2188"/>
      <c r="K74" s="2188"/>
      <c r="L74" s="1823" t="s">
        <v>1755</v>
      </c>
      <c r="M74" s="1882" t="str">
        <f>'Part I-Project Information'!M49</f>
        <v>SkipHenderson@columbusga.org</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6852</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48</v>
      </c>
      <c r="I79" s="1827"/>
      <c r="J79" s="1827"/>
      <c r="K79" s="1823" t="s">
        <v>3498</v>
      </c>
      <c r="L79" s="1819"/>
      <c r="M79" s="1955" t="s">
        <v>3497</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3432</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48</v>
      </c>
      <c r="I86" s="1839">
        <f>SUM(I87:I93)</f>
        <v>0</v>
      </c>
      <c r="J86" s="1821"/>
      <c r="K86" s="1827" t="s">
        <v>2681</v>
      </c>
      <c r="L86" s="1819"/>
      <c r="M86" s="1819"/>
      <c r="N86" s="1819"/>
      <c r="O86" s="1819"/>
      <c r="P86" s="1839">
        <f>SUM(P87:P93)</f>
        <v>38400</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0</v>
      </c>
      <c r="I88" s="1834">
        <f>'Part I-Project Information'!I63</f>
        <v>0</v>
      </c>
      <c r="J88" s="1821"/>
      <c r="K88" s="1827"/>
      <c r="L88" s="1827" t="s">
        <v>4215</v>
      </c>
      <c r="M88" s="1819"/>
      <c r="N88" s="1819"/>
      <c r="O88" s="1819"/>
      <c r="P88" s="1834">
        <f>'Part I-Project Information'!P63</f>
        <v>0</v>
      </c>
      <c r="Q88" s="1819"/>
      <c r="R88" s="1819"/>
      <c r="S88" s="1819"/>
      <c r="T88" s="1819"/>
      <c r="U88" s="1819"/>
    </row>
    <row r="89" spans="1:21" ht="13.8">
      <c r="A89" s="1821"/>
      <c r="B89" s="1827"/>
      <c r="C89" s="1819"/>
      <c r="D89" s="1827" t="s">
        <v>4212</v>
      </c>
      <c r="E89" s="1827"/>
      <c r="F89" s="1819"/>
      <c r="G89" s="1819"/>
      <c r="H89" s="1834">
        <f>'Part I-Project Information'!H64</f>
        <v>38</v>
      </c>
      <c r="I89" s="1834">
        <f>'Part I-Project Information'!I64</f>
        <v>0</v>
      </c>
      <c r="J89" s="1819"/>
      <c r="K89" s="1819"/>
      <c r="L89" s="1827" t="s">
        <v>4212</v>
      </c>
      <c r="M89" s="1819"/>
      <c r="N89" s="1819"/>
      <c r="O89" s="1819"/>
      <c r="P89" s="1834">
        <f>'Part I-Project Information'!P64</f>
        <v>30400</v>
      </c>
      <c r="Q89" s="1819"/>
      <c r="R89" s="1819"/>
      <c r="S89" s="1819"/>
      <c r="T89" s="1819"/>
      <c r="U89" s="1819"/>
    </row>
    <row r="90" spans="1:21" ht="13.8">
      <c r="A90" s="1821"/>
      <c r="B90" s="1819"/>
      <c r="C90" s="1819"/>
      <c r="D90" s="1827" t="s">
        <v>4213</v>
      </c>
      <c r="E90" s="1819"/>
      <c r="F90" s="1819"/>
      <c r="G90" s="1819"/>
      <c r="H90" s="1834">
        <f>'Part I-Project Information'!H65</f>
        <v>10</v>
      </c>
      <c r="I90" s="1834">
        <f>'Part I-Project Information'!I65</f>
        <v>0</v>
      </c>
      <c r="J90" s="1819"/>
      <c r="K90" s="1819"/>
      <c r="L90" s="1827" t="s">
        <v>4213</v>
      </c>
      <c r="M90" s="1819"/>
      <c r="N90" s="1819"/>
      <c r="O90" s="1819"/>
      <c r="P90" s="1834">
        <f>'Part I-Project Information'!P65</f>
        <v>8000</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2682</v>
      </c>
      <c r="L94" s="1819"/>
      <c r="M94" s="1819"/>
      <c r="N94" s="1819"/>
      <c r="O94" s="1819"/>
      <c r="P94" s="1839">
        <f>'Part VI-Revenues &amp; Expenses'!$P$167</f>
        <v>0</v>
      </c>
      <c r="Q94" s="1819"/>
      <c r="R94" s="1819"/>
      <c r="S94" s="1819"/>
      <c r="T94" s="1819"/>
      <c r="U94" s="1819"/>
    </row>
    <row r="95" spans="1:21" ht="13.8">
      <c r="A95" s="1821"/>
      <c r="B95" s="1819"/>
      <c r="C95" s="1827" t="s">
        <v>2344</v>
      </c>
      <c r="D95" s="1819"/>
      <c r="E95" s="1819"/>
      <c r="F95" s="1819"/>
      <c r="G95" s="1819"/>
      <c r="H95" s="1839">
        <f>H86+H94</f>
        <v>48</v>
      </c>
      <c r="I95" s="1819"/>
      <c r="J95" s="1821"/>
      <c r="K95" s="1827" t="s">
        <v>2683</v>
      </c>
      <c r="L95" s="1819"/>
      <c r="M95" s="1819"/>
      <c r="N95" s="1819"/>
      <c r="O95" s="1819"/>
      <c r="P95" s="1839">
        <f>P86+P94</f>
        <v>38400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48</v>
      </c>
      <c r="I97" s="1819"/>
      <c r="J97" s="1819"/>
      <c r="K97" s="1827" t="s">
        <v>1392</v>
      </c>
      <c r="L97" s="1819"/>
      <c r="M97" s="1819"/>
      <c r="N97" s="1819"/>
      <c r="O97" s="1819"/>
      <c r="P97" s="1839">
        <f>+P95+P96</f>
        <v>38400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1</v>
      </c>
      <c r="I99" s="1819"/>
      <c r="J99" s="1819"/>
      <c r="K99" s="1827" t="s">
        <v>6816</v>
      </c>
      <c r="L99" s="1819"/>
      <c r="M99" s="1819"/>
      <c r="N99" s="1819"/>
      <c r="O99" s="1819"/>
      <c r="P99" s="1839">
        <f>'Part I-Project Information'!P74</f>
        <v>12000</v>
      </c>
      <c r="Q99" s="1819"/>
      <c r="R99" s="1819"/>
      <c r="S99" s="1819"/>
      <c r="T99" s="1819"/>
      <c r="U99" s="1819"/>
    </row>
    <row r="100" spans="1:21" ht="13.8">
      <c r="A100" s="1821"/>
      <c r="B100" s="1821"/>
      <c r="C100" s="1819"/>
      <c r="D100" s="1838" t="s">
        <v>1949</v>
      </c>
      <c r="E100" s="1819"/>
      <c r="F100" s="1819"/>
      <c r="G100" s="1819"/>
      <c r="H100" s="1839">
        <f>'Part I-Project Information'!H75</f>
        <v>0</v>
      </c>
      <c r="I100" s="1819"/>
      <c r="J100" s="1819"/>
      <c r="K100" s="1827" t="s">
        <v>247</v>
      </c>
      <c r="L100" s="1819"/>
      <c r="M100" s="1819"/>
      <c r="N100" s="1819"/>
      <c r="O100" s="1819"/>
      <c r="P100" s="1839">
        <f>+P97+P99</f>
        <v>50400</v>
      </c>
      <c r="Q100" s="1819"/>
      <c r="R100" s="1819"/>
      <c r="S100" s="1819"/>
      <c r="T100" s="1819"/>
      <c r="U100" s="1819"/>
    </row>
    <row r="101" spans="1:21" ht="13.8">
      <c r="A101" s="1821"/>
      <c r="B101" s="1821"/>
      <c r="C101" s="1819"/>
      <c r="D101" s="1838" t="s">
        <v>1950</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126</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6817</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2806</v>
      </c>
      <c r="M109" s="1839">
        <f>'Part I-Project Information'!M84</f>
        <v>0</v>
      </c>
      <c r="N109" s="1840" t="s">
        <v>2807</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48</v>
      </c>
      <c r="N110" s="1826" t="s">
        <v>3650</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3</v>
      </c>
      <c r="I112" s="1819"/>
      <c r="J112" s="1819"/>
      <c r="K112" s="1819" t="s">
        <v>506</v>
      </c>
      <c r="L112" s="1819"/>
      <c r="M112" s="1819"/>
      <c r="N112" s="1841">
        <f>'Part I-Project Information'!N87</f>
        <v>6.25E-2</v>
      </c>
      <c r="O112" s="1826" t="s">
        <v>3517</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2</v>
      </c>
      <c r="I113" s="1819"/>
      <c r="J113" s="1819"/>
      <c r="K113" s="1819" t="s">
        <v>2740</v>
      </c>
      <c r="L113" s="1819"/>
      <c r="M113" s="1819"/>
      <c r="N113" s="1841">
        <f>'Part I-Project Information'!N88</f>
        <v>0.66666666666666663</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1</v>
      </c>
      <c r="I115" s="1819"/>
      <c r="J115" s="1819"/>
      <c r="K115" s="1819" t="s">
        <v>506</v>
      </c>
      <c r="L115" s="1819"/>
      <c r="M115" s="1819"/>
      <c r="N115" s="1841">
        <f>'Part I-Project Information'!N90</f>
        <v>2.0833333333333332E-2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1800000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C. Jeffrey Rice</v>
      </c>
      <c r="D150" s="1849"/>
      <c r="E150" s="1849"/>
      <c r="F150" s="1849" t="str">
        <f>'Part I-Project Information'!F125</f>
        <v>Brennan Place</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t="str">
        <f>'Part I-Project Information'!C126</f>
        <v>C. Jeffrey Rice</v>
      </c>
      <c r="D151" s="1849"/>
      <c r="E151" s="1849"/>
      <c r="F151" s="1849" t="str">
        <f>'Part I-Project Information'!F126</f>
        <v>Boxwood Heights</v>
      </c>
      <c r="G151" s="1849"/>
      <c r="H151" s="1849"/>
      <c r="I151" s="2074" t="str">
        <f>'Part I-Project Information'!I126</f>
        <v>Direct</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6853</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6920</v>
      </c>
      <c r="F176" s="1827"/>
      <c r="G176" s="1827"/>
      <c r="H176" s="1819"/>
      <c r="I176" s="1829" t="str">
        <f>'Part I-Project Information'!I151</f>
        <v>No</v>
      </c>
      <c r="J176" s="1819"/>
      <c r="K176" s="1827" t="s">
        <v>4465</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6921</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6805</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t="str">
        <f>'Part I-Project Information'!L171</f>
        <v>See below</v>
      </c>
      <c r="M196" s="1819" t="s">
        <v>2266</v>
      </c>
      <c r="N196" s="1819"/>
      <c r="O196" s="1819"/>
      <c r="P196" s="1829" t="str">
        <f>'Part I-Project Information'!P171</f>
        <v>See below</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6922</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44743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XIII. ADDITIONAL PROJECT INFORMATION: Section B, new properties: Owner is willing to forgo the Qualified Contract "cancellation option" after the close of the compliance period.</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2020-067 Boxwood Heights,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Boxwood Heights Columbus, LP</v>
      </c>
      <c r="I226" s="1827"/>
      <c r="J226" s="1827"/>
      <c r="K226" s="1827"/>
      <c r="L226" s="1827"/>
      <c r="M226" s="1827"/>
      <c r="N226" s="1827"/>
      <c r="O226" s="1823" t="s">
        <v>1941</v>
      </c>
      <c r="P226" s="1823"/>
      <c r="Q226" s="1819" t="str">
        <f>'Part II-Development Team'!Q5</f>
        <v>C. Jeffrey Rice</v>
      </c>
      <c r="R226" s="1827"/>
      <c r="S226" s="1827"/>
    </row>
    <row r="227" spans="1:19" ht="13.8">
      <c r="A227" s="1819"/>
      <c r="B227" s="1819"/>
      <c r="C227" s="1819"/>
      <c r="D227" s="1831"/>
      <c r="E227" s="1823" t="s">
        <v>999</v>
      </c>
      <c r="F227" s="1826"/>
      <c r="G227" s="1819"/>
      <c r="H227" s="1819" t="str">
        <f>'Part II-Development Team'!H6</f>
        <v>6825 Halcyon Park Drive</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Montgomery</v>
      </c>
      <c r="I228" s="1827"/>
      <c r="J228" s="1827"/>
      <c r="K228" s="1821" t="s">
        <v>744</v>
      </c>
      <c r="L228" s="1819">
        <f>'Part II-Development Team'!L7</f>
        <v>0</v>
      </c>
      <c r="M228" s="1827"/>
      <c r="N228" s="1827"/>
      <c r="O228" s="1823" t="s">
        <v>1679</v>
      </c>
      <c r="P228" s="1819"/>
      <c r="Q228" s="2188">
        <f>'Part II-Development Team'!Q7</f>
        <v>3342816820</v>
      </c>
      <c r="R228" s="2188"/>
      <c r="S228" s="2188"/>
    </row>
    <row r="229" spans="1:19" ht="13.8">
      <c r="A229" s="1819"/>
      <c r="B229" s="1819"/>
      <c r="C229" s="1819"/>
      <c r="D229" s="1831"/>
      <c r="E229" s="1823" t="s">
        <v>1754</v>
      </c>
      <c r="F229" s="1819"/>
      <c r="G229" s="1819"/>
      <c r="H229" s="1823" t="str">
        <f>'Part II-Development Team'!H8</f>
        <v>AL</v>
      </c>
      <c r="I229" s="1821" t="s">
        <v>2172</v>
      </c>
      <c r="J229" s="2187">
        <f>'Part II-Development Team'!J8</f>
        <v>361176972</v>
      </c>
      <c r="K229" s="1827"/>
      <c r="L229" s="1819" t="s">
        <v>3509</v>
      </c>
      <c r="M229" s="1819" t="str">
        <f>'Part II-Development Team'!M8</f>
        <v>For Profit</v>
      </c>
      <c r="N229" s="1819"/>
      <c r="O229" s="1823" t="s">
        <v>1931</v>
      </c>
      <c r="P229" s="1819"/>
      <c r="Q229" s="2188">
        <f>'Part II-Development Team'!Q8</f>
        <v>0</v>
      </c>
      <c r="R229" s="2188"/>
      <c r="S229" s="2188"/>
    </row>
    <row r="230" spans="1:19" ht="13.8">
      <c r="A230" s="1819"/>
      <c r="B230" s="1819"/>
      <c r="C230" s="1819"/>
      <c r="D230" s="1831"/>
      <c r="E230" s="1823" t="s">
        <v>3893</v>
      </c>
      <c r="F230" s="1819"/>
      <c r="G230" s="1819"/>
      <c r="H230" s="2188">
        <f>'Part II-Development Team'!H9</f>
        <v>3342816820</v>
      </c>
      <c r="I230" s="2188"/>
      <c r="J230" s="1829">
        <f>'Part II-Development Team'!J9</f>
        <v>0</v>
      </c>
      <c r="K230" s="1821" t="s">
        <v>1936</v>
      </c>
      <c r="L230" s="1965" t="str">
        <f>'Part II-Development Team'!L9</f>
        <v>jrice@guilifordcompanies.com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6806</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Columbus Boxwood GP, LLC</v>
      </c>
      <c r="I235" s="1827"/>
      <c r="J235" s="1827"/>
      <c r="K235" s="1827"/>
      <c r="L235" s="1827"/>
      <c r="M235" s="1827"/>
      <c r="N235" s="1827"/>
      <c r="O235" s="1823" t="s">
        <v>1941</v>
      </c>
      <c r="P235" s="1823"/>
      <c r="Q235" s="1819" t="str">
        <f>'Part II-Development Team'!Q14</f>
        <v>C. Jeffrey Rice</v>
      </c>
      <c r="R235" s="1827"/>
      <c r="S235" s="1827"/>
    </row>
    <row r="236" spans="1:19" ht="13.8">
      <c r="A236" s="1819"/>
      <c r="B236" s="1819"/>
      <c r="C236" s="1819"/>
      <c r="D236" s="1831"/>
      <c r="E236" s="1823" t="s">
        <v>999</v>
      </c>
      <c r="F236" s="1826"/>
      <c r="G236" s="1819"/>
      <c r="H236" s="1819" t="str">
        <f>'Part II-Development Team'!H15</f>
        <v>6825 Halcyon Park Drive</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Montgomery</v>
      </c>
      <c r="I237" s="1827"/>
      <c r="J237" s="1827"/>
      <c r="K237" s="1821" t="s">
        <v>2624</v>
      </c>
      <c r="L237" s="1819">
        <f>'Part II-Development Team'!L16</f>
        <v>0</v>
      </c>
      <c r="M237" s="1827"/>
      <c r="N237" s="1827"/>
      <c r="O237" s="1823" t="s">
        <v>1679</v>
      </c>
      <c r="P237" s="1819"/>
      <c r="Q237" s="2188">
        <f>'Part II-Development Team'!Q16</f>
        <v>3342816820</v>
      </c>
      <c r="R237" s="2188"/>
      <c r="S237" s="2188"/>
    </row>
    <row r="238" spans="1:19" ht="13.8">
      <c r="A238" s="1819"/>
      <c r="B238" s="1819"/>
      <c r="C238" s="1819"/>
      <c r="D238" s="1819"/>
      <c r="E238" s="1823" t="s">
        <v>1754</v>
      </c>
      <c r="F238" s="1819"/>
      <c r="G238" s="1819"/>
      <c r="H238" s="1823" t="str">
        <f>'Part II-Development Team'!H17</f>
        <v>AL</v>
      </c>
      <c r="I238" s="1819"/>
      <c r="J238" s="1819"/>
      <c r="K238" s="1821" t="s">
        <v>2172</v>
      </c>
      <c r="L238" s="2187">
        <f>'Part II-Development Team'!L17</f>
        <v>361176972</v>
      </c>
      <c r="M238" s="1827"/>
      <c r="N238" s="1819"/>
      <c r="O238" s="1823" t="s">
        <v>1931</v>
      </c>
      <c r="P238" s="1819"/>
      <c r="Q238" s="2188">
        <f>'Part II-Development Team'!Q17</f>
        <v>0</v>
      </c>
      <c r="R238" s="2188"/>
      <c r="S238" s="2188"/>
    </row>
    <row r="239" spans="1:19" ht="13.8">
      <c r="A239" s="1819"/>
      <c r="B239" s="1819"/>
      <c r="C239" s="1819"/>
      <c r="D239" s="1831"/>
      <c r="E239" s="1823" t="s">
        <v>3893</v>
      </c>
      <c r="F239" s="1819"/>
      <c r="G239" s="1819"/>
      <c r="H239" s="2188">
        <f>'Part II-Development Team'!H18</f>
        <v>3342816820</v>
      </c>
      <c r="I239" s="2188"/>
      <c r="J239" s="1829">
        <f>'Part II-Development Team'!J18</f>
        <v>0</v>
      </c>
      <c r="K239" s="1821" t="s">
        <v>1936</v>
      </c>
      <c r="L239" s="1965" t="str">
        <f>'Part II-Development Team'!L18</f>
        <v>jrice@guilifordcompanies.com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f>'Part II-Development Team'!H20</f>
        <v>0</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f>'Part II-Development Team'!H26</f>
        <v>0</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Affordable Equity Partners, Inc</v>
      </c>
      <c r="I254" s="1827"/>
      <c r="J254" s="1827"/>
      <c r="K254" s="1827"/>
      <c r="L254" s="1827"/>
      <c r="M254" s="1827"/>
      <c r="N254" s="1827"/>
      <c r="O254" s="1823" t="s">
        <v>1941</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2624</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2172</v>
      </c>
      <c r="L257" s="2187">
        <f>'Part II-Development Team'!L36</f>
        <v>652034905</v>
      </c>
      <c r="M257" s="1827"/>
      <c r="N257" s="1819"/>
      <c r="O257" s="1823" t="s">
        <v>1931</v>
      </c>
      <c r="P257" s="1819"/>
      <c r="Q257" s="2188">
        <f>'Part II-Development Team'!Q36</f>
        <v>5734248811</v>
      </c>
      <c r="R257" s="2188"/>
      <c r="S257" s="2188"/>
    </row>
    <row r="258" spans="1:19" ht="13.8">
      <c r="A258" s="1819"/>
      <c r="B258" s="1819"/>
      <c r="C258" s="1819"/>
      <c r="D258" s="1831"/>
      <c r="E258" s="1823" t="s">
        <v>3893</v>
      </c>
      <c r="F258" s="1819"/>
      <c r="G258" s="1819"/>
      <c r="H258" s="2188">
        <f>'Part II-Development Team'!H37</f>
        <v>5734432021</v>
      </c>
      <c r="I258" s="2188"/>
      <c r="J258" s="1829">
        <f>'Part II-Development Team'!J37</f>
        <v>0</v>
      </c>
      <c r="K258" s="1821" t="s">
        <v>1936</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Affordable Equity Partners, Inc</v>
      </c>
      <c r="I260" s="1827"/>
      <c r="J260" s="1827"/>
      <c r="K260" s="1827"/>
      <c r="L260" s="1827"/>
      <c r="M260" s="1827"/>
      <c r="N260" s="1827"/>
      <c r="O260" s="1823" t="s">
        <v>1941</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2624</v>
      </c>
      <c r="L262" s="1819" t="str">
        <f>'Part II-Development Team'!L41</f>
        <v>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2172</v>
      </c>
      <c r="L263" s="2187">
        <f>'Part II-Development Team'!L42</f>
        <v>652034905</v>
      </c>
      <c r="M263" s="1827"/>
      <c r="N263" s="1819"/>
      <c r="O263" s="1823" t="s">
        <v>1931</v>
      </c>
      <c r="P263" s="1819"/>
      <c r="Q263" s="2188">
        <f>'Part II-Development Team'!Q42</f>
        <v>5734248811</v>
      </c>
      <c r="R263" s="2188"/>
      <c r="S263" s="2188"/>
    </row>
    <row r="264" spans="1:19" ht="13.8">
      <c r="A264" s="1819"/>
      <c r="B264" s="1819"/>
      <c r="C264" s="1819"/>
      <c r="D264" s="1831"/>
      <c r="E264" s="1823" t="s">
        <v>3893</v>
      </c>
      <c r="F264" s="1819"/>
      <c r="G264" s="1819"/>
      <c r="H264" s="2188">
        <f>'Part II-Development Team'!H43</f>
        <v>5734432021</v>
      </c>
      <c r="I264" s="2188"/>
      <c r="J264" s="1829">
        <f>'Part II-Development Team'!J43</f>
        <v>0</v>
      </c>
      <c r="K264" s="1821" t="s">
        <v>1936</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Main Street Homes, LLC</v>
      </c>
      <c r="I275" s="1827"/>
      <c r="J275" s="1827"/>
      <c r="K275" s="1827"/>
      <c r="L275" s="1827"/>
      <c r="M275" s="1827"/>
      <c r="N275" s="1827"/>
      <c r="O275" s="1823" t="s">
        <v>1941</v>
      </c>
      <c r="P275" s="1823"/>
      <c r="Q275" s="1819" t="str">
        <f>'Part II-Development Team'!Q54</f>
        <v>C. Jeffrey Rice</v>
      </c>
      <c r="R275" s="1827"/>
      <c r="S275" s="1827"/>
    </row>
    <row r="276" spans="1:19" ht="13.8">
      <c r="A276" s="1819"/>
      <c r="B276" s="1819"/>
      <c r="C276" s="1819"/>
      <c r="D276" s="1831"/>
      <c r="E276" s="1823" t="s">
        <v>999</v>
      </c>
      <c r="F276" s="1826"/>
      <c r="G276" s="1819"/>
      <c r="H276" s="1819" t="str">
        <f>'Part II-Development Team'!H55</f>
        <v>6825 Halcyon Park Drive</v>
      </c>
      <c r="I276" s="1827"/>
      <c r="J276" s="1827"/>
      <c r="K276" s="1827"/>
      <c r="L276" s="1827"/>
      <c r="M276" s="1827"/>
      <c r="N276" s="1827"/>
      <c r="O276" s="1823" t="s">
        <v>1704</v>
      </c>
      <c r="P276" s="1819"/>
      <c r="Q276" s="1819" t="str">
        <f>'Part II-Development Team'!Q55</f>
        <v>Principle</v>
      </c>
      <c r="R276" s="1827"/>
      <c r="S276" s="1827"/>
    </row>
    <row r="277" spans="1:19" ht="13.8">
      <c r="A277" s="1819"/>
      <c r="B277" s="1819"/>
      <c r="C277" s="1819"/>
      <c r="D277" s="1831"/>
      <c r="E277" s="1823" t="s">
        <v>600</v>
      </c>
      <c r="F277" s="1819"/>
      <c r="G277" s="1819"/>
      <c r="H277" s="1819" t="str">
        <f>'Part II-Development Team'!H56</f>
        <v>Montgomery</v>
      </c>
      <c r="I277" s="1827"/>
      <c r="J277" s="1827"/>
      <c r="K277" s="1821" t="s">
        <v>2624</v>
      </c>
      <c r="L277" s="1819">
        <f>'Part II-Development Team'!L56</f>
        <v>0</v>
      </c>
      <c r="M277" s="1827"/>
      <c r="N277" s="1827"/>
      <c r="O277" s="1823" t="s">
        <v>1679</v>
      </c>
      <c r="P277" s="1819"/>
      <c r="Q277" s="2188">
        <f>'Part II-Development Team'!Q56</f>
        <v>3342816820</v>
      </c>
      <c r="R277" s="2188"/>
      <c r="S277" s="2188"/>
    </row>
    <row r="278" spans="1:19" ht="13.8">
      <c r="A278" s="1819"/>
      <c r="B278" s="1819"/>
      <c r="C278" s="1819"/>
      <c r="D278" s="1819"/>
      <c r="E278" s="1823" t="s">
        <v>1754</v>
      </c>
      <c r="F278" s="1819"/>
      <c r="G278" s="1819"/>
      <c r="H278" s="1823" t="str">
        <f>'Part II-Development Team'!H57</f>
        <v>AL</v>
      </c>
      <c r="I278" s="1819"/>
      <c r="J278" s="1819"/>
      <c r="K278" s="1821" t="s">
        <v>2172</v>
      </c>
      <c r="L278" s="2187">
        <f>'Part II-Development Team'!L57</f>
        <v>361176972</v>
      </c>
      <c r="M278" s="1827"/>
      <c r="N278" s="1819"/>
      <c r="O278" s="1823" t="s">
        <v>1931</v>
      </c>
      <c r="P278" s="1819"/>
      <c r="Q278" s="2188">
        <f>'Part II-Development Team'!Q57</f>
        <v>0</v>
      </c>
      <c r="R278" s="2188"/>
      <c r="S278" s="2188"/>
    </row>
    <row r="279" spans="1:19" ht="13.8">
      <c r="A279" s="1819"/>
      <c r="B279" s="1819"/>
      <c r="C279" s="1819"/>
      <c r="D279" s="1831"/>
      <c r="E279" s="1823" t="s">
        <v>3893</v>
      </c>
      <c r="F279" s="1819"/>
      <c r="G279" s="1819"/>
      <c r="H279" s="2188">
        <f>'Part II-Development Team'!H58</f>
        <v>3342816820</v>
      </c>
      <c r="I279" s="2188"/>
      <c r="J279" s="1829">
        <f>'Part II-Development Team'!J58</f>
        <v>0</v>
      </c>
      <c r="K279" s="1821" t="s">
        <v>1936</v>
      </c>
      <c r="L279" s="1965" t="str">
        <f>'Part II-Development Team'!L58</f>
        <v>jrice@guilifordcompanies.com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f>'Part II-Development Team'!H60</f>
        <v>0</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f>'Part II-Development Team'!H72</f>
        <v>0</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f>'Part II-Development Team'!H80</f>
        <v>0</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Fairway Construction Company, Inc</v>
      </c>
      <c r="I307" s="1827"/>
      <c r="J307" s="1827"/>
      <c r="K307" s="1827"/>
      <c r="L307" s="1827"/>
      <c r="M307" s="1827"/>
      <c r="N307" s="1827"/>
      <c r="O307" s="1823" t="s">
        <v>1941</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Executive 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2624</v>
      </c>
      <c r="L309" s="1819" t="str">
        <f>'Part II-Development Team'!L88</f>
        <v>www.fairwayconstruction.net</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2172</v>
      </c>
      <c r="L310" s="2187">
        <f>'Part II-Development Team'!L89</f>
        <v>652034905</v>
      </c>
      <c r="M310" s="1827"/>
      <c r="N310" s="1819"/>
      <c r="O310" s="1823" t="s">
        <v>1931</v>
      </c>
      <c r="P310" s="1819"/>
      <c r="Q310" s="2188">
        <f>'Part II-Development Team'!Q89</f>
        <v>0</v>
      </c>
      <c r="R310" s="2188"/>
      <c r="S310" s="2188"/>
    </row>
    <row r="311" spans="1:19" ht="13.8">
      <c r="A311" s="1819"/>
      <c r="B311" s="1819"/>
      <c r="C311" s="1819"/>
      <c r="D311" s="1831"/>
      <c r="E311" s="1823" t="s">
        <v>3893</v>
      </c>
      <c r="F311" s="1819"/>
      <c r="G311" s="1819"/>
      <c r="H311" s="2188">
        <f>'Part II-Development Team'!H90</f>
        <v>5734432021</v>
      </c>
      <c r="I311" s="2188"/>
      <c r="J311" s="1829">
        <f>'Part II-Development Team'!J90</f>
        <v>0</v>
      </c>
      <c r="K311" s="1821" t="s">
        <v>1936</v>
      </c>
      <c r="L311" s="1965" t="str">
        <f>'Part II-Development Team'!L90</f>
        <v>tstanley@fairwayconstruction.net</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Co., Inc</v>
      </c>
      <c r="I313" s="1827"/>
      <c r="J313" s="1827"/>
      <c r="K313" s="1827"/>
      <c r="L313" s="1827"/>
      <c r="M313" s="1827"/>
      <c r="N313" s="1827"/>
      <c r="O313" s="1823" t="s">
        <v>1941</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3290 Northside Parkway, Suite 300</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Atlanta</v>
      </c>
      <c r="I315" s="1827"/>
      <c r="J315" s="1827"/>
      <c r="K315" s="1821" t="s">
        <v>2624</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GA</v>
      </c>
      <c r="I316" s="1819"/>
      <c r="J316" s="1819"/>
      <c r="K316" s="1821" t="s">
        <v>2172</v>
      </c>
      <c r="L316" s="2187">
        <f>'Part II-Development Team'!L95</f>
        <v>303272212</v>
      </c>
      <c r="M316" s="1827"/>
      <c r="N316" s="1819"/>
      <c r="O316" s="1823" t="s">
        <v>1931</v>
      </c>
      <c r="P316" s="1819"/>
      <c r="Q316" s="2188">
        <f>'Part II-Development Team'!Q95</f>
        <v>0</v>
      </c>
      <c r="R316" s="2188"/>
      <c r="S316" s="2188"/>
    </row>
    <row r="317" spans="1:19" ht="13.8">
      <c r="A317" s="1819"/>
      <c r="B317" s="1819"/>
      <c r="C317" s="1819"/>
      <c r="D317" s="1831"/>
      <c r="E317" s="1823" t="s">
        <v>3893</v>
      </c>
      <c r="F317" s="1819"/>
      <c r="G317" s="1819"/>
      <c r="H317" s="2188">
        <f>'Part II-Development Team'!H96</f>
        <v>5734432021</v>
      </c>
      <c r="I317" s="2188"/>
      <c r="J317" s="1829">
        <f>'Part II-Development Team'!J96</f>
        <v>0</v>
      </c>
      <c r="K317" s="1821" t="s">
        <v>1936</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Coleman Talley</v>
      </c>
      <c r="I319" s="1827"/>
      <c r="J319" s="1827"/>
      <c r="K319" s="1827"/>
      <c r="L319" s="1827"/>
      <c r="M319" s="1827"/>
      <c r="N319" s="1827"/>
      <c r="O319" s="1823" t="s">
        <v>1941</v>
      </c>
      <c r="P319" s="1823"/>
      <c r="Q319" s="1819" t="str">
        <f>'Part II-Development Team'!Q98</f>
        <v>Greg Clark</v>
      </c>
      <c r="R319" s="1827"/>
      <c r="S319" s="1827"/>
    </row>
    <row r="320" spans="1:19" ht="13.8">
      <c r="A320" s="1819"/>
      <c r="B320" s="1819"/>
      <c r="C320" s="1819"/>
      <c r="D320" s="1831"/>
      <c r="E320" s="1823" t="s">
        <v>999</v>
      </c>
      <c r="F320" s="1826"/>
      <c r="G320" s="1819"/>
      <c r="H320" s="1819" t="str">
        <f>'Part II-Development Team'!H99</f>
        <v>109 S Ashley Street</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2624</v>
      </c>
      <c r="L321" s="1819" t="str">
        <f>'Part II-Development Team'!L100</f>
        <v>www.colemantalley.com</v>
      </c>
      <c r="M321" s="1827"/>
      <c r="N321" s="1827"/>
      <c r="O321" s="1823" t="s">
        <v>1679</v>
      </c>
      <c r="P321" s="1819"/>
      <c r="Q321" s="2188">
        <f>'Part II-Development Team'!Q100</f>
        <v>2296718260</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316015601</v>
      </c>
      <c r="M322" s="1827"/>
      <c r="N322" s="1819"/>
      <c r="O322" s="1823" t="s">
        <v>1931</v>
      </c>
      <c r="P322" s="1819"/>
      <c r="Q322" s="2188">
        <f>'Part II-Development Team'!Q101</f>
        <v>2298349704</v>
      </c>
      <c r="R322" s="2188"/>
      <c r="S322" s="2188"/>
    </row>
    <row r="323" spans="1:19" ht="13.8">
      <c r="A323" s="1827"/>
      <c r="B323" s="1827"/>
      <c r="C323" s="1827"/>
      <c r="D323" s="1827"/>
      <c r="E323" s="1823" t="s">
        <v>3893</v>
      </c>
      <c r="F323" s="1819"/>
      <c r="G323" s="1819"/>
      <c r="H323" s="2188">
        <f>'Part II-Development Team'!H102</f>
        <v>2292427562</v>
      </c>
      <c r="I323" s="2188"/>
      <c r="J323" s="1829">
        <f>'Part II-Development Team'!J102</f>
        <v>0</v>
      </c>
      <c r="K323" s="1821" t="s">
        <v>1936</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Howe &amp; Associates</v>
      </c>
      <c r="I325" s="1827"/>
      <c r="J325" s="1827"/>
      <c r="K325" s="1827"/>
      <c r="L325" s="1827"/>
      <c r="M325" s="1827"/>
      <c r="N325" s="1827"/>
      <c r="O325" s="1823" t="s">
        <v>1941</v>
      </c>
      <c r="P325" s="1823"/>
      <c r="Q325" s="1819" t="str">
        <f>'Part II-Development Team'!Q104</f>
        <v>Bill Howe</v>
      </c>
      <c r="R325" s="1827"/>
      <c r="S325" s="1827"/>
    </row>
    <row r="326" spans="1:19" ht="13.8">
      <c r="A326" s="1819"/>
      <c r="B326" s="1819"/>
      <c r="C326" s="1819"/>
      <c r="D326" s="1831"/>
      <c r="E326" s="1823" t="s">
        <v>999</v>
      </c>
      <c r="F326" s="1826"/>
      <c r="G326" s="1819"/>
      <c r="H326" s="1819" t="str">
        <f>'Part II-Development Team'!H105</f>
        <v>104 E Broadway</v>
      </c>
      <c r="I326" s="1827"/>
      <c r="J326" s="1827"/>
      <c r="K326" s="1827"/>
      <c r="L326" s="1827"/>
      <c r="M326" s="1827"/>
      <c r="N326" s="1827"/>
      <c r="O326" s="1823" t="s">
        <v>1704</v>
      </c>
      <c r="P326" s="1819"/>
      <c r="Q326" s="1819" t="str">
        <f>'Part II-Development Team'!Q105</f>
        <v>Owner</v>
      </c>
      <c r="R326" s="1827"/>
      <c r="S326" s="1827"/>
    </row>
    <row r="327" spans="1:19" ht="13.8">
      <c r="A327" s="1819"/>
      <c r="B327" s="1819"/>
      <c r="C327" s="1819"/>
      <c r="D327" s="1831"/>
      <c r="E327" s="1823" t="s">
        <v>600</v>
      </c>
      <c r="F327" s="1819"/>
      <c r="G327" s="1819"/>
      <c r="H327" s="1819" t="str">
        <f>'Part II-Development Team'!H106</f>
        <v>Columbia</v>
      </c>
      <c r="I327" s="1827"/>
      <c r="J327" s="1827"/>
      <c r="K327" s="1821" t="s">
        <v>2624</v>
      </c>
      <c r="L327" s="1819">
        <f>'Part II-Development Team'!L106</f>
        <v>0</v>
      </c>
      <c r="M327" s="1827"/>
      <c r="N327" s="1827"/>
      <c r="O327" s="1823" t="s">
        <v>1679</v>
      </c>
      <c r="P327" s="1819"/>
      <c r="Q327" s="2188">
        <f>'Part II-Development Team'!Q106</f>
        <v>5738741040</v>
      </c>
      <c r="R327" s="2188"/>
      <c r="S327" s="2188"/>
    </row>
    <row r="328" spans="1:19" ht="13.8">
      <c r="A328" s="1819"/>
      <c r="B328" s="1819"/>
      <c r="C328" s="1819"/>
      <c r="D328" s="1831"/>
      <c r="E328" s="1823" t="s">
        <v>1754</v>
      </c>
      <c r="F328" s="1819"/>
      <c r="G328" s="1819"/>
      <c r="H328" s="1823" t="str">
        <f>'Part II-Development Team'!H107</f>
        <v>MO</v>
      </c>
      <c r="I328" s="1819"/>
      <c r="J328" s="1819"/>
      <c r="K328" s="1821" t="s">
        <v>2172</v>
      </c>
      <c r="L328" s="2187">
        <f>'Part II-Development Team'!L107</f>
        <v>652034256</v>
      </c>
      <c r="M328" s="1827"/>
      <c r="N328" s="1819"/>
      <c r="O328" s="1823" t="s">
        <v>1931</v>
      </c>
      <c r="P328" s="1819"/>
      <c r="Q328" s="2188">
        <f>'Part II-Development Team'!Q107</f>
        <v>0</v>
      </c>
      <c r="R328" s="2188"/>
      <c r="S328" s="2188"/>
    </row>
    <row r="329" spans="1:19" ht="13.8">
      <c r="A329" s="1827"/>
      <c r="B329" s="1827"/>
      <c r="C329" s="1827"/>
      <c r="D329" s="1827"/>
      <c r="E329" s="1823" t="s">
        <v>3893</v>
      </c>
      <c r="F329" s="1819"/>
      <c r="G329" s="1819"/>
      <c r="H329" s="2188">
        <f>'Part II-Development Team'!H108</f>
        <v>5738741040</v>
      </c>
      <c r="I329" s="2188"/>
      <c r="J329" s="1829">
        <f>'Part II-Development Team'!J108</f>
        <v>0</v>
      </c>
      <c r="K329" s="1821" t="s">
        <v>1936</v>
      </c>
      <c r="L329" s="1965">
        <f>'Part II-Development Team'!L108</f>
        <v>0</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Rosemann &amp; Associates, P.C.</v>
      </c>
      <c r="I331" s="1827"/>
      <c r="J331" s="1827"/>
      <c r="K331" s="1827"/>
      <c r="L331" s="1827"/>
      <c r="M331" s="1827"/>
      <c r="N331" s="1827"/>
      <c r="O331" s="1823" t="s">
        <v>1941</v>
      </c>
      <c r="P331" s="1823"/>
      <c r="Q331" s="1819" t="str">
        <f>'Part II-Development Team'!Q110</f>
        <v>Donald E. Rosemann</v>
      </c>
      <c r="R331" s="1827"/>
      <c r="S331" s="1827"/>
    </row>
    <row r="332" spans="1:19" ht="13.8">
      <c r="A332" s="1819"/>
      <c r="B332" s="1819"/>
      <c r="C332" s="1819"/>
      <c r="D332" s="1831"/>
      <c r="E332" s="1823" t="s">
        <v>999</v>
      </c>
      <c r="F332" s="1826"/>
      <c r="G332" s="1819"/>
      <c r="H332" s="1819" t="str">
        <f>'Part II-Development Team'!H111</f>
        <v>1526 Grand Boulevard</v>
      </c>
      <c r="I332" s="1827"/>
      <c r="J332" s="1827"/>
      <c r="K332" s="1827"/>
      <c r="L332" s="1827"/>
      <c r="M332" s="1827"/>
      <c r="N332" s="1827"/>
      <c r="O332" s="1823" t="s">
        <v>1704</v>
      </c>
      <c r="P332" s="1819"/>
      <c r="Q332" s="1819" t="str">
        <f>'Part II-Development Team'!Q111</f>
        <v>Principle</v>
      </c>
      <c r="R332" s="1827"/>
      <c r="S332" s="1827"/>
    </row>
    <row r="333" spans="1:19" ht="13.8">
      <c r="A333" s="1819"/>
      <c r="B333" s="1819"/>
      <c r="C333" s="1819"/>
      <c r="D333" s="1831"/>
      <c r="E333" s="1823" t="s">
        <v>600</v>
      </c>
      <c r="F333" s="1819"/>
      <c r="G333" s="1819"/>
      <c r="H333" s="1819" t="str">
        <f>'Part II-Development Team'!H112</f>
        <v>Kansas City</v>
      </c>
      <c r="I333" s="1827"/>
      <c r="J333" s="1827"/>
      <c r="K333" s="1821" t="s">
        <v>2624</v>
      </c>
      <c r="L333" s="1819">
        <f>'Part II-Development Team'!L112</f>
        <v>0</v>
      </c>
      <c r="M333" s="1827"/>
      <c r="N333" s="1827"/>
      <c r="O333" s="1823" t="s">
        <v>1679</v>
      </c>
      <c r="P333" s="1819"/>
      <c r="Q333" s="2188">
        <f>'Part II-Development Team'!Q112</f>
        <v>8164721442</v>
      </c>
      <c r="R333" s="2188"/>
      <c r="S333" s="2188"/>
    </row>
    <row r="334" spans="1:19" ht="13.8">
      <c r="A334" s="1819"/>
      <c r="B334" s="1819"/>
      <c r="C334" s="1819"/>
      <c r="D334" s="1831"/>
      <c r="E334" s="1823" t="s">
        <v>1754</v>
      </c>
      <c r="F334" s="1819"/>
      <c r="G334" s="1819"/>
      <c r="H334" s="1823" t="str">
        <f>'Part II-Development Team'!H113</f>
        <v>MO</v>
      </c>
      <c r="I334" s="1819"/>
      <c r="J334" s="1819"/>
      <c r="K334" s="1821" t="s">
        <v>2172</v>
      </c>
      <c r="L334" s="2187">
        <f>'Part II-Development Team'!L113</f>
        <v>641081404</v>
      </c>
      <c r="M334" s="1827"/>
      <c r="N334" s="1819"/>
      <c r="O334" s="1823" t="s">
        <v>1931</v>
      </c>
      <c r="P334" s="1819"/>
      <c r="Q334" s="2188">
        <f>'Part II-Development Team'!Q113</f>
        <v>0</v>
      </c>
      <c r="R334" s="2188"/>
      <c r="S334" s="2188"/>
    </row>
    <row r="335" spans="1:19" ht="13.8">
      <c r="A335" s="1819"/>
      <c r="B335" s="1819"/>
      <c r="C335" s="1819"/>
      <c r="D335" s="1831"/>
      <c r="E335" s="1823" t="s">
        <v>3893</v>
      </c>
      <c r="F335" s="1819"/>
      <c r="G335" s="1819"/>
      <c r="H335" s="2188">
        <f>'Part II-Development Team'!H114</f>
        <v>8164721448</v>
      </c>
      <c r="I335" s="2188"/>
      <c r="J335" s="1829">
        <f>'Part II-Development Team'!J114</f>
        <v>0</v>
      </c>
      <c r="K335" s="1821" t="s">
        <v>1936</v>
      </c>
      <c r="L335" s="1965" t="str">
        <f>'Part II-Development Team'!L114</f>
        <v>drosemann@rosemann.com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6854</v>
      </c>
      <c r="D338" s="1819"/>
      <c r="E338" s="1819"/>
      <c r="F338" s="1819"/>
      <c r="G338" s="1819"/>
      <c r="H338" s="1819" t="str">
        <f>'Part II-Development Team'!H117</f>
        <v>Jennifer J. Foster, LLC &amp; Jennifer Leigh Jordan Foster</v>
      </c>
      <c r="I338" s="1819"/>
      <c r="J338" s="1819"/>
      <c r="K338" s="1821" t="s">
        <v>2409</v>
      </c>
      <c r="L338" s="1819" t="str">
        <f>'Part II-Development Team'!L117</f>
        <v>D.L. Jordan, Jennifer Leigh Foster</v>
      </c>
      <c r="M338" s="1827"/>
      <c r="N338" s="1827"/>
      <c r="O338" s="1823" t="s">
        <v>3440</v>
      </c>
      <c r="P338" s="1819"/>
      <c r="Q338" s="2188">
        <f>'Part II-Development Team'!Q117</f>
        <v>0</v>
      </c>
      <c r="R338" s="2188"/>
      <c r="S338" s="2188"/>
    </row>
    <row r="339" spans="1:19" ht="13.8">
      <c r="A339" s="1819"/>
      <c r="B339" s="1819"/>
      <c r="C339" s="1819"/>
      <c r="D339" s="1831"/>
      <c r="E339" s="1823" t="s">
        <v>999</v>
      </c>
      <c r="F339" s="1826"/>
      <c r="G339" s="1819"/>
      <c r="H339" s="1819" t="str">
        <f>'Part II-Development Team'!H118</f>
        <v>2145 Springdale Drive</v>
      </c>
      <c r="I339" s="1827"/>
      <c r="J339" s="1827"/>
      <c r="K339" s="1827"/>
      <c r="L339" s="1827"/>
      <c r="M339" s="1827"/>
      <c r="N339" s="1827"/>
      <c r="O339" s="1823" t="s">
        <v>600</v>
      </c>
      <c r="P339" s="1819"/>
      <c r="Q339" s="1819" t="str">
        <f>'Part II-Development Team'!Q118</f>
        <v>Columbus</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319060000</v>
      </c>
      <c r="K340" s="1827"/>
      <c r="L340" s="1821" t="s">
        <v>1936</v>
      </c>
      <c r="M340" s="1965">
        <f>'Part II-Development Team'!M119</f>
        <v>0</v>
      </c>
      <c r="N340" s="1965"/>
      <c r="O340" s="1965"/>
      <c r="P340" s="1965"/>
      <c r="Q340" s="1965"/>
      <c r="R340" s="1965"/>
      <c r="S340" s="1965"/>
    </row>
    <row r="341" spans="1:19" ht="13.8">
      <c r="A341" s="1827"/>
      <c r="B341" s="1819" t="s">
        <v>1937</v>
      </c>
      <c r="C341" s="1819" t="s">
        <v>6807</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Yes</v>
      </c>
      <c r="G348" s="1956" t="str">
        <f>'Part II-Development Team'!G127</f>
        <v>The Federal and State Syndicator and the General Contractor are related parties.</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Syndicator and Management Company</v>
      </c>
      <c r="E351" s="1844"/>
      <c r="F351" s="2071" t="str">
        <f>'Part II-Development Team'!F130</f>
        <v>Yes</v>
      </c>
      <c r="G351" s="1956" t="str">
        <f>'Part II-Development Team'!G130</f>
        <v>The Federal and State Syndicator and the Management Company are related parties.</v>
      </c>
      <c r="H351" s="1956"/>
      <c r="I351" s="1956"/>
      <c r="J351" s="1956"/>
      <c r="K351" s="1956"/>
      <c r="L351" s="1956"/>
      <c r="M351" s="1956"/>
      <c r="N351" s="1956"/>
      <c r="O351" s="1956"/>
      <c r="P351" s="1956"/>
      <c r="Q351" s="1956"/>
      <c r="R351" s="1956"/>
      <c r="S351" s="1956"/>
    </row>
    <row r="352" spans="1:19" ht="13.8">
      <c r="A352" s="1819" t="s">
        <v>1748</v>
      </c>
      <c r="B352" s="1819" t="s">
        <v>6923</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6808</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6855</v>
      </c>
      <c r="L355" s="1844" t="s">
        <v>6856</v>
      </c>
      <c r="M355" s="1844" t="s">
        <v>6857</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6898</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2020-067 Boxwood Heights, Columbus, Muscogee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f>'Part III-Sources of Funds'!E5</f>
        <v>0</v>
      </c>
      <c r="F384" s="1823" t="s">
        <v>6818</v>
      </c>
      <c r="G384" s="1819"/>
      <c r="H384" s="2199">
        <f>'Part III-Sources of Funds'!H5</f>
        <v>0</v>
      </c>
      <c r="I384" s="1815"/>
      <c r="J384" s="1849"/>
      <c r="K384" s="1849"/>
      <c r="L384" s="1821">
        <f>'Part III-Sources of Funds'!L5</f>
        <v>0</v>
      </c>
      <c r="M384" s="1823" t="s">
        <v>1504</v>
      </c>
      <c r="N384" s="1849"/>
      <c r="O384" s="1821">
        <f>'Part III-Sources of Funds'!O5</f>
        <v>0</v>
      </c>
      <c r="P384" s="1887" t="s">
        <v>4488</v>
      </c>
      <c r="Q384" s="1887"/>
      <c r="R384" s="1849"/>
      <c r="S384" s="1887"/>
      <c r="T384" s="1887"/>
    </row>
    <row r="385" spans="1:20" ht="13.8">
      <c r="A385" s="1821"/>
      <c r="B385" s="1821">
        <f>'Part III-Sources of Funds'!B6</f>
        <v>0</v>
      </c>
      <c r="C385" s="1823" t="s">
        <v>4427</v>
      </c>
      <c r="D385" s="1819"/>
      <c r="E385" s="1821">
        <f>'Part III-Sources of Funds'!E6</f>
        <v>0</v>
      </c>
      <c r="F385" s="1823" t="s">
        <v>6819</v>
      </c>
      <c r="G385" s="1849"/>
      <c r="H385" s="2199">
        <f>'Part III-Sources of Funds'!H6</f>
        <v>0</v>
      </c>
      <c r="I385" s="1815"/>
      <c r="J385" s="1849"/>
      <c r="K385" s="1849"/>
      <c r="L385" s="1821">
        <f>'Part III-Sources of Funds'!L6</f>
        <v>0</v>
      </c>
      <c r="M385" s="1823" t="s">
        <v>534</v>
      </c>
      <c r="N385" s="1849"/>
      <c r="O385" s="1849"/>
      <c r="P385" s="1887"/>
      <c r="Q385" s="1887"/>
      <c r="R385" s="1849"/>
      <c r="S385" s="1887"/>
      <c r="T385" s="1887"/>
    </row>
    <row r="386" spans="1:20" ht="13.8">
      <c r="A386" s="1819"/>
      <c r="B386" s="1821">
        <f>'Part III-Sources of Funds'!B7</f>
        <v>0</v>
      </c>
      <c r="C386" s="1823" t="s">
        <v>535</v>
      </c>
      <c r="D386" s="1849"/>
      <c r="E386" s="1849"/>
      <c r="F386" s="1819" t="s">
        <v>6820</v>
      </c>
      <c r="G386" s="1849"/>
      <c r="H386" s="1849" t="str">
        <f>'Part III-Sources of Funds'!H7</f>
        <v>Specify Other HOME Source here</v>
      </c>
      <c r="I386" s="1849"/>
      <c r="J386" s="1849"/>
      <c r="K386" s="1849"/>
      <c r="L386" s="1821">
        <f>'Part III-Sources of Funds'!L7</f>
        <v>0</v>
      </c>
      <c r="M386" s="1823" t="s">
        <v>3455</v>
      </c>
      <c r="N386" s="1849"/>
      <c r="O386" s="1849"/>
      <c r="P386" s="1887"/>
      <c r="Q386" s="1887"/>
      <c r="R386" s="1849"/>
      <c r="S386" s="1887"/>
      <c r="T386" s="1887"/>
    </row>
    <row r="387" spans="1:20" ht="13.8">
      <c r="A387" s="1821"/>
      <c r="B387" s="1821">
        <f>'Part III-Sources of Funds'!B8</f>
        <v>0</v>
      </c>
      <c r="C387" s="1823" t="s">
        <v>2533</v>
      </c>
      <c r="D387" s="1849"/>
      <c r="E387" s="1821">
        <f>'Part III-Sources of Funds'!E8</f>
        <v>0</v>
      </c>
      <c r="F387" s="1823" t="s">
        <v>2541</v>
      </c>
      <c r="G387" s="1849"/>
      <c r="H387" s="1849"/>
      <c r="I387" s="1849"/>
      <c r="J387" s="1849"/>
      <c r="K387" s="1849"/>
      <c r="L387" s="1821">
        <f>'Part III-Sources of Funds'!L8</f>
        <v>0</v>
      </c>
      <c r="M387" s="1823" t="s">
        <v>4428</v>
      </c>
      <c r="N387" s="1849"/>
      <c r="O387" s="1849"/>
      <c r="P387" s="1849"/>
      <c r="Q387" s="1849"/>
      <c r="R387" s="1849"/>
      <c r="S387" s="1887"/>
      <c r="T387" s="1887"/>
    </row>
    <row r="388" spans="1:20" ht="13.8">
      <c r="A388" s="1821"/>
      <c r="B388" s="1821">
        <f>'Part III-Sources of Funds'!B9</f>
        <v>0</v>
      </c>
      <c r="C388" s="1823" t="s">
        <v>2534</v>
      </c>
      <c r="D388" s="1849"/>
      <c r="E388" s="1821">
        <f>'Part III-Sources of Funds'!E9</f>
        <v>0</v>
      </c>
      <c r="F388" s="1823" t="s">
        <v>3539</v>
      </c>
      <c r="G388" s="1849"/>
      <c r="H388" s="1849" t="str">
        <f>'Part III-Sources of Funds'!H9</f>
        <v>Specify Other PBRA Source here</v>
      </c>
      <c r="I388" s="1849"/>
      <c r="J388" s="1849"/>
      <c r="K388" s="1849"/>
      <c r="L388" s="1821">
        <f>'Part III-Sources of Funds'!L9</f>
        <v>0</v>
      </c>
      <c r="M388" s="1823" t="s">
        <v>3504</v>
      </c>
      <c r="N388" s="1849"/>
      <c r="O388" s="1849"/>
      <c r="P388" s="1849"/>
      <c r="Q388" s="1849"/>
      <c r="R388" s="1849"/>
      <c r="S388" s="1887"/>
      <c r="T388" s="1887"/>
    </row>
    <row r="389" spans="1:20" ht="13.8">
      <c r="A389" s="1821"/>
      <c r="B389" s="1821">
        <f>'Part III-Sources of Funds'!B10</f>
        <v>0</v>
      </c>
      <c r="C389" s="1823" t="s">
        <v>3508</v>
      </c>
      <c r="D389" s="1849"/>
      <c r="E389" s="1821">
        <f>'Part III-Sources of Funds'!E10</f>
        <v>0</v>
      </c>
      <c r="F389" s="1849" t="str">
        <f>'Part III-Sources of Funds'!F10</f>
        <v>Other Type of FEDERAL Funding - describe type/program here</v>
      </c>
      <c r="G389" s="1849"/>
      <c r="H389" s="1849"/>
      <c r="I389" s="1849"/>
      <c r="J389" s="1849"/>
      <c r="K389" s="1849"/>
      <c r="L389" s="1821">
        <f>'Part III-Sources of Funds'!L10</f>
        <v>0</v>
      </c>
      <c r="M389" s="1819" t="s">
        <v>2542</v>
      </c>
      <c r="N389" s="1849"/>
      <c r="O389" s="1849"/>
      <c r="P389" s="1849"/>
      <c r="Q389" s="1849"/>
      <c r="R389" s="1849"/>
      <c r="S389" s="1887"/>
      <c r="T389" s="1887"/>
    </row>
    <row r="390" spans="1:20" ht="13.8">
      <c r="A390" s="1821"/>
      <c r="B390" s="1821">
        <f>'Part III-Sources of Funds'!B11</f>
        <v>0</v>
      </c>
      <c r="C390" s="1819" t="s">
        <v>3660</v>
      </c>
      <c r="D390" s="1849"/>
      <c r="E390" s="1849"/>
      <c r="F390" s="1849" t="str">
        <f>'Part III-Sources of Funds'!F11</f>
        <v>Specify Source/Administrator of Other FEDERAL Funding here</v>
      </c>
      <c r="G390" s="1849"/>
      <c r="H390" s="1849"/>
      <c r="I390" s="1849"/>
      <c r="J390" s="1849"/>
      <c r="K390" s="1849"/>
      <c r="L390" s="1821">
        <f>'Part III-Sources of Funds'!L11</f>
        <v>0</v>
      </c>
      <c r="M390" s="1819" t="s">
        <v>3542</v>
      </c>
      <c r="N390" s="1849"/>
      <c r="O390" s="1849"/>
      <c r="P390" s="1849"/>
      <c r="Q390" s="1849"/>
      <c r="R390" s="1849"/>
      <c r="S390" s="1887"/>
      <c r="T390" s="1887"/>
    </row>
    <row r="391" spans="1:20" ht="13.8">
      <c r="A391" s="1821"/>
      <c r="B391" s="1821">
        <f>'Part III-Sources of Funds'!B12</f>
        <v>0</v>
      </c>
      <c r="C391" s="1819" t="s">
        <v>2540</v>
      </c>
      <c r="D391" s="1849"/>
      <c r="E391" s="1821">
        <f>'Part III-Sources of Funds'!E12</f>
        <v>0</v>
      </c>
      <c r="F391" s="1849" t="str">
        <f>'Part III-Sources of Funds'!F12</f>
        <v>Other Type of STATE/LOCAL Funding - describe type/program here</v>
      </c>
      <c r="G391" s="1849"/>
      <c r="H391" s="1849"/>
      <c r="I391" s="1849"/>
      <c r="J391" s="1849"/>
      <c r="K391" s="1849"/>
      <c r="L391" s="1821">
        <f>'Part III-Sources of Funds'!L12</f>
        <v>0</v>
      </c>
      <c r="M391" s="1819" t="s">
        <v>2704</v>
      </c>
      <c r="N391" s="1849"/>
      <c r="O391" s="1849"/>
      <c r="P391" s="1849"/>
      <c r="Q391" s="1849"/>
      <c r="R391" s="1849"/>
      <c r="S391" s="1887"/>
      <c r="T391" s="1887"/>
    </row>
    <row r="392" spans="1:20" ht="13.8">
      <c r="A392" s="1821"/>
      <c r="B392" s="1821">
        <f>'Part III-Sources of Funds'!B13</f>
        <v>0</v>
      </c>
      <c r="C392" s="1819" t="s">
        <v>3538</v>
      </c>
      <c r="D392" s="1849"/>
      <c r="E392" s="1849"/>
      <c r="F392" s="1849" t="str">
        <f>'Part III-Sources of Funds'!F13</f>
        <v>Specify Source/Administrator of Other STATE/LOCAL Funding here</v>
      </c>
      <c r="G392" s="1849"/>
      <c r="H392" s="1849"/>
      <c r="I392" s="1849"/>
      <c r="J392" s="1849"/>
      <c r="K392" s="1849"/>
      <c r="L392" s="1821">
        <f>'Part III-Sources of Funds'!L13</f>
        <v>0</v>
      </c>
      <c r="M392" s="1823" t="s">
        <v>3659</v>
      </c>
      <c r="N392" s="1849"/>
      <c r="O392" s="1849"/>
      <c r="P392" s="1849"/>
      <c r="Q392" s="1849"/>
      <c r="R392" s="1849"/>
      <c r="S392" s="1887"/>
      <c r="T392" s="1887"/>
    </row>
    <row r="393" spans="1:20" ht="13.8">
      <c r="A393" s="1821"/>
      <c r="B393" s="1821">
        <f>'Part III-Sources of Funds'!B14</f>
        <v>0</v>
      </c>
      <c r="C393" s="1823" t="s">
        <v>1757</v>
      </c>
      <c r="D393" s="1849"/>
      <c r="E393" s="1821">
        <f>'Part III-Sources of Funds'!E14</f>
        <v>0</v>
      </c>
      <c r="F393" s="1823" t="s">
        <v>4425</v>
      </c>
      <c r="G393" s="1849"/>
      <c r="H393" s="1849"/>
      <c r="I393" s="2199">
        <f>'Part III-Sources of Funds'!I14</f>
        <v>0</v>
      </c>
      <c r="J393" s="1815"/>
      <c r="K393" s="1849"/>
      <c r="L393" s="1821">
        <f>'Part III-Sources of Funds'!L14</f>
        <v>0</v>
      </c>
      <c r="M393" s="1820" t="s">
        <v>6821</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4388</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Sterling Bank</v>
      </c>
      <c r="I399" s="1819"/>
      <c r="J399" s="1819"/>
      <c r="K399" s="1819"/>
      <c r="L399" s="1861">
        <f>'Part III-Sources of Funds'!L20</f>
        <v>6714167</v>
      </c>
      <c r="M399" s="1861"/>
      <c r="N399" s="1850">
        <f>'Part III-Sources of Funds'!N20</f>
        <v>5.5E-2</v>
      </c>
      <c r="O399" s="1850"/>
      <c r="P399" s="2200">
        <f>'Part III-Sources of Funds'!P20</f>
        <v>18</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 Inc</v>
      </c>
      <c r="I405" s="1819"/>
      <c r="J405" s="1819"/>
      <c r="K405" s="1819"/>
      <c r="L405" s="1861">
        <f>'Part III-Sources of Funds'!L26</f>
        <v>1331034</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 Inc</v>
      </c>
      <c r="I406" s="1819"/>
      <c r="J406" s="1819"/>
      <c r="K406" s="1819"/>
      <c r="L406" s="1861">
        <f>'Part III-Sources of Funds'!L27</f>
        <v>656948</v>
      </c>
      <c r="M406" s="1861"/>
      <c r="N406" s="1819"/>
      <c r="O406" s="1849"/>
      <c r="P406" s="1849"/>
      <c r="Q406" s="1819"/>
      <c r="R406" s="1849"/>
      <c r="S406" s="1887"/>
      <c r="T406" s="1887"/>
    </row>
    <row r="407" spans="1:20" ht="13.8">
      <c r="A407" s="1819"/>
      <c r="B407" s="1819" t="s">
        <v>237</v>
      </c>
      <c r="C407" s="1819"/>
      <c r="D407" s="1819" t="str">
        <f>'Part III-Sources of Funds'!D28</f>
        <v>GP &amp; LP Equity</v>
      </c>
      <c r="E407" s="1819"/>
      <c r="F407" s="1819"/>
      <c r="G407" s="1819"/>
      <c r="H407" s="1819">
        <f>'Part III-Sources of Funds'!H28</f>
        <v>0</v>
      </c>
      <c r="I407" s="1819"/>
      <c r="J407" s="1819"/>
      <c r="K407" s="1819"/>
      <c r="L407" s="1861">
        <f>'Part III-Sources of Funds'!L28</f>
        <v>110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8702259</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8702259</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4387</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1.5939166666666667E-2</v>
      </c>
      <c r="E422" s="1819" t="str">
        <f>'Part III-Sources of Funds'!E43</f>
        <v>Main Street Homes, LLC</v>
      </c>
      <c r="F422" s="1819"/>
      <c r="G422" s="1819"/>
      <c r="H422" s="1819"/>
      <c r="I422" s="1882">
        <f>'Part III-Sources of Funds'!I43</f>
        <v>19127</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726705.65545932378</v>
      </c>
      <c r="G424" s="1849"/>
      <c r="H424" s="1855" t="s">
        <v>3830</v>
      </c>
      <c r="I424" s="1854">
        <f>'Part III-Sources of Funds'!I45</f>
        <v>19127</v>
      </c>
      <c r="J424" s="1849"/>
      <c r="K424" s="1855" t="s">
        <v>3832</v>
      </c>
      <c r="L424" s="1856">
        <f>'Part III-Sources of Funds'!L45</f>
        <v>2.6320147443892578E-2</v>
      </c>
      <c r="M424" s="1856"/>
      <c r="N424" s="1852" t="s">
        <v>4395</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Affordable Equity Partner, Inc</v>
      </c>
      <c r="F428" s="1819"/>
      <c r="G428" s="1819"/>
      <c r="H428" s="1819"/>
      <c r="I428" s="1882">
        <f>'Part III-Sources of Funds'!I49</f>
        <v>6655168</v>
      </c>
      <c r="J428" s="1819"/>
      <c r="K428" s="1849"/>
      <c r="L428" s="1858">
        <f>'Part III-Sources of Funds'!L49</f>
        <v>6723750</v>
      </c>
      <c r="M428" s="1858"/>
      <c r="N428" s="1859">
        <f>'Part III-Sources of Funds'!N49</f>
        <v>-68582</v>
      </c>
      <c r="O428" s="1859"/>
      <c r="P428" s="1860">
        <f>I428/I438</f>
        <v>0.66824705700078812</v>
      </c>
      <c r="Q428" s="1819"/>
      <c r="R428" s="1849"/>
      <c r="S428" s="1887"/>
      <c r="T428" s="1887"/>
    </row>
    <row r="429" spans="1:20" ht="13.8">
      <c r="A429" s="1819"/>
      <c r="B429" s="1819" t="s">
        <v>783</v>
      </c>
      <c r="C429" s="1819"/>
      <c r="D429" s="1819"/>
      <c r="E429" s="1819" t="str">
        <f>'Part III-Sources of Funds'!E50</f>
        <v>Affordable Equity Partners, Inc</v>
      </c>
      <c r="F429" s="1819"/>
      <c r="G429" s="1819"/>
      <c r="H429" s="1819"/>
      <c r="I429" s="1882">
        <f>'Part III-Sources of Funds'!I50</f>
        <v>3284738</v>
      </c>
      <c r="J429" s="1819"/>
      <c r="K429" s="1849"/>
      <c r="L429" s="1858">
        <f>'Part III-Sources of Funds'!L50</f>
        <v>3217500</v>
      </c>
      <c r="M429" s="1858"/>
      <c r="N429" s="1859">
        <f>'Part III-Sources of Funds'!N50</f>
        <v>67238</v>
      </c>
      <c r="O429" s="1859"/>
      <c r="P429" s="1860">
        <f>I429/I438</f>
        <v>0.32982135109416544</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0.99806840809495356</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t="str">
        <f>'Part III-Sources of Funds'!C55</f>
        <v>GP &amp; LP Equity</v>
      </c>
      <c r="D434" s="1819"/>
      <c r="E434" s="1819">
        <f>'Part III-Sources of Funds'!E55</f>
        <v>0</v>
      </c>
      <c r="F434" s="1819"/>
      <c r="G434" s="1819"/>
      <c r="H434" s="1819"/>
      <c r="I434" s="1882">
        <f>'Part III-Sources of Funds'!I55</f>
        <v>110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9959143</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9959143</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Please see Tab 01 for the Construction Debt Commitment from Sterling Bank.</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2020-067 Boxwood Heights,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2020-067 Boxwood Heights,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5000</v>
      </c>
      <c r="H454" s="1861"/>
      <c r="I454" s="1819"/>
      <c r="J454" s="1861">
        <f>'Part IV-A-Uses of Funds'!J8</f>
        <v>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10000</v>
      </c>
      <c r="H455" s="1861"/>
      <c r="I455" s="1819"/>
      <c r="J455" s="1861">
        <f>'Part IV-A-Uses of Funds'!J9</f>
        <v>10000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7500</v>
      </c>
      <c r="H456" s="1861"/>
      <c r="I456" s="1819"/>
      <c r="J456" s="1861">
        <f>'Part IV-A-Uses of Funds'!J10</f>
        <v>7500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10000</v>
      </c>
      <c r="H457" s="1861"/>
      <c r="I457" s="1819"/>
      <c r="J457" s="1861">
        <f>'Part IV-A-Uses of Funds'!J11</f>
        <v>10000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47500</v>
      </c>
      <c r="H463" s="1861"/>
      <c r="I463" s="1819"/>
      <c r="J463" s="1861">
        <f>SUM(J454:K462)</f>
        <v>47500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3543</v>
      </c>
      <c r="F465" s="1864">
        <f>IF('Part I-Project Information'!$O$37="","",G465/'Part I-Project Information'!$O$37)</f>
        <v>151869.15887850468</v>
      </c>
      <c r="G465" s="1861">
        <f>'Part IV-A-Uses of Funds'!G19</f>
        <v>650000</v>
      </c>
      <c r="H465" s="1861"/>
      <c r="I465" s="1819"/>
      <c r="J465" s="1832"/>
      <c r="K465" s="1861"/>
      <c r="L465" s="1832"/>
      <c r="M465" s="1832"/>
      <c r="N465" s="1861"/>
      <c r="O465" s="1819"/>
      <c r="P465" s="1832"/>
      <c r="Q465" s="1861"/>
      <c r="R465" s="1819"/>
      <c r="S465" s="1861">
        <f>'Part IV-A-Uses of Funds'!S19</f>
        <v>650000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650000</v>
      </c>
      <c r="H469" s="1861"/>
      <c r="I469" s="1819"/>
      <c r="J469" s="1832"/>
      <c r="K469" s="1861"/>
      <c r="L469" s="1832"/>
      <c r="M469" s="1861">
        <f>SUM(M467:N468)</f>
        <v>0</v>
      </c>
      <c r="N469" s="1861"/>
      <c r="O469" s="1819"/>
      <c r="P469" s="1832"/>
      <c r="Q469" s="1861"/>
      <c r="R469" s="1819"/>
      <c r="S469" s="1861">
        <f>SUM(S465:T468)</f>
        <v>650000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303738.31775700935</v>
      </c>
      <c r="G471" s="1861">
        <f>'Part IV-A-Uses of Funds'!G25</f>
        <v>1300000</v>
      </c>
      <c r="H471" s="1861"/>
      <c r="I471" s="1819"/>
      <c r="J471" s="1861">
        <f>'Part IV-A-Uses of Funds'!J25</f>
        <v>1235000</v>
      </c>
      <c r="K471" s="1861"/>
      <c r="L471" s="1832"/>
      <c r="M471" s="1861">
        <f>'Part IV-A-Uses of Funds'!M25</f>
        <v>0</v>
      </c>
      <c r="N471" s="1861"/>
      <c r="O471" s="1819"/>
      <c r="P471" s="1861">
        <f>'Part IV-A-Uses of Funds'!P25</f>
        <v>0</v>
      </c>
      <c r="Q471" s="1861"/>
      <c r="R471" s="1819"/>
      <c r="S471" s="1861">
        <f>'Part IV-A-Uses of Funds'!S25</f>
        <v>65000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1300000</v>
      </c>
      <c r="H473" s="1861"/>
      <c r="I473" s="1819"/>
      <c r="J473" s="1861">
        <f>SUM(J471:K472)</f>
        <v>1235000</v>
      </c>
      <c r="K473" s="1861"/>
      <c r="L473" s="1832"/>
      <c r="M473" s="1861">
        <f>M471</f>
        <v>0</v>
      </c>
      <c r="N473" s="1861"/>
      <c r="O473" s="1819"/>
      <c r="P473" s="1861">
        <f>P471</f>
        <v>0</v>
      </c>
      <c r="Q473" s="1861"/>
      <c r="R473" s="1819"/>
      <c r="S473" s="1861">
        <f>SUM(S471:T472)</f>
        <v>65000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4334400</v>
      </c>
      <c r="H475" s="1861"/>
      <c r="I475" s="1819"/>
      <c r="J475" s="1861">
        <f>'Part IV-A-Uses of Funds'!J29</f>
        <v>4334400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4334400</v>
      </c>
      <c r="H479" s="1861"/>
      <c r="I479" s="1819"/>
      <c r="J479" s="1861">
        <f>SUM(J475:K478)</f>
        <v>4334400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3547</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338064</v>
      </c>
      <c r="F481" s="1865">
        <f>'Part IV-A-Uses of Funds'!F35</f>
        <v>0.06</v>
      </c>
      <c r="G481" s="1861">
        <f>'Part IV-A-Uses of Funds'!G35</f>
        <v>338064</v>
      </c>
      <c r="H481" s="1861"/>
      <c r="I481" s="1827"/>
      <c r="J481" s="1861">
        <f>'Part IV-A-Uses of Funds'!J35</f>
        <v>338064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112688</v>
      </c>
      <c r="F482" s="1865">
        <f>'Part IV-A-Uses of Funds'!F36</f>
        <v>0.02</v>
      </c>
      <c r="G482" s="1861">
        <f>'Part IV-A-Uses of Funds'!G36</f>
        <v>112688</v>
      </c>
      <c r="H482" s="1861"/>
      <c r="I482" s="1827"/>
      <c r="J482" s="1861">
        <f>'Part IV-A-Uses of Funds'!J36</f>
        <v>112688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338064</v>
      </c>
      <c r="F483" s="1865">
        <f>'Part IV-A-Uses of Funds'!F37</f>
        <v>0.06</v>
      </c>
      <c r="G483" s="1861">
        <f>'Part IV-A-Uses of Funds'!G37</f>
        <v>338064</v>
      </c>
      <c r="H483" s="1861"/>
      <c r="I483" s="1827"/>
      <c r="J483" s="1861">
        <f>'Part IV-A-Uses of Funds'!J37</f>
        <v>338064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788816</v>
      </c>
      <c r="F484" s="1826" t="s">
        <v>187</v>
      </c>
      <c r="G484" s="1861">
        <f>SUM(G481:H483)</f>
        <v>788816</v>
      </c>
      <c r="H484" s="1861"/>
      <c r="I484" s="1819"/>
      <c r="J484" s="1861">
        <f>SUM(J481:K483)</f>
        <v>788816</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6822</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6899</v>
      </c>
      <c r="C489" s="1819"/>
      <c r="D489" s="1819"/>
      <c r="E489" s="1819" t="s">
        <v>2658</v>
      </c>
      <c r="F489" s="2083">
        <f>B490/'Part VI-Revenues &amp; Expenses'!$P$65</f>
        <v>133817</v>
      </c>
      <c r="G489" s="2084" t="s">
        <v>6900</v>
      </c>
      <c r="H489" s="1819"/>
      <c r="I489" s="1819"/>
      <c r="J489" s="1880">
        <f>B490/'Part VI-Revenues &amp; Expenses'!$P$67</f>
        <v>133817</v>
      </c>
      <c r="K489" s="1880"/>
      <c r="L489" s="1819"/>
      <c r="M489" s="2085" t="s">
        <v>1375</v>
      </c>
      <c r="N489" s="2085"/>
      <c r="O489" s="1819"/>
      <c r="P489" s="1880">
        <f>B490/'Part I-Project Information'!$P$75</f>
        <v>127.4447619047619</v>
      </c>
      <c r="Q489" s="1880"/>
      <c r="R489" s="1819"/>
      <c r="S489" s="1822" t="s">
        <v>2686</v>
      </c>
      <c r="T489" s="1822"/>
      <c r="U489" s="1819"/>
      <c r="V489" s="1862"/>
      <c r="W489" s="1772"/>
      <c r="X489" s="1772"/>
    </row>
    <row r="490" spans="1:24" ht="13.8">
      <c r="A490" s="1819"/>
      <c r="B490" s="2086">
        <f>G473+G479+G484+G487</f>
        <v>6423216</v>
      </c>
      <c r="C490" s="2086"/>
      <c r="D490" s="1819"/>
      <c r="E490" s="1819"/>
      <c r="F490" s="2083">
        <f>B490/'Part VI-Revenues &amp; Expenses'!$P$168</f>
        <v>167.27125000000001</v>
      </c>
      <c r="G490" s="1822" t="s">
        <v>6901</v>
      </c>
      <c r="H490" s="1819"/>
      <c r="I490" s="1819"/>
      <c r="J490" s="1880">
        <f>B490/'Part VI-Revenues &amp; Expenses'!$P$170</f>
        <v>167.27125000000001</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3835</v>
      </c>
      <c r="E493" s="2087">
        <f>'Part IV-A-Uses of Funds'!E47</f>
        <v>321160.80000000005</v>
      </c>
      <c r="F493" s="1869">
        <f>G493/B490</f>
        <v>4.9999875451798598E-2</v>
      </c>
      <c r="G493" s="1861">
        <f>'Part IV-A-Uses of Funds'!G47</f>
        <v>321160</v>
      </c>
      <c r="H493" s="1861"/>
      <c r="I493" s="1819"/>
      <c r="J493" s="1861">
        <f>'Part IV-A-Uses of Funds'!J47</f>
        <v>321160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6968</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67142</v>
      </c>
      <c r="H500" s="1861"/>
      <c r="I500" s="1819"/>
      <c r="J500" s="1861">
        <f>'Part IV-A-Uses of Funds'!J54</f>
        <v>67142</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227286</v>
      </c>
      <c r="H501" s="1861"/>
      <c r="I501" s="1819"/>
      <c r="J501" s="1861">
        <f>'Part IV-A-Uses of Funds'!J55</f>
        <v>227286</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30000</v>
      </c>
      <c r="H502" s="1861"/>
      <c r="I502" s="1819"/>
      <c r="J502" s="1861">
        <f>'Part IV-A-Uses of Funds'!J56</f>
        <v>30000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0</v>
      </c>
      <c r="H503" s="1861"/>
      <c r="I503" s="1819"/>
      <c r="J503" s="1861">
        <f>'Part IV-A-Uses of Funds'!J57</f>
        <v>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10000</v>
      </c>
      <c r="H504" s="1861"/>
      <c r="I504" s="1819"/>
      <c r="J504" s="1861">
        <f>'Part IV-A-Uses of Funds'!J58</f>
        <v>10000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25000</v>
      </c>
      <c r="H505" s="1861"/>
      <c r="I505" s="1819"/>
      <c r="J505" s="1861">
        <f>'Part IV-A-Uses of Funds'!J59</f>
        <v>25000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30000</v>
      </c>
      <c r="H506" s="1861"/>
      <c r="I506" s="1819"/>
      <c r="J506" s="1861">
        <f>'Part IV-A-Uses of Funds'!J60</f>
        <v>24000</v>
      </c>
      <c r="K506" s="1861"/>
      <c r="L506" s="1832"/>
      <c r="M506" s="1861">
        <f>'Part IV-A-Uses of Funds'!M60</f>
        <v>0</v>
      </c>
      <c r="N506" s="1861"/>
      <c r="O506" s="1819"/>
      <c r="P506" s="1861">
        <f>'Part IV-A-Uses of Funds'!P60</f>
        <v>0</v>
      </c>
      <c r="Q506" s="1861"/>
      <c r="R506" s="1819"/>
      <c r="S506" s="1861">
        <f>'Part IV-A-Uses of Funds'!S60</f>
        <v>6000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389428</v>
      </c>
      <c r="H510" s="1861"/>
      <c r="I510" s="1819"/>
      <c r="J510" s="1861">
        <f>SUM(J498:K509)</f>
        <v>383428</v>
      </c>
      <c r="K510" s="1861"/>
      <c r="L510" s="1832"/>
      <c r="M510" s="1861">
        <f>SUM(M498:N509)</f>
        <v>0</v>
      </c>
      <c r="N510" s="1861"/>
      <c r="O510" s="1819"/>
      <c r="P510" s="1861">
        <f>SUM(P498:Q509)</f>
        <v>0</v>
      </c>
      <c r="Q510" s="1861"/>
      <c r="R510" s="1819"/>
      <c r="S510" s="1861">
        <f>SUM(S498:T509)</f>
        <v>6000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144000</v>
      </c>
      <c r="H512" s="1861"/>
      <c r="I512" s="1819"/>
      <c r="J512" s="1861">
        <f>'Part IV-A-Uses of Funds'!J66</f>
        <v>144000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36000</v>
      </c>
      <c r="H513" s="1861"/>
      <c r="I513" s="1819"/>
      <c r="J513" s="1861">
        <f>'Part IV-A-Uses of Funds'!J67</f>
        <v>36000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20000</v>
      </c>
      <c r="H515" s="1861"/>
      <c r="I515" s="1819"/>
      <c r="J515" s="1861">
        <f>'Part IV-A-Uses of Funds'!J69</f>
        <v>20000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25000</v>
      </c>
      <c r="H516" s="1861"/>
      <c r="I516" s="1819"/>
      <c r="J516" s="1861">
        <f>'Part IV-A-Uses of Funds'!J70</f>
        <v>25000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30000</v>
      </c>
      <c r="H517" s="1861"/>
      <c r="I517" s="1819"/>
      <c r="J517" s="1861">
        <f>'Part IV-A-Uses of Funds'!J71</f>
        <v>30000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75000</v>
      </c>
      <c r="H518" s="1861"/>
      <c r="I518" s="1819"/>
      <c r="J518" s="1861">
        <f>'Part IV-A-Uses of Funds'!J72</f>
        <v>75000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30000</v>
      </c>
      <c r="H519" s="1861"/>
      <c r="I519" s="1819"/>
      <c r="J519" s="1861">
        <f>'Part IV-A-Uses of Funds'!J73</f>
        <v>15000</v>
      </c>
      <c r="K519" s="1861"/>
      <c r="L519" s="1832"/>
      <c r="M519" s="1861">
        <f>'Part IV-A-Uses of Funds'!M73</f>
        <v>0</v>
      </c>
      <c r="N519" s="1861"/>
      <c r="O519" s="1819"/>
      <c r="P519" s="1861">
        <f>'Part IV-A-Uses of Funds'!P73</f>
        <v>0</v>
      </c>
      <c r="Q519" s="1861"/>
      <c r="R519" s="1819"/>
      <c r="S519" s="1861">
        <f>'Part IV-A-Uses of Funds'!S73</f>
        <v>15000</v>
      </c>
      <c r="T519" s="1861"/>
      <c r="U519" s="1819"/>
      <c r="V519" s="1862"/>
      <c r="W519" s="1772"/>
      <c r="X519" s="1772"/>
    </row>
    <row r="520" spans="1:24" ht="13.8">
      <c r="A520" s="1819"/>
      <c r="B520" s="1819" t="s">
        <v>2000</v>
      </c>
      <c r="C520" s="1819"/>
      <c r="D520" s="1819"/>
      <c r="E520" s="1819"/>
      <c r="F520" s="1819"/>
      <c r="G520" s="1861">
        <f>'Part IV-A-Uses of Funds'!G74</f>
        <v>15000</v>
      </c>
      <c r="H520" s="1861"/>
      <c r="I520" s="1819"/>
      <c r="J520" s="1861">
        <f>'Part IV-A-Uses of Funds'!J74</f>
        <v>15000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405000</v>
      </c>
      <c r="H523" s="1861"/>
      <c r="I523" s="1819"/>
      <c r="J523" s="1861">
        <f>SUM(J512:K522)</f>
        <v>390000</v>
      </c>
      <c r="K523" s="1861"/>
      <c r="L523" s="1832"/>
      <c r="M523" s="1861">
        <f>SUM(M512:N522)</f>
        <v>0</v>
      </c>
      <c r="N523" s="1861"/>
      <c r="O523" s="1819"/>
      <c r="P523" s="1861">
        <f>SUM(P512:Q522)</f>
        <v>0</v>
      </c>
      <c r="Q523" s="1861"/>
      <c r="R523" s="1819"/>
      <c r="S523" s="1861">
        <f>SUM(S512:T522)</f>
        <v>15000</v>
      </c>
      <c r="T523" s="1861"/>
      <c r="U523" s="1819"/>
      <c r="V523" s="1862">
        <f>SUM(V512:V522)</f>
        <v>0</v>
      </c>
      <c r="W523" s="1772"/>
      <c r="X523" s="1772"/>
    </row>
    <row r="524" spans="1:24" ht="13.8">
      <c r="A524" s="1819"/>
      <c r="B524" s="1819" t="s">
        <v>1243</v>
      </c>
      <c r="C524" s="1819"/>
      <c r="D524" s="1816" t="s">
        <v>3551</v>
      </c>
      <c r="E524" s="2088">
        <f>G529/'Part VI-Revenues &amp; Expenses'!$P$67</f>
        <v>2113.6458333333335</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30430</v>
      </c>
      <c r="H525" s="1861"/>
      <c r="I525" s="1819"/>
      <c r="J525" s="1861">
        <f>'Part IV-A-Uses of Funds'!J79</f>
        <v>30430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23425</v>
      </c>
      <c r="H527" s="1861"/>
      <c r="I527" s="1827"/>
      <c r="J527" s="1861">
        <f>'Part IV-A-Uses of Funds'!J81</f>
        <v>23425</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47600</v>
      </c>
      <c r="H528" s="1861"/>
      <c r="I528" s="1827"/>
      <c r="J528" s="1861">
        <f>'Part IV-A-Uses of Funds'!J82</f>
        <v>47600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101455</v>
      </c>
      <c r="H529" s="1861"/>
      <c r="I529" s="1819"/>
      <c r="J529" s="1861">
        <f>SUM(J525:K528)</f>
        <v>101455</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6969</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1000</v>
      </c>
      <c r="T544" s="1861"/>
      <c r="U544" s="1819"/>
      <c r="V544" s="1862"/>
      <c r="W544" s="1772"/>
      <c r="X544" s="1772"/>
    </row>
    <row r="545" spans="1:33" ht="13.8">
      <c r="A545" s="1819"/>
      <c r="B545" s="1819" t="s">
        <v>505</v>
      </c>
      <c r="C545" s="1819"/>
      <c r="D545" s="1819"/>
      <c r="E545" s="1861">
        <f>'Part IV-A-Uses of Funds'!E99</f>
        <v>66000</v>
      </c>
      <c r="F545" s="1861"/>
      <c r="G545" s="1861">
        <f>'Part IV-A-Uses of Funds'!G99</f>
        <v>66000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66000</v>
      </c>
      <c r="T545" s="1861"/>
      <c r="U545" s="1819"/>
      <c r="V545" s="1862"/>
      <c r="W545" s="1772"/>
      <c r="X545" s="1772"/>
    </row>
    <row r="546" spans="1:33" ht="13.8">
      <c r="A546" s="1819"/>
      <c r="B546" s="1819" t="s">
        <v>735</v>
      </c>
      <c r="C546" s="1819"/>
      <c r="D546" s="1819"/>
      <c r="E546" s="1861">
        <f>'Part IV-A-Uses of Funds'!E100</f>
        <v>48000</v>
      </c>
      <c r="F546" s="1861"/>
      <c r="G546" s="1861">
        <f>'Part IV-A-Uses of Funds'!G100</f>
        <v>48000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48000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3000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127500</v>
      </c>
      <c r="H551" s="1861"/>
      <c r="I551" s="1819"/>
      <c r="J551" s="1832"/>
      <c r="K551" s="1832"/>
      <c r="L551" s="1832"/>
      <c r="M551" s="1832"/>
      <c r="N551" s="1832"/>
      <c r="O551" s="1819"/>
      <c r="P551" s="1832"/>
      <c r="Q551" s="1832"/>
      <c r="R551" s="1819"/>
      <c r="S551" s="1861">
        <f>SUM(S542:T550)</f>
        <v>127500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v>
      </c>
      <c r="H553" s="1861"/>
      <c r="I553" s="1819"/>
      <c r="J553" s="1861"/>
      <c r="K553" s="1861"/>
      <c r="L553" s="1832"/>
      <c r="M553" s="1861"/>
      <c r="N553" s="1861"/>
      <c r="O553" s="1819"/>
      <c r="P553" s="1861"/>
      <c r="Q553" s="1861"/>
      <c r="R553" s="1819"/>
      <c r="S553" s="1861">
        <f>'Part IV-A-Uses of Funds'!S107</f>
        <v>2500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2500</v>
      </c>
      <c r="H557" s="1861"/>
      <c r="I557" s="1819"/>
      <c r="J557" s="1861"/>
      <c r="K557" s="1861"/>
      <c r="L557" s="1832"/>
      <c r="M557" s="1861"/>
      <c r="N557" s="1861"/>
      <c r="O557" s="1819"/>
      <c r="P557" s="1861"/>
      <c r="Q557" s="1861"/>
      <c r="R557" s="1819"/>
      <c r="S557" s="1861">
        <f>SUM(S553:T556)</f>
        <v>2500</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1813</v>
      </c>
      <c r="C559" s="1819"/>
      <c r="D559" s="1819"/>
      <c r="E559" s="1819"/>
      <c r="F559" s="1851">
        <f>'Part IV-A-Uses of Funds'!F113</f>
        <v>0.2</v>
      </c>
      <c r="G559" s="1861">
        <f>'Part IV-A-Uses of Funds'!G113</f>
        <v>240000</v>
      </c>
      <c r="H559" s="1861"/>
      <c r="I559" s="1819"/>
      <c r="J559" s="1861">
        <f>'Part IV-A-Uses of Funds'!J113</f>
        <v>240000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0.8</v>
      </c>
      <c r="G563" s="1861">
        <f>'Part IV-A-Uses of Funds'!G117</f>
        <v>960000</v>
      </c>
      <c r="H563" s="1861"/>
      <c r="I563" s="1819"/>
      <c r="J563" s="1861">
        <f>'Part IV-A-Uses of Funds'!J117</f>
        <v>960000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1200000</v>
      </c>
      <c r="F564" s="1826" t="s">
        <v>187</v>
      </c>
      <c r="G564" s="1877">
        <f>SUM(G559:H563)</f>
        <v>1200000</v>
      </c>
      <c r="H564" s="1877"/>
      <c r="I564" s="1819"/>
      <c r="J564" s="1861">
        <f>SUM(J559:K563)</f>
        <v>1200000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45000</v>
      </c>
      <c r="H566" s="1861"/>
      <c r="I566" s="1819"/>
      <c r="J566" s="2089"/>
      <c r="K566" s="2089"/>
      <c r="L566" s="2089"/>
      <c r="M566" s="2089"/>
      <c r="N566" s="2089"/>
      <c r="O566" s="1819"/>
      <c r="P566" s="2089"/>
      <c r="Q566" s="2089"/>
      <c r="R566" s="1819"/>
      <c r="S566" s="1861">
        <f>'Part IV-A-Uses of Funds'!S120</f>
        <v>45000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58794.25</v>
      </c>
      <c r="G567" s="1861">
        <f>'Part IV-A-Uses of Funds'!G121</f>
        <v>58795</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58795</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117588.5</v>
      </c>
      <c r="G568" s="1861">
        <f>'Part IV-A-Uses of Funds'!G122</f>
        <v>117589</v>
      </c>
      <c r="H568" s="1861"/>
      <c r="I568" s="1819"/>
      <c r="J568" s="1895" t="str">
        <f>IF(E568&gt;G568,"WARNING! ODR proposed is below minimum - add comment.","")</f>
        <v/>
      </c>
      <c r="K568" s="2089"/>
      <c r="L568" s="2089"/>
      <c r="M568" s="2089"/>
      <c r="N568" s="2089"/>
      <c r="O568" s="1819"/>
      <c r="P568" s="2089"/>
      <c r="Q568" s="2089"/>
      <c r="R568" s="1819"/>
      <c r="S568" s="1861">
        <f>'Part IV-A-Uses of Funds'!S122</f>
        <v>117589</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1458.3333333333333</v>
      </c>
      <c r="G570" s="1861">
        <f>'Part IV-A-Uses of Funds'!G124</f>
        <v>70000</v>
      </c>
      <c r="H570" s="1861"/>
      <c r="I570" s="1819"/>
      <c r="J570" s="1861">
        <f>'Part IV-A-Uses of Funds'!J124</f>
        <v>70000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291384</v>
      </c>
      <c r="H572" s="1861"/>
      <c r="I572" s="1819"/>
      <c r="J572" s="1861">
        <f>SUM(J570:K571)</f>
        <v>70000</v>
      </c>
      <c r="K572" s="1861"/>
      <c r="L572" s="1832"/>
      <c r="M572" s="1861">
        <f>SUM(M570:N571)</f>
        <v>0</v>
      </c>
      <c r="N572" s="1861"/>
      <c r="O572" s="1819"/>
      <c r="P572" s="1861">
        <f>SUM(P570:Q571)</f>
        <v>0</v>
      </c>
      <c r="Q572" s="1861"/>
      <c r="R572" s="1819"/>
      <c r="S572" s="1861">
        <f>SUM(S566:T571)</f>
        <v>221384</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6902</v>
      </c>
      <c r="C578" s="1819"/>
      <c r="D578" s="1819"/>
      <c r="E578" s="1863"/>
      <c r="F578" s="1879"/>
      <c r="G578" s="1861">
        <f>G463+G469+G473+G479+G484+G487+G493+G510+G523+G529+G537+G551+G557+G564+G572+G576</f>
        <v>9959143</v>
      </c>
      <c r="H578" s="1861"/>
      <c r="I578" s="1819"/>
      <c r="J578" s="1861">
        <f>J463+J469+J473+J479+J484+J487+J493+J510+J523+J529+J537+J551+J557+J564+J572+J576</f>
        <v>8871759</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1087384</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6858</v>
      </c>
      <c r="C580" s="1819"/>
      <c r="D580" s="1880">
        <f>IF('Part VI-Revenues &amp; Expenses'!$P$67=0,0,G578/'Part VI-Revenues &amp; Expenses'!$P$67)</f>
        <v>207482.14583333334</v>
      </c>
      <c r="E580" s="1880"/>
      <c r="F580" s="1821" t="s">
        <v>2673</v>
      </c>
      <c r="G580" s="1880">
        <f>IF('Part I-Project Information'!$P$75=0,0,G578/'Part I-Project Information'!$P$75)</f>
        <v>197.60204365079366</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8871759</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8871759</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11533286.700000001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11533286.700000001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1037995.8030000001</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1037995</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6903</v>
      </c>
      <c r="C609" s="1819"/>
      <c r="D609" s="1819"/>
      <c r="E609" s="1819"/>
      <c r="F609" s="1819"/>
      <c r="G609" s="1819"/>
      <c r="H609" s="1819"/>
      <c r="I609" s="1819"/>
      <c r="J609" s="2200">
        <f>G578</f>
        <v>9959143</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405339</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9553804</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9657957.5999999996</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9959143</v>
      </c>
      <c r="K615" s="1882"/>
      <c r="L615" s="1882"/>
      <c r="M615" s="1822" t="s">
        <v>4552</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110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9959033</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995903.3</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6859</v>
      </c>
      <c r="C621" s="1819"/>
      <c r="D621" s="1819"/>
      <c r="E621" s="1819"/>
      <c r="F621" s="1819"/>
      <c r="G621" s="1819"/>
      <c r="H621" s="1819"/>
      <c r="I621" s="1819"/>
      <c r="J621" s="1888">
        <f>N621+Q621</f>
        <v>1.2050000000000001</v>
      </c>
      <c r="K621" s="1888"/>
      <c r="L621" s="1888"/>
      <c r="M621" s="1821" t="s">
        <v>1263</v>
      </c>
      <c r="N621" s="2206">
        <f>'Part IV-A-Uses of Funds'!N175</f>
        <v>0.81499999999999995</v>
      </c>
      <c r="O621" s="2206"/>
      <c r="P621" s="1821" t="s">
        <v>595</v>
      </c>
      <c r="Q621" s="2206">
        <f>'Part IV-A-Uses of Funds'!Q175</f>
        <v>0.39</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826475</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6860</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826475</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6861</v>
      </c>
      <c r="C628" s="1819"/>
      <c r="D628" s="1819"/>
      <c r="E628" s="1819"/>
      <c r="F628" s="1819"/>
      <c r="G628" s="1819"/>
      <c r="H628" s="1819"/>
      <c r="I628" s="1819"/>
      <c r="J628" s="1882">
        <f>'Part IV-A-Uses of Funds'!J182</f>
        <v>825000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6970</v>
      </c>
      <c r="C630" s="1819"/>
      <c r="D630" s="1827"/>
      <c r="E630" s="1827"/>
      <c r="F630" s="1823"/>
      <c r="G630" s="1819"/>
      <c r="H630" s="1819"/>
      <c r="I630" s="1819"/>
      <c r="J630" s="1882">
        <f>IF(J628="",0,+MIN(J626,J628))</f>
        <v>825000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Please see Tab 01 for documentation of Local Government Fees (water tap, sewer tap, permits, impact fees).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2020-067 - Boxwood Heights  -  Columbus  -  Muscogee,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6862</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6863</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6864</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6865</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2020-067 Boxwood Heights,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Local PHA</v>
      </c>
    </row>
    <row r="725" spans="1:13">
      <c r="A725" s="1918" t="s">
        <v>3610</v>
      </c>
    </row>
    <row r="727" spans="1:13">
      <c r="A727" s="1995" t="s">
        <v>598</v>
      </c>
      <c r="B727" s="1995" t="s">
        <v>2170</v>
      </c>
      <c r="F727" s="1815" t="s">
        <v>2452</v>
      </c>
      <c r="G727" s="1815"/>
      <c r="H727" s="1815"/>
      <c r="I727" s="1815" t="str">
        <f>'Part V-Utility Allowances'!I7</f>
        <v>The Housing Authority of Columbus, Georgia</v>
      </c>
      <c r="J727" s="1815"/>
      <c r="K727" s="1815"/>
      <c r="L727" s="1815"/>
      <c r="M727" s="1815"/>
    </row>
    <row r="728" spans="1:13">
      <c r="F728" s="1815" t="s">
        <v>618</v>
      </c>
      <c r="G728" s="1815"/>
      <c r="H728" s="1815"/>
      <c r="I728" s="2211">
        <f>'Part V-Utility Allowances'!I8</f>
        <v>43658</v>
      </c>
      <c r="J728" s="2211"/>
      <c r="K728" s="1896" t="s">
        <v>525</v>
      </c>
      <c r="L728" s="1815" t="str">
        <f>'Part V-Utility Allowances'!L8</f>
        <v>MF</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12</v>
      </c>
      <c r="K732" s="1896">
        <f>'Part V-Utility Allowances'!K12</f>
        <v>15</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10</v>
      </c>
      <c r="K733" s="1896">
        <f>'Part V-Utility Allowances'!K13</f>
        <v>12</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17</v>
      </c>
      <c r="K734" s="1896">
        <f>'Part V-Utility Allowances'!K14</f>
        <v>24</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19</v>
      </c>
      <c r="K735" s="1896">
        <f>'Part V-Utility Allowances'!K15</f>
        <v>24</v>
      </c>
      <c r="L735" s="1896">
        <f>'Part V-Utility Allowances'!L15</f>
        <v>0</v>
      </c>
      <c r="M735" s="1896">
        <f>'Part V-Utility Allowances'!M15</f>
        <v>0</v>
      </c>
    </row>
    <row r="736" spans="1:13">
      <c r="B736" s="1815" t="s">
        <v>3607</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t="str">
        <f>'Part V-Utility Allowances'!F18</f>
        <v>X</v>
      </c>
      <c r="G738" s="2109">
        <f>'Part V-Utility Allowances'!G18</f>
        <v>0</v>
      </c>
      <c r="I738" s="1896">
        <f>'Part V-Utility Allowances'!I18</f>
        <v>0</v>
      </c>
      <c r="J738" s="1896">
        <f>'Part V-Utility Allowances'!J18</f>
        <v>32</v>
      </c>
      <c r="K738" s="1896">
        <f>'Part V-Utility Allowances'!K18</f>
        <v>36</v>
      </c>
      <c r="L738" s="1896">
        <f>'Part V-Utility Allowances'!L18</f>
        <v>0</v>
      </c>
      <c r="M738" s="1896">
        <f>'Part V-Utility Allowances'!M18</f>
        <v>0</v>
      </c>
    </row>
    <row r="739" spans="1:13">
      <c r="B739" s="1815" t="s">
        <v>1343</v>
      </c>
      <c r="C739" s="1815"/>
      <c r="D739" s="1815" t="s">
        <v>6809</v>
      </c>
      <c r="E739" s="1896" t="str">
        <f>'Part V-Utility Allowances'!E19</f>
        <v>Yes</v>
      </c>
      <c r="F739" s="2109" t="str">
        <f>'Part V-Utility Allowances'!F19</f>
        <v>X</v>
      </c>
      <c r="G739" s="2109">
        <f>'Part V-Utility Allowances'!G19</f>
        <v>0</v>
      </c>
      <c r="I739" s="1896">
        <f>'Part V-Utility Allowances'!I19</f>
        <v>0</v>
      </c>
      <c r="J739" s="1896">
        <f>'Part V-Utility Allowances'!J19</f>
        <v>31</v>
      </c>
      <c r="K739" s="1896">
        <f>'Part V-Utility Allowances'!K19</f>
        <v>40</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121</v>
      </c>
      <c r="K742" s="1896">
        <f>IF(SUM(K732:K741)=0,0,IF(OR($D732="&lt;&lt;Select Fuel &gt;&gt;",$D733="&lt;&lt;Select Fuel &gt;&gt;",$D734="&lt;&lt;Select Fuel &gt;&gt;"),"Select Fuel",IF($E739="&lt;Select&gt;","Submeter?",SUM(K732:K741))))</f>
        <v>151</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6809</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6810</v>
      </c>
      <c r="F761" s="1874"/>
      <c r="G761" s="1874"/>
      <c r="I761" s="1874"/>
      <c r="J761" s="1874"/>
      <c r="K761" s="1874"/>
      <c r="L761" s="1874"/>
      <c r="M761" s="1874"/>
    </row>
    <row r="762" spans="2:13">
      <c r="B762" s="1995" t="s">
        <v>555</v>
      </c>
    </row>
    <row r="763" spans="2:13">
      <c r="B763" s="1772" t="str">
        <f>'Part V-Utility Allowances'!B43</f>
        <v>Applicant has used the utility allowances from The Housing Authority of Columbus, Georgia for Multi-Family unit types. The utility allowances used were in effect as of January 1, 2020.</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2020-067 Boxwood Heights, ,  County</v>
      </c>
      <c r="T770" s="1815" t="str">
        <f>A770</f>
        <v>PART SIX - PROJECTED REVENUES &amp; EXPENSES  -  2020-067 Boxwood Heights,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6823</v>
      </c>
      <c r="R773" s="2240"/>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4135</v>
      </c>
      <c r="AS773" s="1918" t="s">
        <v>4136</v>
      </c>
      <c r="AT773" s="1918" t="s">
        <v>4137</v>
      </c>
      <c r="AU773" s="1918" t="s">
        <v>4138</v>
      </c>
      <c r="AV773" s="1918" t="s">
        <v>4134</v>
      </c>
      <c r="AW773" s="1918" t="s">
        <v>900</v>
      </c>
      <c r="AX773" s="1918" t="s">
        <v>2254</v>
      </c>
      <c r="AY773" s="1918" t="s">
        <v>2255</v>
      </c>
      <c r="AZ773" s="1918" t="s">
        <v>2256</v>
      </c>
      <c r="BA773" s="1918" t="s">
        <v>2257</v>
      </c>
      <c r="BB773" s="1918" t="s">
        <v>4139</v>
      </c>
      <c r="BC773" s="1918" t="s">
        <v>4140</v>
      </c>
      <c r="BD773" s="1918" t="s">
        <v>4141</v>
      </c>
      <c r="BE773" s="1918" t="s">
        <v>4142</v>
      </c>
      <c r="BF773" s="1918" t="s">
        <v>4143</v>
      </c>
      <c r="BG773" s="1918" t="s">
        <v>126</v>
      </c>
      <c r="BH773" s="1918" t="s">
        <v>2258</v>
      </c>
      <c r="BI773" s="1918" t="s">
        <v>2259</v>
      </c>
      <c r="BJ773" s="1918" t="s">
        <v>2260</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2366</v>
      </c>
      <c r="EE773" s="1918" t="s">
        <v>2367</v>
      </c>
      <c r="EF773" s="1918" t="s">
        <v>2368</v>
      </c>
      <c r="EG773" s="1918" t="s">
        <v>2369</v>
      </c>
      <c r="EH773" s="1918" t="s">
        <v>2370</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4793</v>
      </c>
      <c r="K774" s="1732" t="s">
        <v>3432</v>
      </c>
      <c r="L774" s="2102" t="str">
        <f>'Part I-Project Information'!$B$6</f>
        <v>May 26, 2020 Version</v>
      </c>
      <c r="M774" s="2103"/>
      <c r="N774" s="1922" t="s">
        <v>559</v>
      </c>
      <c r="P774" s="1896" t="s">
        <v>6824</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No</v>
      </c>
      <c r="G775" s="1732" t="s">
        <v>3489</v>
      </c>
      <c r="H775" s="1918" t="s">
        <v>3661</v>
      </c>
      <c r="I775" s="1918"/>
      <c r="J775" s="1732" t="s">
        <v>778</v>
      </c>
      <c r="K775" s="1732" t="s">
        <v>3492</v>
      </c>
      <c r="L775" s="2103"/>
      <c r="M775" s="2103"/>
      <c r="N775" s="2104" t="str">
        <f>'Part I-Project Information'!$O$40</f>
        <v>Columbus</v>
      </c>
      <c r="O775" s="2104"/>
      <c r="P775" s="1916">
        <f>VLOOKUP('Part I-Project Information'!$O$40,'DCA Underwriting Assumptions'!$C$173:$D$283,2)</f>
        <v>59600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3490</v>
      </c>
      <c r="H776" s="1918"/>
      <c r="I776" s="1918"/>
      <c r="J776" s="1732" t="s">
        <v>779</v>
      </c>
      <c r="K776" s="1732" t="s">
        <v>3493</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3490</v>
      </c>
      <c r="J777" s="2105" t="s">
        <v>4475</v>
      </c>
      <c r="K777" s="1732" t="s">
        <v>6971</v>
      </c>
      <c r="L777" s="1897" t="s">
        <v>142</v>
      </c>
      <c r="M777" s="1897"/>
      <c r="N777" s="1732" t="s">
        <v>2306</v>
      </c>
      <c r="O777" s="1732" t="s">
        <v>4788</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5</v>
      </c>
      <c r="F786" s="2215">
        <f>'Part VI-Revenues &amp; Expenses'!F17</f>
        <v>700</v>
      </c>
      <c r="G786" s="2215">
        <f>'Part VI-Revenues &amp; Expenses'!G17</f>
        <v>559</v>
      </c>
      <c r="H786" s="2215">
        <f>'Part VI-Revenues &amp; Expenses'!H17</f>
        <v>554</v>
      </c>
      <c r="I786" s="2215">
        <f>'Part VI-Revenues &amp; Expenses'!I17</f>
        <v>0</v>
      </c>
      <c r="J786" s="2215">
        <f>'Part VI-Revenues &amp; Expenses'!J17</f>
        <v>121</v>
      </c>
      <c r="K786" s="2216">
        <f>'Part VI-Revenues &amp; Expenses'!K17</f>
        <v>0</v>
      </c>
      <c r="L786" s="1899">
        <f t="shared" si="0"/>
        <v>433</v>
      </c>
      <c r="M786" s="1899">
        <f t="shared" si="1"/>
        <v>2165</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5</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3500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5</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5</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5</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5</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19</v>
      </c>
      <c r="F787" s="2215">
        <f>'Part VI-Revenues &amp; Expenses'!F18</f>
        <v>700</v>
      </c>
      <c r="G787" s="2215">
        <f>'Part VI-Revenues &amp; Expenses'!G18</f>
        <v>671</v>
      </c>
      <c r="H787" s="2215">
        <f>'Part VI-Revenues &amp; Expenses'!H18</f>
        <v>666</v>
      </c>
      <c r="I787" s="2215">
        <f>'Part VI-Revenues &amp; Expenses'!I18</f>
        <v>0</v>
      </c>
      <c r="J787" s="2215">
        <f>'Part VI-Revenues &amp; Expenses'!J18</f>
        <v>121</v>
      </c>
      <c r="K787" s="2216">
        <f>'Part VI-Revenues &amp; Expenses'!K18</f>
        <v>0</v>
      </c>
      <c r="L787" s="1899">
        <f t="shared" si="0"/>
        <v>545</v>
      </c>
      <c r="M787" s="1899">
        <f t="shared" si="1"/>
        <v>10355</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19</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13300</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19</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f t="shared" si="213"/>
        <v>19</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f t="shared" si="298"/>
        <v>19</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19</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1</v>
      </c>
      <c r="E788" s="2215">
        <f>'Part VI-Revenues &amp; Expenses'!E19</f>
        <v>5</v>
      </c>
      <c r="F788" s="2215">
        <f>'Part VI-Revenues &amp; Expenses'!F19</f>
        <v>900</v>
      </c>
      <c r="G788" s="2215">
        <f>'Part VI-Revenues &amp; Expenses'!G19</f>
        <v>671</v>
      </c>
      <c r="H788" s="2215">
        <f>'Part VI-Revenues &amp; Expenses'!H19</f>
        <v>666</v>
      </c>
      <c r="I788" s="2215">
        <f>'Part VI-Revenues &amp; Expenses'!I19</f>
        <v>0</v>
      </c>
      <c r="J788" s="2215">
        <f>'Part VI-Revenues &amp; Expenses'!J19</f>
        <v>151</v>
      </c>
      <c r="K788" s="2216">
        <f>'Part VI-Revenues &amp; Expenses'!K19</f>
        <v>0</v>
      </c>
      <c r="L788" s="1899">
        <f t="shared" si="0"/>
        <v>515</v>
      </c>
      <c r="M788" s="1899">
        <f t="shared" si="1"/>
        <v>2575</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5</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4500</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f t="shared" si="169"/>
        <v>5</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f t="shared" si="214"/>
        <v>5</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f t="shared" si="299"/>
        <v>5</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5</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1</v>
      </c>
      <c r="E789" s="2215">
        <f>'Part VI-Revenues &amp; Expenses'!E20</f>
        <v>19</v>
      </c>
      <c r="F789" s="2215">
        <f>'Part VI-Revenues &amp; Expenses'!F20</f>
        <v>900</v>
      </c>
      <c r="G789" s="2215">
        <f>'Part VI-Revenues &amp; Expenses'!G20</f>
        <v>805</v>
      </c>
      <c r="H789" s="2215">
        <f>'Part VI-Revenues &amp; Expenses'!H20</f>
        <v>800</v>
      </c>
      <c r="I789" s="2215">
        <f>'Part VI-Revenues &amp; Expenses'!I20</f>
        <v>0</v>
      </c>
      <c r="J789" s="2215">
        <f>'Part VI-Revenues &amp; Expenses'!J20</f>
        <v>151</v>
      </c>
      <c r="K789" s="2216">
        <f>'Part VI-Revenues &amp; Expenses'!K20</f>
        <v>0</v>
      </c>
      <c r="L789" s="1899">
        <f t="shared" si="0"/>
        <v>649</v>
      </c>
      <c r="M789" s="1899">
        <f t="shared" si="1"/>
        <v>12331</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19</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17100</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19</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19</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19</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19</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0</v>
      </c>
      <c r="C790" s="2213">
        <f>'Part VI-Revenues &amp; Expenses'!C21</f>
        <v>0</v>
      </c>
      <c r="D790" s="2214">
        <f>'Part VI-Revenues &amp; Expenses'!D21</f>
        <v>0</v>
      </c>
      <c r="E790" s="2215">
        <f>'Part VI-Revenues &amp; Expenses'!E21</f>
        <v>0</v>
      </c>
      <c r="F790" s="2215">
        <f>'Part VI-Revenues &amp; Expenses'!F21</f>
        <v>0</v>
      </c>
      <c r="G790" s="2215">
        <f>'Part VI-Revenues &amp; Expenses'!G21</f>
        <v>0</v>
      </c>
      <c r="H790" s="2215">
        <f>'Part VI-Revenues &amp; Expenses'!H21</f>
        <v>0</v>
      </c>
      <c r="I790" s="2215">
        <f>'Part VI-Revenues &amp; Expenses'!I21</f>
        <v>0</v>
      </c>
      <c r="J790" s="2215">
        <f>'Part VI-Revenues &amp; Expenses'!J21</f>
        <v>0</v>
      </c>
      <c r="K790" s="2216">
        <f>'Part VI-Revenues &amp; Expenses'!K21</f>
        <v>0</v>
      </c>
      <c r="L790" s="1899">
        <f t="shared" si="0"/>
        <v>0</v>
      </c>
      <c r="M790" s="1899">
        <f t="shared" si="1"/>
        <v>0</v>
      </c>
      <c r="N790" s="2074">
        <f>'Part VI-Revenues &amp; Expenses'!N21</f>
        <v>0</v>
      </c>
      <c r="O790" s="2074">
        <f>'Part VI-Revenues &amp; Expenses'!O21</f>
        <v>0</v>
      </c>
      <c r="P790" s="2074">
        <f>'Part VI-Revenues &amp; Expenses'!P21</f>
        <v>0</v>
      </c>
      <c r="Q790" s="1732">
        <f>'Part VI-Revenues &amp; Expenses'!Q21</f>
        <v>0</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0</v>
      </c>
      <c r="C791" s="2213">
        <f>'Part VI-Revenues &amp; Expenses'!C22</f>
        <v>0</v>
      </c>
      <c r="D791" s="2214">
        <f>'Part VI-Revenues &amp; Expenses'!D22</f>
        <v>0</v>
      </c>
      <c r="E791" s="2215">
        <f>'Part VI-Revenues &amp; Expenses'!E22</f>
        <v>0</v>
      </c>
      <c r="F791" s="2215">
        <f>'Part VI-Revenues &amp; Expenses'!F22</f>
        <v>0</v>
      </c>
      <c r="G791" s="2215">
        <f>'Part VI-Revenues &amp; Expenses'!G22</f>
        <v>0</v>
      </c>
      <c r="H791" s="2215">
        <f>'Part VI-Revenues &amp; Expenses'!H22</f>
        <v>0</v>
      </c>
      <c r="I791" s="2215">
        <f>'Part VI-Revenues &amp; Expenses'!I22</f>
        <v>0</v>
      </c>
      <c r="J791" s="2215">
        <f>'Part VI-Revenues &amp; Expenses'!J22</f>
        <v>0</v>
      </c>
      <c r="K791" s="2216">
        <f>'Part VI-Revenues &amp; Expenses'!K22</f>
        <v>0</v>
      </c>
      <c r="L791" s="1899">
        <f t="shared" si="0"/>
        <v>0</v>
      </c>
      <c r="M791" s="1899">
        <f t="shared" si="1"/>
        <v>0</v>
      </c>
      <c r="N791" s="2074">
        <f>'Part VI-Revenues &amp; Expenses'!N22</f>
        <v>0</v>
      </c>
      <c r="O791" s="2074">
        <f>'Part VI-Revenues &amp; Expenses'!O22</f>
        <v>0</v>
      </c>
      <c r="P791" s="2074">
        <f>'Part VI-Revenues &amp; Expenses'!P22</f>
        <v>0</v>
      </c>
      <c r="Q791" s="1732">
        <f>'Part VI-Revenues &amp; Expenses'!Q22</f>
        <v>0</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48</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38400</v>
      </c>
      <c r="H817" s="2107" t="s">
        <v>4208</v>
      </c>
      <c r="I817" s="1229" t="s">
        <v>4209</v>
      </c>
      <c r="J817" s="1903" t="str">
        <f>IF(P836=0,"",IF(SUM(P827:P831)/P836&gt;=0.4,"Pass","Fail"))</f>
        <v>Pass</v>
      </c>
      <c r="K817" s="450"/>
      <c r="L817" s="1904" t="s">
        <v>1276</v>
      </c>
      <c r="M817" s="1905">
        <f>SUM(M779:M816)</f>
        <v>27426</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19</v>
      </c>
      <c r="AJ817" s="1900">
        <f t="shared" si="348"/>
        <v>19</v>
      </c>
      <c r="AK817" s="1900">
        <f t="shared" si="348"/>
        <v>0</v>
      </c>
      <c r="AL817" s="1900">
        <f t="shared" si="348"/>
        <v>0</v>
      </c>
      <c r="AM817" s="1900">
        <f>SUM(AM779:AM816)</f>
        <v>0</v>
      </c>
      <c r="AN817" s="1900">
        <f>SUM(AN779:AN816)</f>
        <v>5</v>
      </c>
      <c r="AO817" s="1900">
        <f>SUM(AO779:AO816)</f>
        <v>5</v>
      </c>
      <c r="AP817" s="1900">
        <f>SUM(AP779:AP816)</f>
        <v>0</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13300</v>
      </c>
      <c r="EU817" s="1900">
        <f t="shared" si="348"/>
        <v>17100</v>
      </c>
      <c r="EV817" s="1900">
        <f t="shared" si="348"/>
        <v>0</v>
      </c>
      <c r="EW817" s="1900">
        <f t="shared" si="348"/>
        <v>0</v>
      </c>
      <c r="EX817" s="1900">
        <f t="shared" si="348"/>
        <v>0</v>
      </c>
      <c r="EY817" s="1900">
        <f t="shared" si="348"/>
        <v>3500</v>
      </c>
      <c r="EZ817" s="1900">
        <f t="shared" si="348"/>
        <v>4500</v>
      </c>
      <c r="FA817" s="1900">
        <f t="shared" si="348"/>
        <v>0</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24</v>
      </c>
      <c r="GI817" s="1900">
        <f t="shared" si="350"/>
        <v>24</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24</v>
      </c>
      <c r="IB817" s="1900">
        <f t="shared" si="351"/>
        <v>24</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24</v>
      </c>
      <c r="LI817" s="1900">
        <f t="shared" si="352"/>
        <v>24</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24</v>
      </c>
      <c r="MW817" s="1900">
        <f t="shared" si="352"/>
        <v>24</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57.916666666666664</v>
      </c>
      <c r="C818" s="2108"/>
      <c r="D818" s="1896" t="s">
        <v>4118</v>
      </c>
      <c r="E818" s="1901">
        <f>SUM(E786:E816)</f>
        <v>48</v>
      </c>
      <c r="F818" s="1902">
        <f>(E786*F786+E787*F787+E788*F788+E789*F789+E790*F790+E791*F791+E792*F792+E793*F793+E794*F794+E795*F795+E796*F796+E797*F797+E798*F798+E799*F799+E800*F800+E801*F801+E802*F802+E803*F803+E804*F804+E805*F805+E806*F806+E807*F807+E808*F808+E809*F809+E810*F810+E811*F811+E812*F812+E813*F813+E814*F814+E815*F815+E816*F816)</f>
        <v>38400</v>
      </c>
      <c r="H818" s="2107"/>
      <c r="I818" s="1229" t="s">
        <v>4210</v>
      </c>
      <c r="J818" s="1903" t="str">
        <f>IF(P836=0,"",IF(SUM(P828:P831)/P836&gt;=0.2,"Pass","Fail"))</f>
        <v>Pass</v>
      </c>
      <c r="K818" s="450"/>
      <c r="L818" s="1904" t="s">
        <v>794</v>
      </c>
      <c r="M818" s="1905">
        <f>M817*12</f>
        <v>329112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6924</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19</v>
      </c>
      <c r="M827" s="1906">
        <f>AJ817</f>
        <v>19</v>
      </c>
      <c r="N827" s="1906">
        <f>AK817</f>
        <v>0</v>
      </c>
      <c r="O827" s="1906">
        <f>AL817</f>
        <v>0</v>
      </c>
      <c r="P827" s="1906">
        <f t="shared" si="353"/>
        <v>38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5</v>
      </c>
      <c r="M828" s="1906">
        <f>AO817</f>
        <v>5</v>
      </c>
      <c r="N828" s="1906">
        <f>AP817</f>
        <v>0</v>
      </c>
      <c r="O828" s="1906">
        <f>AQ817</f>
        <v>0</v>
      </c>
      <c r="P828" s="1906">
        <f t="shared" si="353"/>
        <v>10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24</v>
      </c>
      <c r="M832" s="1906">
        <f>SUM(M825:M831)</f>
        <v>24</v>
      </c>
      <c r="N832" s="1906">
        <f>SUM(N825:N831)</f>
        <v>0</v>
      </c>
      <c r="O832" s="1906">
        <f>SUM(O825:O831)</f>
        <v>0</v>
      </c>
      <c r="P832" s="1906">
        <f t="shared" si="353"/>
        <v>48</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24</v>
      </c>
      <c r="M834" s="1906">
        <f>SUM(M832:M833)</f>
        <v>24</v>
      </c>
      <c r="N834" s="1906">
        <f>SUM(N832:N833)</f>
        <v>0</v>
      </c>
      <c r="O834" s="1906">
        <f>SUM(O832:O833)</f>
        <v>0</v>
      </c>
      <c r="P834" s="1906">
        <f t="shared" si="353"/>
        <v>48</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24</v>
      </c>
      <c r="M836" s="1906">
        <f>SUM(M834:M835)</f>
        <v>24</v>
      </c>
      <c r="N836" s="1906">
        <f>SUM(N834:N835)</f>
        <v>0</v>
      </c>
      <c r="O836" s="1906">
        <f>SUM(O834:O835)</f>
        <v>0</v>
      </c>
      <c r="P836" s="1906">
        <f t="shared" si="353"/>
        <v>48</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6925</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6926</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6825</v>
      </c>
      <c r="E842" s="1815"/>
      <c r="F842" s="1815"/>
      <c r="H842" s="1897" t="s">
        <v>4120</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6925</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6926</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6925</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6926</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6925</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6926</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4121</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6925</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6926</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6925</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6926</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6925</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6926</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4120</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6972</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24</v>
      </c>
      <c r="M882" s="1906">
        <f>GI817</f>
        <v>24</v>
      </c>
      <c r="N882" s="1906">
        <f>GJ817</f>
        <v>0</v>
      </c>
      <c r="O882" s="1906">
        <f>GK817</f>
        <v>0</v>
      </c>
      <c r="P882" s="1906">
        <f t="shared" ref="P882:P892" si="377">SUM(K882:O882)</f>
        <v>48</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24</v>
      </c>
      <c r="M884" s="1906">
        <f>SUM(M882:M883)+GS817</f>
        <v>24</v>
      </c>
      <c r="N884" s="1906">
        <f>SUM(N882:N883)+GT817</f>
        <v>0</v>
      </c>
      <c r="O884" s="1906">
        <f>SUM(O882:O883)+GU817</f>
        <v>0</v>
      </c>
      <c r="P884" s="1906">
        <f t="shared" si="377"/>
        <v>48</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6811</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6927</v>
      </c>
      <c r="D896" s="1910"/>
      <c r="E896" s="1897" t="s">
        <v>37</v>
      </c>
      <c r="F896" s="1815"/>
      <c r="G896" s="1822"/>
      <c r="H896" s="1918"/>
      <c r="K896" s="1906">
        <f>SUM(K897:K906)</f>
        <v>0</v>
      </c>
      <c r="L896" s="1906">
        <f>SUM(L897:L906)</f>
        <v>24</v>
      </c>
      <c r="M896" s="1906">
        <f t="shared" ref="M896:N896" si="378">SUM(M897:M906)</f>
        <v>24</v>
      </c>
      <c r="N896" s="1906">
        <f t="shared" si="378"/>
        <v>0</v>
      </c>
      <c r="O896" s="1906">
        <f>SUM(O897:O906)</f>
        <v>0</v>
      </c>
      <c r="P896" s="1906">
        <f>SUM(P897:P906)</f>
        <v>48</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24</v>
      </c>
      <c r="M905" s="1906">
        <f>LI817</f>
        <v>24</v>
      </c>
      <c r="N905" s="1906">
        <f>LJ817</f>
        <v>0</v>
      </c>
      <c r="O905" s="1906">
        <f>LK817</f>
        <v>0</v>
      </c>
      <c r="P905" s="1906">
        <f t="shared" si="379"/>
        <v>48</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6972</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6973</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24</v>
      </c>
      <c r="M924" s="1906">
        <f t="shared" si="384"/>
        <v>24</v>
      </c>
      <c r="N924" s="1906">
        <f t="shared" si="384"/>
        <v>0</v>
      </c>
      <c r="O924" s="1906">
        <f t="shared" si="384"/>
        <v>0</v>
      </c>
      <c r="P924" s="1906">
        <f t="shared" si="381"/>
        <v>48</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6866</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13300</v>
      </c>
      <c r="M930" s="1915">
        <f>EU817</f>
        <v>17100</v>
      </c>
      <c r="N930" s="1915">
        <f>EV817</f>
        <v>0</v>
      </c>
      <c r="O930" s="1915">
        <f>EW817</f>
        <v>0</v>
      </c>
      <c r="P930" s="1915">
        <f t="shared" si="385"/>
        <v>30400</v>
      </c>
      <c r="Q930" s="1916">
        <f t="shared" si="386"/>
        <v>800</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3500</v>
      </c>
      <c r="M931" s="1915">
        <f>EZ817</f>
        <v>4500</v>
      </c>
      <c r="N931" s="1915">
        <f>FA817</f>
        <v>0</v>
      </c>
      <c r="O931" s="1915">
        <f>FB817</f>
        <v>0</v>
      </c>
      <c r="P931" s="1915">
        <f t="shared" si="385"/>
        <v>8000</v>
      </c>
      <c r="Q931" s="1916">
        <f t="shared" si="386"/>
        <v>800</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16800</v>
      </c>
      <c r="M935" s="1915">
        <f>SUM(M928:M934)</f>
        <v>21600</v>
      </c>
      <c r="N935" s="1915">
        <f>SUM(N928:N934)</f>
        <v>0</v>
      </c>
      <c r="O935" s="1915">
        <f>SUM(O928:O934)</f>
        <v>0</v>
      </c>
      <c r="P935" s="1915">
        <f>SUM(K935:O935)</f>
        <v>38400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16800</v>
      </c>
      <c r="M937" s="1915">
        <f>SUM(M935:M936)</f>
        <v>21600</v>
      </c>
      <c r="N937" s="1915">
        <f>SUM(N935:N936)</f>
        <v>0</v>
      </c>
      <c r="O937" s="1915">
        <f>SUM(O935:O936)</f>
        <v>0</v>
      </c>
      <c r="P937" s="1915">
        <f>SUM(K937:O937)</f>
        <v>38400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16800</v>
      </c>
      <c r="M939" s="1915">
        <f>SUM(M937:M938)</f>
        <v>21600</v>
      </c>
      <c r="N939" s="1915">
        <f>SUM(N937:N938)</f>
        <v>0</v>
      </c>
      <c r="O939" s="1915">
        <f>SUM(O937:O938)</f>
        <v>0</v>
      </c>
      <c r="P939" s="1915">
        <f>SUM(K939:O939)</f>
        <v>38400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6974</v>
      </c>
      <c r="K942" s="1917" t="str">
        <f>IF(OR(K836="",K836=0),"",K939/K836)</f>
        <v/>
      </c>
      <c r="L942" s="1917">
        <f>IF(OR(L836="",L836=0),"",L939/L836)</f>
        <v>700</v>
      </c>
      <c r="M942" s="1917">
        <f>IF(OR(M836="",M836=0),"",M939/M836)</f>
        <v>900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6928</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6582.24</v>
      </c>
      <c r="I947" s="2219"/>
      <c r="J947" s="2219"/>
      <c r="K947" s="1918"/>
      <c r="L947" s="1912" t="s">
        <v>6867</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6868</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6869</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6868</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6869</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6868</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6869</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6868</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6869</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23040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24710</v>
      </c>
      <c r="G989" s="1915"/>
      <c r="I989" s="1815" t="s">
        <v>1351</v>
      </c>
      <c r="L989" s="1915">
        <f>'Part VI-Revenues &amp; Expenses'!L220</f>
        <v>0</v>
      </c>
      <c r="M989" s="1915"/>
      <c r="O989" s="1921">
        <f>+Q988/(P836*0.93)</f>
        <v>516.12903225806451</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28142</v>
      </c>
      <c r="G990" s="1915"/>
      <c r="I990" s="1815" t="s">
        <v>1352</v>
      </c>
      <c r="L990" s="1915">
        <f>'Part VI-Revenues &amp; Expenses'!L221</f>
        <v>600</v>
      </c>
      <c r="M990" s="1915"/>
      <c r="O990" s="1921">
        <f>+Q988/(P836*0.93)/12</f>
        <v>43.01075268817204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600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18000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70852</v>
      </c>
      <c r="G995" s="1915"/>
      <c r="I995" s="1815" t="s">
        <v>1569</v>
      </c>
      <c r="L995" s="1915">
        <f>'Part VI-Revenues &amp; Expenses'!L226</f>
        <v>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7000</v>
      </c>
      <c r="M996" s="1915"/>
      <c r="N996" s="1897" t="str">
        <f>IF(Q998="","",IF(Q996&lt;Q998, "WARNING! OE below required minimum.",""))</f>
        <v/>
      </c>
      <c r="O996" s="1815" t="s">
        <v>2135</v>
      </c>
      <c r="Q996" s="1917">
        <f>F995+F1004+F1015+L991+L999+L1008+L1015+Q988</f>
        <v>235177</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v>
      </c>
      <c r="M997" s="1915"/>
      <c r="N997" s="1897"/>
      <c r="O997" s="449" t="s">
        <v>2668</v>
      </c>
      <c r="P997" s="1921">
        <f>+Q996/P836</f>
        <v>4899.520833333333</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1875</v>
      </c>
      <c r="G998" s="1915"/>
      <c r="I998" s="2155" t="str">
        <f>'Part VI-Revenues &amp; Expenses'!I229</f>
        <v>Healthy Eating Initiative</v>
      </c>
      <c r="J998" s="2155"/>
      <c r="K998" s="2155"/>
      <c r="L998" s="1915">
        <f>'Part VI-Revenues &amp; Expenses'!L229</f>
        <v>3500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8500</v>
      </c>
      <c r="G999" s="1915"/>
      <c r="K999" s="1948" t="s">
        <v>187</v>
      </c>
      <c r="L999" s="1917">
        <f>SUM(L995:L998)</f>
        <v>11500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0</v>
      </c>
      <c r="G1002" s="1915"/>
      <c r="I1002" s="1815" t="s">
        <v>1348</v>
      </c>
      <c r="K1002" s="1821" t="s">
        <v>4435</v>
      </c>
      <c r="O1002" s="1815" t="s">
        <v>3359</v>
      </c>
      <c r="Q1002" s="2220">
        <f>'Part VI-Revenues &amp; Expenses'!Q233</f>
        <v>12000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Misc Administrative</v>
      </c>
      <c r="C1003" s="449"/>
      <c r="D1003" s="449"/>
      <c r="E1003" s="449"/>
      <c r="F1003" s="1915">
        <f>'Part VI-Revenues &amp; Expenses'!F234</f>
        <v>4380</v>
      </c>
      <c r="G1003" s="1915"/>
      <c r="I1003" s="1815" t="s">
        <v>1341</v>
      </c>
      <c r="K1003" s="1864">
        <f>L1003/12/P836</f>
        <v>31.25</v>
      </c>
      <c r="L1003" s="1915">
        <f>'Part VI-Revenues &amp; Expenses'!L234</f>
        <v>18000</v>
      </c>
      <c r="M1003" s="1915"/>
      <c r="N1003" s="1897" t="str">
        <f>IF(Q1002&lt;Q1011, "WARNING! RR proposed is below the DCA required minimum.","")</f>
        <v/>
      </c>
      <c r="O1003" s="449" t="s">
        <v>4434</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14755</v>
      </c>
      <c r="G1004" s="1915"/>
      <c r="I1004" s="1815" t="s">
        <v>1342</v>
      </c>
      <c r="K1004" s="1864">
        <f>L1004/12/P836</f>
        <v>0</v>
      </c>
      <c r="L1004" s="1915">
        <f>'Part VI-Revenues &amp; Expenses'!L235</f>
        <v>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5.208333333333333</v>
      </c>
      <c r="L1005" s="1915">
        <f>'Part VI-Revenues &amp; Expenses'!L236</f>
        <v>3000</v>
      </c>
      <c r="M1005" s="1915"/>
      <c r="N1005" s="1897"/>
      <c r="O1005" s="1945" t="s">
        <v>2633</v>
      </c>
      <c r="P1005" s="1817" t="s">
        <v>3633</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5000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0</v>
      </c>
      <c r="G1007" s="1915"/>
      <c r="I1007" s="2155" t="str">
        <f>'Part VI-Revenues &amp; Expenses'!I238</f>
        <v>Cable TV / Internet</v>
      </c>
      <c r="J1007" s="2155"/>
      <c r="K1007" s="2155"/>
      <c r="L1007" s="1915">
        <f>'Part VI-Revenues &amp; Expenses'!L238</f>
        <v>1200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3500</v>
      </c>
      <c r="G1008" s="1915"/>
      <c r="K1008" s="1948" t="s">
        <v>187</v>
      </c>
      <c r="L1008" s="1917">
        <f>SUM(L1003:L1007)</f>
        <v>27200</v>
      </c>
      <c r="M1008" s="1917"/>
      <c r="N1008" s="1897"/>
      <c r="O1008" s="1822" t="s">
        <v>3313</v>
      </c>
      <c r="P1008" s="1925" t="str">
        <f>CONCATENATE(SUM(MU817:MY817)," units x $",'DCA Underwriting Assumptions'!$Q$69," =")</f>
        <v>48 units x $250 =</v>
      </c>
      <c r="Q1008" s="1925">
        <f>SUM(MU817:MY817)*'DCA Underwriting Assumptions'!$Q$69</f>
        <v>12000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15000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7000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1200</v>
      </c>
      <c r="G1011" s="1915"/>
      <c r="I1011" s="1815" t="s">
        <v>1349</v>
      </c>
      <c r="O1011" s="1904" t="s">
        <v>2636</v>
      </c>
      <c r="P1011" s="1926">
        <f>SUM(MP817:MT817)+SUM(MU817:MY817)+SUM(MZ817:ND817)+P894</f>
        <v>48</v>
      </c>
      <c r="Q1011" s="1926">
        <f>SUM(Q1007:Q1010)</f>
        <v>12000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3000</v>
      </c>
      <c r="G1012" s="1915"/>
      <c r="I1012" s="1815" t="s">
        <v>6826</v>
      </c>
      <c r="L1012" s="1915">
        <f>'Part VI-Revenues &amp; Expenses'!L243</f>
        <v>36000</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500</v>
      </c>
      <c r="G1013" s="1915"/>
      <c r="I1013" s="1815" t="s">
        <v>143</v>
      </c>
      <c r="L1013" s="1915">
        <f>'Part VI-Revenues &amp; Expenses'!L244</f>
        <v>20530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Personal property taxes</v>
      </c>
      <c r="J1014" s="2155"/>
      <c r="K1014" s="2155"/>
      <c r="L1014" s="1915">
        <f>'Part VI-Revenues &amp; Expenses'!L245</f>
        <v>500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30200</v>
      </c>
      <c r="G1015" s="1915"/>
      <c r="K1015" s="1948" t="s">
        <v>187</v>
      </c>
      <c r="L1015" s="1917">
        <f>SUM(L1011:L1014)</f>
        <v>57030</v>
      </c>
      <c r="M1015" s="1917"/>
      <c r="O1015" s="1815" t="s">
        <v>2136</v>
      </c>
      <c r="Q1015" s="1917">
        <f>Q996+Q1002</f>
        <v>247177</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4421</v>
      </c>
      <c r="C1019" s="1948"/>
      <c r="H1019" s="1906"/>
      <c r="I1019" s="1927" t="s">
        <v>4422</v>
      </c>
      <c r="K1019" s="1917">
        <f>'Part VI-Revenues &amp; Expenses'!K250</f>
        <v>0</v>
      </c>
      <c r="L1019" s="1917"/>
      <c r="M1019" s="1922" t="s">
        <v>4478</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Please see Tab 1 in the application for documentation of real estate taxes and insurance calculations.</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2020-067 Boxwood Heights, ,  County</v>
      </c>
      <c r="L1029" s="1815"/>
      <c r="M1029" s="1815"/>
      <c r="N1029" s="1815" t="str">
        <f>A1029</f>
        <v>PART SEVEN - OPERATING PRO FORMA  -  2020-067 Boxwood Heights,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6870</v>
      </c>
      <c r="N1031" s="1995" t="str">
        <f>A1031</f>
        <v>I.  OPERATING ASSUMPTIONS</v>
      </c>
    </row>
    <row r="1032" spans="1:16" ht="2.4" customHeight="1">
      <c r="C1032" s="2120"/>
    </row>
    <row r="1033" spans="1:16" ht="13.5" customHeight="1">
      <c r="A1033" s="1995" t="s">
        <v>2137</v>
      </c>
      <c r="B1033" s="1928">
        <v>0.02</v>
      </c>
      <c r="C1033" s="2120"/>
      <c r="D1033" s="1910" t="s">
        <v>6827</v>
      </c>
      <c r="E1033" s="1910"/>
      <c r="F1033" s="1910"/>
      <c r="G1033" s="2221">
        <f>'Part VII-Pro Forma'!G5</f>
        <v>5000</v>
      </c>
      <c r="H1033" s="1913" t="s">
        <v>1859</v>
      </c>
      <c r="K1033" s="1929">
        <f>'Part VII-Pro Forma'!K5</f>
        <v>-1.6015598259956756E-2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7.3799876781880727E-2</v>
      </c>
      <c r="N1035" s="1910"/>
      <c r="O1035" s="1910"/>
    </row>
    <row r="1036" spans="1:16" ht="13.35" customHeight="1">
      <c r="A1036" s="1995" t="s">
        <v>2139</v>
      </c>
      <c r="B1036" s="1928">
        <f>'Part VII-Pro Forma'!B8</f>
        <v>7.0000000000000007E-2</v>
      </c>
      <c r="C1036" s="1821" t="str">
        <f>IF(B1036&lt;0.07, "Must be &gt;= 7%!","")</f>
        <v/>
      </c>
      <c r="D1036" s="1815" t="s">
        <v>2442</v>
      </c>
      <c r="G1036" s="2222" t="str">
        <f>'Part VII-Pro Forma'!G8</f>
        <v>Yes</v>
      </c>
      <c r="H1036" s="1931" t="s">
        <v>1416</v>
      </c>
      <c r="K1036" s="2223">
        <f>'Part VII-Pro Forma'!K8</f>
        <v>23040</v>
      </c>
      <c r="N1036" s="1910"/>
      <c r="O1036" s="1910"/>
    </row>
    <row r="1037" spans="1:16">
      <c r="A1037" s="1995" t="s">
        <v>1390</v>
      </c>
      <c r="B1037" s="1928">
        <v>0.02</v>
      </c>
      <c r="D1037" s="1815" t="s">
        <v>1676</v>
      </c>
      <c r="G1037" s="2222">
        <f>'Part VII-Pro Forma'!G9</f>
        <v>0</v>
      </c>
      <c r="H1037" s="1931" t="s">
        <v>2295</v>
      </c>
      <c r="K1037" s="2224">
        <f>'Part VII-Pro Forma'!K9</f>
        <v>0</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329112</v>
      </c>
      <c r="C1042" s="2122">
        <f>'Part VII-Pro Forma'!C14</f>
        <v>335694.24</v>
      </c>
      <c r="D1042" s="2122">
        <f>'Part VII-Pro Forma'!D14</f>
        <v>342408.12479999999</v>
      </c>
      <c r="E1042" s="2122">
        <f>'Part VII-Pro Forma'!E14</f>
        <v>349256.28729599999</v>
      </c>
      <c r="F1042" s="2122">
        <f>'Part VII-Pro Forma'!F14</f>
        <v>356241.41304191999</v>
      </c>
      <c r="G1042" s="2122">
        <f>'Part VII-Pro Forma'!G14</f>
        <v>363366.2413027584</v>
      </c>
      <c r="H1042" s="2122">
        <f>'Part VII-Pro Forma'!H14</f>
        <v>370633.5661288136</v>
      </c>
      <c r="I1042" s="2122">
        <f>'Part VII-Pro Forma'!I14</f>
        <v>378046.23745138978</v>
      </c>
      <c r="J1042" s="2122">
        <f>'Part VII-Pro Forma'!J14</f>
        <v>385607.1622004176</v>
      </c>
      <c r="K1042" s="2122">
        <f>'Part VII-Pro Forma'!K14</f>
        <v>393319.30544442596</v>
      </c>
      <c r="N1042" s="1910"/>
      <c r="O1042" s="1910"/>
      <c r="S1042" s="1918" t="s">
        <v>3834</v>
      </c>
    </row>
    <row r="1043" spans="1:19" ht="13.35" customHeight="1">
      <c r="A1043" s="1995" t="s">
        <v>994</v>
      </c>
      <c r="B1043" s="2122">
        <f>'Part VII-Pro Forma'!B15</f>
        <v>6582.24</v>
      </c>
      <c r="C1043" s="2122">
        <f>'Part VII-Pro Forma'!C15</f>
        <v>6713.8847999999998</v>
      </c>
      <c r="D1043" s="2122">
        <f>'Part VII-Pro Forma'!D15</f>
        <v>6848.1624959999999</v>
      </c>
      <c r="E1043" s="2122">
        <f>'Part VII-Pro Forma'!E15</f>
        <v>6985.1257459199996</v>
      </c>
      <c r="F1043" s="2122">
        <f>'Part VII-Pro Forma'!F15</f>
        <v>7124.8282608383997</v>
      </c>
      <c r="G1043" s="2122">
        <f>'Part VII-Pro Forma'!G15</f>
        <v>7267.3248260551682</v>
      </c>
      <c r="H1043" s="2122">
        <f>'Part VII-Pro Forma'!H15</f>
        <v>7412.6713225762715</v>
      </c>
      <c r="I1043" s="2122">
        <f>'Part VII-Pro Forma'!I15</f>
        <v>7560.9247490277958</v>
      </c>
      <c r="J1043" s="2122">
        <f>'Part VII-Pro Forma'!J15</f>
        <v>7712.1432440083518</v>
      </c>
      <c r="K1043" s="2122">
        <f>'Part VII-Pro Forma'!K15</f>
        <v>7866.3861088885187</v>
      </c>
      <c r="N1043" s="1910"/>
      <c r="O1043" s="1910"/>
      <c r="S1043" s="1918"/>
    </row>
    <row r="1044" spans="1:19" ht="13.35" customHeight="1">
      <c r="A1044" s="1995" t="s">
        <v>2342</v>
      </c>
      <c r="B1044" s="2122">
        <f>'Part VII-Pro Forma'!B16</f>
        <v>-23498.596800000003</v>
      </c>
      <c r="C1044" s="2122">
        <f>'Part VII-Pro Forma'!C16</f>
        <v>-23968.568736000001</v>
      </c>
      <c r="D1044" s="2122">
        <f>'Part VII-Pro Forma'!D16</f>
        <v>-24447.940110720003</v>
      </c>
      <c r="E1044" s="2122">
        <f>'Part VII-Pro Forma'!E16</f>
        <v>-24936.898912934401</v>
      </c>
      <c r="F1044" s="2122">
        <f>'Part VII-Pro Forma'!F16</f>
        <v>-25435.636891193091</v>
      </c>
      <c r="G1044" s="2122">
        <f>'Part VII-Pro Forma'!G16</f>
        <v>-25944.34962901695</v>
      </c>
      <c r="H1044" s="2122">
        <f>'Part VII-Pro Forma'!H16</f>
        <v>-26463.236621597294</v>
      </c>
      <c r="I1044" s="2122">
        <f>'Part VII-Pro Forma'!I16</f>
        <v>-26992.501354029235</v>
      </c>
      <c r="J1044" s="2122">
        <f>'Part VII-Pro Forma'!J16</f>
        <v>-27532.35138110982</v>
      </c>
      <c r="K1044" s="2122">
        <f>'Part VII-Pro Forma'!K16</f>
        <v>-28082.998408732019</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312195.64319999999</v>
      </c>
      <c r="C1047" s="2122">
        <f>'Part VII-Pro Forma'!C19</f>
        <v>318439.556064</v>
      </c>
      <c r="D1047" s="2122">
        <f>'Part VII-Pro Forma'!D19</f>
        <v>324808.34718528</v>
      </c>
      <c r="E1047" s="2122">
        <f>'Part VII-Pro Forma'!E19</f>
        <v>331304.51412898558</v>
      </c>
      <c r="F1047" s="2122">
        <f>'Part VII-Pro Forma'!F19</f>
        <v>337930.60441156529</v>
      </c>
      <c r="G1047" s="2122">
        <f>'Part VII-Pro Forma'!G19</f>
        <v>344689.2164997966</v>
      </c>
      <c r="H1047" s="2122">
        <f>'Part VII-Pro Forma'!H19</f>
        <v>351583.00082979258</v>
      </c>
      <c r="I1047" s="2122">
        <f>'Part VII-Pro Forma'!I19</f>
        <v>358614.66084638837</v>
      </c>
      <c r="J1047" s="2122">
        <f>'Part VII-Pro Forma'!J19</f>
        <v>365786.95406331617</v>
      </c>
      <c r="K1047" s="2122">
        <f>'Part VII-Pro Forma'!K19</f>
        <v>373102.6931445825</v>
      </c>
      <c r="N1047" s="1910"/>
      <c r="O1047" s="1910"/>
    </row>
    <row r="1048" spans="1:19" ht="13.35" customHeight="1">
      <c r="A1048" s="1995" t="s">
        <v>597</v>
      </c>
      <c r="B1048" s="2122">
        <f>'Part VII-Pro Forma'!B20</f>
        <v>-212137</v>
      </c>
      <c r="C1048" s="2122">
        <f>'Part VII-Pro Forma'!C20</f>
        <v>-218501.11000000002</v>
      </c>
      <c r="D1048" s="2122">
        <f>'Part VII-Pro Forma'!D20</f>
        <v>-225056.1433</v>
      </c>
      <c r="E1048" s="2122">
        <f>'Part VII-Pro Forma'!E20</f>
        <v>-231807.82759900001</v>
      </c>
      <c r="F1048" s="2122">
        <f>'Part VII-Pro Forma'!F20</f>
        <v>-238762.06242696999</v>
      </c>
      <c r="G1048" s="2122">
        <f>'Part VII-Pro Forma'!G20</f>
        <v>-245924.92429977906</v>
      </c>
      <c r="H1048" s="2122">
        <f>'Part VII-Pro Forma'!H20</f>
        <v>-253302.67202877245</v>
      </c>
      <c r="I1048" s="2122">
        <f>'Part VII-Pro Forma'!I20</f>
        <v>-260901.75218963565</v>
      </c>
      <c r="J1048" s="2122">
        <f>'Part VII-Pro Forma'!J20</f>
        <v>-268728.80475532467</v>
      </c>
      <c r="K1048" s="2122">
        <f>'Part VII-Pro Forma'!K20</f>
        <v>-276790.66889798443</v>
      </c>
      <c r="N1048" s="1910"/>
      <c r="O1048" s="1910"/>
      <c r="Q1048" s="1874">
        <v>1</v>
      </c>
      <c r="R1048" s="1900">
        <f>'Part VII-Pro Forma'!R20</f>
        <v>19127</v>
      </c>
      <c r="S1048" s="1900">
        <f>'Part VII-Pro Forma'!S20</f>
        <v>60018.643199999991</v>
      </c>
    </row>
    <row r="1049" spans="1:19" ht="13.35" customHeight="1">
      <c r="A1049" s="1995" t="s">
        <v>1093</v>
      </c>
      <c r="B1049" s="2122">
        <f>'Part VII-Pro Forma'!B21</f>
        <v>-23040</v>
      </c>
      <c r="C1049" s="2122">
        <f>'Part VII-Pro Forma'!C21</f>
        <v>-23731</v>
      </c>
      <c r="D1049" s="2122">
        <f>'Part VII-Pro Forma'!D21</f>
        <v>-24443</v>
      </c>
      <c r="E1049" s="2122">
        <f>'Part VII-Pro Forma'!E21</f>
        <v>-25176</v>
      </c>
      <c r="F1049" s="2122">
        <f>'Part VII-Pro Forma'!F21</f>
        <v>-25932</v>
      </c>
      <c r="G1049" s="2122">
        <f>'Part VII-Pro Forma'!G21</f>
        <v>-26710</v>
      </c>
      <c r="H1049" s="2122">
        <f>'Part VII-Pro Forma'!H21</f>
        <v>-27511</v>
      </c>
      <c r="I1049" s="2122">
        <f>'Part VII-Pro Forma'!I21</f>
        <v>-28336</v>
      </c>
      <c r="J1049" s="2122">
        <f>'Part VII-Pro Forma'!J21</f>
        <v>-29186</v>
      </c>
      <c r="K1049" s="2122">
        <f>'Part VII-Pro Forma'!K21</f>
        <v>-30062</v>
      </c>
      <c r="N1049" s="1910"/>
      <c r="O1049" s="1910"/>
      <c r="Q1049" s="1874">
        <v>2</v>
      </c>
      <c r="R1049" s="1900">
        <f>'Part VII-Pro Forma'!R21</f>
        <v>19127</v>
      </c>
      <c r="S1049" s="1900">
        <f>'Part VII-Pro Forma'!S21</f>
        <v>118866.08926399998</v>
      </c>
    </row>
    <row r="1050" spans="1:19" ht="13.35" customHeight="1">
      <c r="A1050" s="1995" t="s">
        <v>1176</v>
      </c>
      <c r="B1050" s="2122">
        <f>'Part VII-Pro Forma'!B22</f>
        <v>-12000</v>
      </c>
      <c r="C1050" s="2122">
        <f>'Part VII-Pro Forma'!C22</f>
        <v>-12360</v>
      </c>
      <c r="D1050" s="2122">
        <f>'Part VII-Pro Forma'!D22</f>
        <v>-12730.8</v>
      </c>
      <c r="E1050" s="2122">
        <f>'Part VII-Pro Forma'!E22</f>
        <v>-13112.724</v>
      </c>
      <c r="F1050" s="2122">
        <f>'Part VII-Pro Forma'!F22</f>
        <v>-13506.10572</v>
      </c>
      <c r="G1050" s="2122">
        <f>'Part VII-Pro Forma'!G22</f>
        <v>-13911.288891599997</v>
      </c>
      <c r="H1050" s="2122">
        <f>'Part VII-Pro Forma'!H22</f>
        <v>-14328.627558347998</v>
      </c>
      <c r="I1050" s="2122">
        <f>'Part VII-Pro Forma'!I22</f>
        <v>-14758.48638509844</v>
      </c>
      <c r="J1050" s="2122">
        <f>'Part VII-Pro Forma'!J22</f>
        <v>-15201.240976651392</v>
      </c>
      <c r="K1050" s="2122">
        <f>'Part VII-Pro Forma'!K22</f>
        <v>-15657.278205950934</v>
      </c>
      <c r="N1050" s="1910"/>
      <c r="O1050" s="1910"/>
      <c r="Q1050" s="1874">
        <v>3</v>
      </c>
      <c r="R1050" s="1900">
        <f>'Part VII-Pro Forma'!R22</f>
        <v>19127</v>
      </c>
      <c r="S1050" s="1900">
        <f>'Part VII-Pro Forma'!S22</f>
        <v>176444.49314927997</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19127</v>
      </c>
      <c r="S1051" s="1900">
        <f>'Part VII-Pro Forma'!S23</f>
        <v>232652.45567926555</v>
      </c>
    </row>
    <row r="1052" spans="1:19" ht="13.35" customHeight="1">
      <c r="A1052" s="1995" t="s">
        <v>1177</v>
      </c>
      <c r="B1052" s="2122">
        <f>'Part VII-Pro Forma'!B24</f>
        <v>65018.643199999991</v>
      </c>
      <c r="C1052" s="2122">
        <f>'Part VII-Pro Forma'!C24</f>
        <v>63847.446063999989</v>
      </c>
      <c r="D1052" s="2122">
        <f>'Part VII-Pro Forma'!D24</f>
        <v>62578.40388528</v>
      </c>
      <c r="E1052" s="2122">
        <f>'Part VII-Pro Forma'!E24</f>
        <v>61207.962529985569</v>
      </c>
      <c r="F1052" s="2122">
        <f>'Part VII-Pro Forma'!F24</f>
        <v>59730.436264595301</v>
      </c>
      <c r="G1052" s="2122">
        <f>'Part VII-Pro Forma'!G24</f>
        <v>58143.003308417552</v>
      </c>
      <c r="H1052" s="2122">
        <f>'Part VII-Pro Forma'!H24</f>
        <v>56440.701242672134</v>
      </c>
      <c r="I1052" s="2122">
        <f>'Part VII-Pro Forma'!I24</f>
        <v>54618.422271654286</v>
      </c>
      <c r="J1052" s="2122">
        <f>'Part VII-Pro Forma'!J24</f>
        <v>52670.908331340106</v>
      </c>
      <c r="K1052" s="2122">
        <f>'Part VII-Pro Forma'!K24</f>
        <v>50592.746040647136</v>
      </c>
      <c r="N1052" s="1910"/>
      <c r="O1052" s="1910"/>
      <c r="Q1052" s="1874">
        <v>5</v>
      </c>
      <c r="R1052" s="1900">
        <f>'Part VII-Pro Forma'!R24</f>
        <v>19127</v>
      </c>
      <c r="S1052" s="1900">
        <f>'Part VII-Pro Forma'!S24</f>
        <v>287382.89194386086</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19127</v>
      </c>
      <c r="S1053" s="1900">
        <f>'Part VII-Pro Forma'!S25</f>
        <v>340525.89525227842</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19127</v>
      </c>
      <c r="S1054" s="1900">
        <f>'Part VII-Pro Forma'!S26</f>
        <v>391966.59649495059</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19127</v>
      </c>
      <c r="S1055" s="1900">
        <f>'Part VII-Pro Forma'!S27</f>
        <v>441585.01876660489</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19127</v>
      </c>
      <c r="S1056" s="1900">
        <f>'Part VII-Pro Forma'!S28</f>
        <v>489255.92709794501</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19127</v>
      </c>
      <c r="S1057" s="1900">
        <f>'Part VII-Pro Forma'!S29</f>
        <v>534848.67313859216</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-5000</v>
      </c>
      <c r="H1058" s="2122">
        <f>'Part VII-Pro Forma'!H30</f>
        <v>-5000</v>
      </c>
      <c r="I1058" s="2122">
        <f>'Part VII-Pro Forma'!I30</f>
        <v>-5000</v>
      </c>
      <c r="J1058" s="2122">
        <f>'Part VII-Pro Forma'!J30</f>
        <v>-5000</v>
      </c>
      <c r="K1058" s="2122">
        <f>'Part VII-Pro Forma'!K30</f>
        <v>-5000</v>
      </c>
      <c r="N1058" s="1910"/>
      <c r="O1058" s="1910"/>
      <c r="Q1058" s="1874">
        <v>11</v>
      </c>
      <c r="R1058" s="1900">
        <f>'Part VII-Pro Forma'!R30</f>
        <v>19127</v>
      </c>
      <c r="S1058" s="1900">
        <f>'Part VII-Pro Forma'!S30</f>
        <v>578228.03462901281</v>
      </c>
    </row>
    <row r="1059" spans="1:19" ht="13.35" customHeight="1">
      <c r="A1059" s="1995" t="s">
        <v>3768</v>
      </c>
      <c r="B1059" s="2122">
        <f>'Part VII-Pro Forma'!B31</f>
        <v>-19127</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19127</v>
      </c>
      <c r="S1059" s="1900">
        <f>'Part VII-Pro Forma'!S31</f>
        <v>619253.0494940714</v>
      </c>
    </row>
    <row r="1060" spans="1:19" ht="13.35" customHeight="1">
      <c r="A1060" s="1995" t="s">
        <v>1142</v>
      </c>
      <c r="B1060" s="2122">
        <f>'Part VII-Pro Forma'!B32</f>
        <v>40891.643199999991</v>
      </c>
      <c r="C1060" s="2122">
        <f>'Part VII-Pro Forma'!C32</f>
        <v>58847.446063999989</v>
      </c>
      <c r="D1060" s="2122">
        <f>'Part VII-Pro Forma'!D32</f>
        <v>57578.40388528</v>
      </c>
      <c r="E1060" s="2122">
        <f>'Part VII-Pro Forma'!E32</f>
        <v>56207.962529985569</v>
      </c>
      <c r="F1060" s="2122">
        <f>'Part VII-Pro Forma'!F32</f>
        <v>54730.436264595301</v>
      </c>
      <c r="G1060" s="2122">
        <f>'Part VII-Pro Forma'!G32</f>
        <v>53143.003308417552</v>
      </c>
      <c r="H1060" s="2122">
        <f>'Part VII-Pro Forma'!H32</f>
        <v>51440.701242672134</v>
      </c>
      <c r="I1060" s="2122">
        <f>'Part VII-Pro Forma'!I32</f>
        <v>49618.422271654286</v>
      </c>
      <c r="J1060" s="2122">
        <f>'Part VII-Pro Forma'!J32</f>
        <v>47670.908331340106</v>
      </c>
      <c r="K1060" s="2122">
        <f>'Part VII-Pro Forma'!K32</f>
        <v>45592.746040647136</v>
      </c>
      <c r="N1060" s="1910"/>
      <c r="O1060" s="1910"/>
      <c r="Q1060" s="1874">
        <v>13</v>
      </c>
      <c r="R1060" s="1900">
        <f>'Part VII-Pro Forma'!R32</f>
        <v>19127</v>
      </c>
      <c r="S1060" s="1900">
        <f>'Part VII-Pro Forma'!S32</f>
        <v>657776.84438560554</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19127</v>
      </c>
      <c r="S1061" s="1900">
        <f>'Part VII-Pro Forma'!S33</f>
        <v>693647.45749602001</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19127</v>
      </c>
      <c r="S1062" s="1900">
        <f>'Part VII-Pro Forma'!S34</f>
        <v>726705.65545932378</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19127</v>
      </c>
      <c r="S1063" s="1900">
        <f>'Part VII-Pro Forma'!S35</f>
        <v>756785.74415029492</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19127</v>
      </c>
      <c r="S1064" s="1900">
        <f>'Part VII-Pro Forma'!S36</f>
        <v>783717.37318653928</v>
      </c>
    </row>
    <row r="1065" spans="1:19" ht="13.35" customHeight="1">
      <c r="A1065" s="1995" t="s">
        <v>3532</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19127</v>
      </c>
      <c r="S1065" s="1900">
        <f>'Part VII-Pro Forma'!S37</f>
        <v>807320.33393210557</v>
      </c>
    </row>
    <row r="1066" spans="1:19" ht="13.35" customHeight="1">
      <c r="A1066" s="1995" t="s">
        <v>752</v>
      </c>
      <c r="B1066" s="2122">
        <f>'Part VII-Pro Forma'!B38</f>
        <v>1.263044875534536</v>
      </c>
      <c r="C1066" s="2122">
        <f>'Part VII-Pro Forma'!C38</f>
        <v>1.2507832865048332</v>
      </c>
      <c r="D1066" s="2122">
        <f>'Part VII-Pro Forma'!D38</f>
        <v>1.2386394288072899</v>
      </c>
      <c r="E1066" s="2122">
        <f>'Part VII-Pro Forma'!E38</f>
        <v>1.2266151202880156</v>
      </c>
      <c r="F1066" s="2122">
        <f>'Part VII-Pro Forma'!F38</f>
        <v>1.2147030918868476</v>
      </c>
      <c r="G1066" s="2122">
        <f>'Part VII-Pro Forma'!G38</f>
        <v>1.2029096900665894</v>
      </c>
      <c r="H1066" s="2122">
        <f>'Part VII-Pro Forma'!H38</f>
        <v>1.191232166048811</v>
      </c>
      <c r="I1066" s="2122">
        <f>'Part VII-Pro Forma'!I38</f>
        <v>1.1796680857885911</v>
      </c>
      <c r="J1066" s="2122">
        <f>'Part VII-Pro Forma'!J38</f>
        <v>1.1682152960516941</v>
      </c>
      <c r="K1066" s="2122">
        <f>'Part VII-Pro Forma'!K38</f>
        <v>1.1568718933941675</v>
      </c>
      <c r="N1066" s="1910"/>
      <c r="O1066" s="1910"/>
      <c r="Q1066" s="1874">
        <v>19</v>
      </c>
      <c r="R1066" s="1900">
        <f>'Part VII-Pro Forma'!R38</f>
        <v>19127</v>
      </c>
      <c r="S1066" s="1900">
        <f>'Part VII-Pro Forma'!S38</f>
        <v>827410.35079503828</v>
      </c>
    </row>
    <row r="1067" spans="1:19" ht="13.35" customHeight="1">
      <c r="A1067" s="1995" t="s">
        <v>2549</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19127</v>
      </c>
      <c r="S1067" s="1900">
        <f>'Part VII-Pro Forma'!S39</f>
        <v>843793.86560475838</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401185.69155331451</v>
      </c>
      <c r="C1074" s="2122">
        <f>'Part VII-Pro Forma'!C46</f>
        <v>409209.40538438072</v>
      </c>
      <c r="D1074" s="2122">
        <f>'Part VII-Pro Forma'!D46</f>
        <v>417393.59349206841</v>
      </c>
      <c r="E1074" s="2122">
        <f>'Part VII-Pro Forma'!E46</f>
        <v>425741.46536190977</v>
      </c>
      <c r="F1074" s="2122">
        <f>'Part VII-Pro Forma'!F46</f>
        <v>434256.29466914799</v>
      </c>
      <c r="G1074" s="2122">
        <f>'Part VII-Pro Forma'!G46</f>
        <v>442941.42056253081</v>
      </c>
      <c r="H1074" s="2122">
        <f>'Part VII-Pro Forma'!H46</f>
        <v>451800.24897378153</v>
      </c>
      <c r="I1074" s="2122">
        <f>'Part VII-Pro Forma'!I46</f>
        <v>460836.25395325717</v>
      </c>
      <c r="J1074" s="2122">
        <f>'Part VII-Pro Forma'!J46</f>
        <v>470052.97903232224</v>
      </c>
      <c r="K1074" s="2122">
        <f>'Part VII-Pro Forma'!K46</f>
        <v>479454.0386129687</v>
      </c>
      <c r="N1074" s="1910"/>
      <c r="O1074" s="1910"/>
    </row>
    <row r="1075" spans="1:19" ht="13.35" customHeight="1">
      <c r="A1075" s="1995" t="s">
        <v>994</v>
      </c>
      <c r="B1075" s="2122">
        <f>'Part VII-Pro Forma'!B47</f>
        <v>8023.7138310662895</v>
      </c>
      <c r="C1075" s="2122">
        <f>'Part VII-Pro Forma'!C47</f>
        <v>8184.1881076876143</v>
      </c>
      <c r="D1075" s="2122">
        <f>'Part VII-Pro Forma'!D47</f>
        <v>8347.8718698413668</v>
      </c>
      <c r="E1075" s="2122">
        <f>'Part VII-Pro Forma'!E47</f>
        <v>8514.8293072381948</v>
      </c>
      <c r="F1075" s="2122">
        <f>'Part VII-Pro Forma'!F47</f>
        <v>8685.1258933829595</v>
      </c>
      <c r="G1075" s="2122">
        <f>'Part VII-Pro Forma'!G47</f>
        <v>8858.8284112506153</v>
      </c>
      <c r="H1075" s="2122">
        <f>'Part VII-Pro Forma'!H47</f>
        <v>9036.0049794756305</v>
      </c>
      <c r="I1075" s="2122">
        <f>'Part VII-Pro Forma'!I47</f>
        <v>9216.7250790651433</v>
      </c>
      <c r="J1075" s="2122">
        <f>'Part VII-Pro Forma'!J47</f>
        <v>9401.0595806464444</v>
      </c>
      <c r="K1075" s="2122">
        <f>'Part VII-Pro Forma'!K47</f>
        <v>9589.0807722593745</v>
      </c>
      <c r="N1075" s="1910"/>
      <c r="O1075" s="1910"/>
    </row>
    <row r="1076" spans="1:19" ht="13.35" customHeight="1">
      <c r="A1076" s="1995" t="s">
        <v>2342</v>
      </c>
      <c r="B1076" s="2122">
        <f>'Part VII-Pro Forma'!B48</f>
        <v>-28644.658376906656</v>
      </c>
      <c r="C1076" s="2122">
        <f>'Part VII-Pro Forma'!C48</f>
        <v>-29217.551544444788</v>
      </c>
      <c r="D1076" s="2122">
        <f>'Part VII-Pro Forma'!D48</f>
        <v>-29801.902575333686</v>
      </c>
      <c r="E1076" s="2122">
        <f>'Part VII-Pro Forma'!E48</f>
        <v>-30397.940626840362</v>
      </c>
      <c r="F1076" s="2122">
        <f>'Part VII-Pro Forma'!F48</f>
        <v>-31005.899439377168</v>
      </c>
      <c r="G1076" s="2122">
        <f>'Part VII-Pro Forma'!G48</f>
        <v>-31626.017428164701</v>
      </c>
      <c r="H1076" s="2122">
        <f>'Part VII-Pro Forma'!H48</f>
        <v>-32258.537776728004</v>
      </c>
      <c r="I1076" s="2122">
        <f>'Part VII-Pro Forma'!I48</f>
        <v>-32903.708532262564</v>
      </c>
      <c r="J1076" s="2122">
        <f>'Part VII-Pro Forma'!J48</f>
        <v>-33561.782702907811</v>
      </c>
      <c r="K1076" s="2122">
        <f>'Part VII-Pro Forma'!K48</f>
        <v>-34233.018356965971</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380564.74700747413</v>
      </c>
      <c r="C1079" s="2122">
        <f>'Part VII-Pro Forma'!C51</f>
        <v>388176.04194762354</v>
      </c>
      <c r="D1079" s="2122">
        <f>'Part VII-Pro Forma'!D51</f>
        <v>395939.56278657611</v>
      </c>
      <c r="E1079" s="2122">
        <f>'Part VII-Pro Forma'!E51</f>
        <v>403858.35404230765</v>
      </c>
      <c r="F1079" s="2122">
        <f>'Part VII-Pro Forma'!F51</f>
        <v>411935.52112315374</v>
      </c>
      <c r="G1079" s="2122">
        <f>'Part VII-Pro Forma'!G51</f>
        <v>420174.2315456167</v>
      </c>
      <c r="H1079" s="2122">
        <f>'Part VII-Pro Forma'!H51</f>
        <v>428577.71617652918</v>
      </c>
      <c r="I1079" s="2122">
        <f>'Part VII-Pro Forma'!I51</f>
        <v>437149.27050005971</v>
      </c>
      <c r="J1079" s="2122">
        <f>'Part VII-Pro Forma'!J51</f>
        <v>445892.25591006089</v>
      </c>
      <c r="K1079" s="2122">
        <f>'Part VII-Pro Forma'!K51</f>
        <v>454810.10102826211</v>
      </c>
      <c r="N1079" s="1910"/>
      <c r="O1079" s="1910"/>
    </row>
    <row r="1080" spans="1:19" ht="13.35" customHeight="1">
      <c r="A1080" s="1995" t="s">
        <v>597</v>
      </c>
      <c r="B1080" s="2122">
        <f>'Part VII-Pro Forma'!B52</f>
        <v>-285094.38896492397</v>
      </c>
      <c r="C1080" s="2122">
        <f>'Part VII-Pro Forma'!C52</f>
        <v>-293647.22063387168</v>
      </c>
      <c r="D1080" s="2122">
        <f>'Part VII-Pro Forma'!D52</f>
        <v>-302456.63725288777</v>
      </c>
      <c r="E1080" s="2122">
        <f>'Part VII-Pro Forma'!E52</f>
        <v>-311530.33637047443</v>
      </c>
      <c r="F1080" s="2122">
        <f>'Part VII-Pro Forma'!F52</f>
        <v>-320876.24646158866</v>
      </c>
      <c r="G1080" s="2122">
        <f>'Part VII-Pro Forma'!G52</f>
        <v>-330502.53385543637</v>
      </c>
      <c r="H1080" s="2122">
        <f>'Part VII-Pro Forma'!H52</f>
        <v>-340417.60987109941</v>
      </c>
      <c r="I1080" s="2122">
        <f>'Part VII-Pro Forma'!I52</f>
        <v>-350630.13816723239</v>
      </c>
      <c r="J1080" s="2122">
        <f>'Part VII-Pro Forma'!J52</f>
        <v>-361149.04231224937</v>
      </c>
      <c r="K1080" s="2122">
        <f>'Part VII-Pro Forma'!K52</f>
        <v>-371983.5135816168</v>
      </c>
      <c r="N1080" s="1910"/>
      <c r="O1080" s="1910"/>
    </row>
    <row r="1081" spans="1:19" ht="13.35" customHeight="1">
      <c r="A1081" s="1995" t="s">
        <v>1093</v>
      </c>
      <c r="B1081" s="2122">
        <f>'Part VII-Pro Forma'!B53</f>
        <v>-30964</v>
      </c>
      <c r="C1081" s="2122">
        <f>'Part VII-Pro Forma'!C53</f>
        <v>-31893</v>
      </c>
      <c r="D1081" s="2122">
        <f>'Part VII-Pro Forma'!D53</f>
        <v>-32850</v>
      </c>
      <c r="E1081" s="2122">
        <f>'Part VII-Pro Forma'!E53</f>
        <v>-33835</v>
      </c>
      <c r="F1081" s="2122">
        <f>'Part VII-Pro Forma'!F53</f>
        <v>-34850</v>
      </c>
      <c r="G1081" s="2122">
        <f>'Part VII-Pro Forma'!G53</f>
        <v>-35896</v>
      </c>
      <c r="H1081" s="2122">
        <f>'Part VII-Pro Forma'!H53</f>
        <v>-36972</v>
      </c>
      <c r="I1081" s="2122">
        <f>'Part VII-Pro Forma'!I53</f>
        <v>-38082</v>
      </c>
      <c r="J1081" s="2122">
        <f>'Part VII-Pro Forma'!J53</f>
        <v>-39224</v>
      </c>
      <c r="K1081" s="2122">
        <f>'Part VII-Pro Forma'!K53</f>
        <v>-40401</v>
      </c>
      <c r="N1081" s="1910"/>
      <c r="O1081" s="1910"/>
    </row>
    <row r="1082" spans="1:19" ht="13.35" customHeight="1">
      <c r="A1082" s="1995" t="s">
        <v>1176</v>
      </c>
      <c r="B1082" s="2122">
        <f>'Part VII-Pro Forma'!B54</f>
        <v>-16126.996552129462</v>
      </c>
      <c r="C1082" s="2122">
        <f>'Part VII-Pro Forma'!C54</f>
        <v>-16610.806448693347</v>
      </c>
      <c r="D1082" s="2122">
        <f>'Part VII-Pro Forma'!D54</f>
        <v>-17109.130642154145</v>
      </c>
      <c r="E1082" s="2122">
        <f>'Part VII-Pro Forma'!E54</f>
        <v>-17622.404561418767</v>
      </c>
      <c r="F1082" s="2122">
        <f>'Part VII-Pro Forma'!F54</f>
        <v>-18151.076698261331</v>
      </c>
      <c r="G1082" s="2122">
        <f>'Part VII-Pro Forma'!G54</f>
        <v>-18695.608999209173</v>
      </c>
      <c r="H1082" s="2122">
        <f>'Part VII-Pro Forma'!H54</f>
        <v>-19256.477269185445</v>
      </c>
      <c r="I1082" s="2122">
        <f>'Part VII-Pro Forma'!I54</f>
        <v>-19834.171587261008</v>
      </c>
      <c r="J1082" s="2122">
        <f>'Part VII-Pro Forma'!J54</f>
        <v>-20429.196734878838</v>
      </c>
      <c r="K1082" s="2122">
        <f>'Part VII-Pro Forma'!K54</f>
        <v>-21042.072636925204</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48379.361490420692</v>
      </c>
      <c r="C1084" s="2122">
        <f>'Part VII-Pro Forma'!C56</f>
        <v>46025.014865058518</v>
      </c>
      <c r="D1084" s="2122">
        <f>'Part VII-Pro Forma'!D56</f>
        <v>43523.794891534191</v>
      </c>
      <c r="E1084" s="2122">
        <f>'Part VII-Pro Forma'!E56</f>
        <v>40870.613110414459</v>
      </c>
      <c r="F1084" s="2122">
        <f>'Part VII-Pro Forma'!F56</f>
        <v>38058.197963303755</v>
      </c>
      <c r="G1084" s="2122">
        <f>'Part VII-Pro Forma'!G56</f>
        <v>35080.088690971155</v>
      </c>
      <c r="H1084" s="2122">
        <f>'Part VII-Pro Forma'!H56</f>
        <v>31931.629036244325</v>
      </c>
      <c r="I1084" s="2122">
        <f>'Part VII-Pro Forma'!I56</f>
        <v>28602.960745566306</v>
      </c>
      <c r="J1084" s="2122">
        <f>'Part VII-Pro Forma'!J56</f>
        <v>25090.016862932687</v>
      </c>
      <c r="K1084" s="2122">
        <f>'Part VII-Pro Forma'!K56</f>
        <v>21383.514809720105</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-5000</v>
      </c>
      <c r="C1090" s="2122">
        <f>'Part VII-Pro Forma'!C62</f>
        <v>-5000</v>
      </c>
      <c r="D1090" s="2122">
        <f>'Part VII-Pro Forma'!D62</f>
        <v>-5000</v>
      </c>
      <c r="E1090" s="2122">
        <f>'Part VII-Pro Forma'!E62</f>
        <v>-5000</v>
      </c>
      <c r="F1090" s="2122">
        <f>'Part VII-Pro Forma'!F62</f>
        <v>-5000</v>
      </c>
      <c r="G1090" s="2122">
        <f>'Part VII-Pro Forma'!G62</f>
        <v>-5000</v>
      </c>
      <c r="H1090" s="2122">
        <f>'Part VII-Pro Forma'!H62</f>
        <v>-5000</v>
      </c>
      <c r="I1090" s="2122">
        <f>'Part VII-Pro Forma'!I62</f>
        <v>-5000</v>
      </c>
      <c r="J1090" s="2122">
        <f>'Part VII-Pro Forma'!J62</f>
        <v>-5000</v>
      </c>
      <c r="K1090" s="2122">
        <f>'Part VII-Pro Forma'!K62</f>
        <v>-5000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43379.361490420692</v>
      </c>
      <c r="C1092" s="2122">
        <f>'Part VII-Pro Forma'!C64</f>
        <v>41025.014865058518</v>
      </c>
      <c r="D1092" s="2122">
        <f>'Part VII-Pro Forma'!D64</f>
        <v>38523.794891534191</v>
      </c>
      <c r="E1092" s="2122">
        <f>'Part VII-Pro Forma'!E64</f>
        <v>35870.613110414459</v>
      </c>
      <c r="F1092" s="2122">
        <f>'Part VII-Pro Forma'!F64</f>
        <v>33058.197963303755</v>
      </c>
      <c r="G1092" s="2122">
        <f>'Part VII-Pro Forma'!G64</f>
        <v>30080.088690971155</v>
      </c>
      <c r="H1092" s="2122">
        <f>'Part VII-Pro Forma'!H64</f>
        <v>26931.629036244325</v>
      </c>
      <c r="I1092" s="2122">
        <f>'Part VII-Pro Forma'!I64</f>
        <v>23602.960745566306</v>
      </c>
      <c r="J1092" s="2122">
        <f>'Part VII-Pro Forma'!J64</f>
        <v>20090.016862932687</v>
      </c>
      <c r="K1092" s="2122">
        <f>'Part VII-Pro Forma'!K64</f>
        <v>16383.514809720105</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1.1456396446072341</v>
      </c>
      <c r="C1098" s="2122">
        <f>'Part VII-Pro Forma'!C70</f>
        <v>1.1345166643441118</v>
      </c>
      <c r="D1098" s="2122">
        <f>'Part VII-Pro Forma'!D70</f>
        <v>1.1235012699672866</v>
      </c>
      <c r="E1098" s="2122">
        <f>'Part VII-Pro Forma'!E70</f>
        <v>1.1125950231968935</v>
      </c>
      <c r="F1098" s="2122">
        <f>'Part VII-Pro Forma'!F70</f>
        <v>1.1017932771146757</v>
      </c>
      <c r="G1098" s="2122">
        <f>'Part VII-Pro Forma'!G70</f>
        <v>1.0910948383450543</v>
      </c>
      <c r="H1098" s="2122">
        <f>'Part VII-Pro Forma'!H70</f>
        <v>1.0805040817784517</v>
      </c>
      <c r="I1098" s="2122">
        <f>'Part VII-Pro Forma'!I70</f>
        <v>1.0700115508637309</v>
      </c>
      <c r="J1098" s="2122">
        <f>'Part VII-Pro Forma'!J70</f>
        <v>1.0596242475319213</v>
      </c>
      <c r="K1098" s="2122">
        <f>'Part VII-Pro Forma'!K70</f>
        <v>1.0493359555911923</v>
      </c>
      <c r="N1098" s="1910"/>
      <c r="O1098" s="1910"/>
    </row>
    <row r="1099" spans="1:18" ht="13.35" customHeight="1">
      <c r="A1099" s="1995" t="s">
        <v>2549</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489043.11938522814</v>
      </c>
      <c r="C1106" s="2122">
        <f>'Part VII-Pro Forma'!C78</f>
        <v>498823.98177293263</v>
      </c>
      <c r="D1106" s="2122">
        <f>'Part VII-Pro Forma'!D78</f>
        <v>508800.4614083913</v>
      </c>
      <c r="E1106" s="2122">
        <f>'Part VII-Pro Forma'!E78</f>
        <v>518976.47063655907</v>
      </c>
      <c r="F1106" s="2122">
        <f>'Part VII-Pro Forma'!F78</f>
        <v>529356.00004929025</v>
      </c>
      <c r="G1106" s="2122">
        <f>'Part VII-Pro Forma'!G78</f>
        <v>539943.12005027605</v>
      </c>
      <c r="H1106" s="2122">
        <f>'Part VII-Pro Forma'!H78</f>
        <v>550741.98245128163</v>
      </c>
      <c r="I1106" s="2122">
        <f>'Part VII-Pro Forma'!I78</f>
        <v>561756.82210030721</v>
      </c>
      <c r="J1106" s="2122">
        <f>'Part VII-Pro Forma'!J78</f>
        <v>572991.95854231343</v>
      </c>
      <c r="K1106" s="2122">
        <f>'Part VII-Pro Forma'!K78</f>
        <v>584451.79771315958</v>
      </c>
      <c r="N1106" s="1910"/>
      <c r="O1106" s="1910"/>
    </row>
    <row r="1107" spans="1:19" ht="13.35" customHeight="1">
      <c r="A1107" s="1995" t="s">
        <v>994</v>
      </c>
      <c r="B1107" s="2122">
        <f>'Part VII-Pro Forma'!B79</f>
        <v>9780.8623877045629</v>
      </c>
      <c r="C1107" s="2122">
        <f>'Part VII-Pro Forma'!C79</f>
        <v>9976.4796354586524</v>
      </c>
      <c r="D1107" s="2122">
        <f>'Part VII-Pro Forma'!D79</f>
        <v>10176.009228167826</v>
      </c>
      <c r="E1107" s="2122">
        <f>'Part VII-Pro Forma'!E79</f>
        <v>10379.529412731181</v>
      </c>
      <c r="F1107" s="2122">
        <f>'Part VII-Pro Forma'!F79</f>
        <v>10587.120000985806</v>
      </c>
      <c r="G1107" s="2122">
        <f>'Part VII-Pro Forma'!G79</f>
        <v>10798.862401005521</v>
      </c>
      <c r="H1107" s="2122">
        <f>'Part VII-Pro Forma'!H79</f>
        <v>11014.839649025633</v>
      </c>
      <c r="I1107" s="2122">
        <f>'Part VII-Pro Forma'!I79</f>
        <v>11235.136442006144</v>
      </c>
      <c r="J1107" s="2122">
        <f>'Part VII-Pro Forma'!J79</f>
        <v>11459.839170846268</v>
      </c>
      <c r="K1107" s="2122">
        <f>'Part VII-Pro Forma'!K79</f>
        <v>11689.035954263192</v>
      </c>
      <c r="N1107" s="1910"/>
      <c r="O1107" s="1910"/>
    </row>
    <row r="1108" spans="1:19" ht="13.35" customHeight="1">
      <c r="A1108" s="1995" t="s">
        <v>2342</v>
      </c>
      <c r="B1108" s="2122">
        <f>'Part VII-Pro Forma'!B80</f>
        <v>-34917.678724105288</v>
      </c>
      <c r="C1108" s="2122">
        <f>'Part VII-Pro Forma'!C80</f>
        <v>-35616.032298587394</v>
      </c>
      <c r="D1108" s="2122">
        <f>'Part VII-Pro Forma'!D80</f>
        <v>-36328.352944559141</v>
      </c>
      <c r="E1108" s="2122">
        <f>'Part VII-Pro Forma'!E80</f>
        <v>-37054.920003450323</v>
      </c>
      <c r="F1108" s="2122">
        <f>'Part VII-Pro Forma'!F80</f>
        <v>-37796.018403519323</v>
      </c>
      <c r="G1108" s="2122">
        <f>'Part VII-Pro Forma'!G80</f>
        <v>-38551.93877158971</v>
      </c>
      <c r="H1108" s="2122">
        <f>'Part VII-Pro Forma'!H80</f>
        <v>-39322.97754702151</v>
      </c>
      <c r="I1108" s="2122">
        <f>'Part VII-Pro Forma'!I80</f>
        <v>-40109.437097961934</v>
      </c>
      <c r="J1108" s="2122">
        <f>'Part VII-Pro Forma'!J80</f>
        <v>-40911.62583992118</v>
      </c>
      <c r="K1108" s="2122">
        <f>'Part VII-Pro Forma'!K80</f>
        <v>-41729.858356719596</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463906.30304882739</v>
      </c>
      <c r="C1111" s="2122">
        <f>'Part VII-Pro Forma'!C83</f>
        <v>473184.42910980392</v>
      </c>
      <c r="D1111" s="2122">
        <f>'Part VII-Pro Forma'!D83</f>
        <v>482648.117692</v>
      </c>
      <c r="E1111" s="2122">
        <f>'Part VII-Pro Forma'!E83</f>
        <v>492301.08004583995</v>
      </c>
      <c r="F1111" s="2122">
        <f>'Part VII-Pro Forma'!F83</f>
        <v>502147.10164675675</v>
      </c>
      <c r="G1111" s="2122">
        <f>'Part VII-Pro Forma'!G83</f>
        <v>512190.04367969179</v>
      </c>
      <c r="H1111" s="2122">
        <f>'Part VII-Pro Forma'!H83</f>
        <v>522433.84455328569</v>
      </c>
      <c r="I1111" s="2122">
        <f>'Part VII-Pro Forma'!I83</f>
        <v>532882.52144435141</v>
      </c>
      <c r="J1111" s="2122">
        <f>'Part VII-Pro Forma'!J83</f>
        <v>543540.17187323852</v>
      </c>
      <c r="K1111" s="2122">
        <f>'Part VII-Pro Forma'!K83</f>
        <v>554410.97531070316</v>
      </c>
      <c r="N1111" s="1910"/>
      <c r="O1111" s="1910"/>
    </row>
    <row r="1112" spans="1:19" ht="13.35" customHeight="1">
      <c r="A1112" s="1995" t="s">
        <v>597</v>
      </c>
      <c r="B1112" s="2122">
        <f>'Part VII-Pro Forma'!B84</f>
        <v>-383143.01898906531</v>
      </c>
      <c r="C1112" s="2122">
        <f>'Part VII-Pro Forma'!C84</f>
        <v>-394637.30955873721</v>
      </c>
      <c r="D1112" s="2122">
        <f>'Part VII-Pro Forma'!D84</f>
        <v>-406476.42884549941</v>
      </c>
      <c r="E1112" s="2122">
        <f>'Part VII-Pro Forma'!E84</f>
        <v>-418670.7217108644</v>
      </c>
      <c r="F1112" s="2122">
        <f>'Part VII-Pro Forma'!F84</f>
        <v>-431230.84336219024</v>
      </c>
      <c r="G1112" s="2122">
        <f>'Part VII-Pro Forma'!G84</f>
        <v>-444167.76866305596</v>
      </c>
      <c r="H1112" s="2122">
        <f>'Part VII-Pro Forma'!H84</f>
        <v>-457492.80172294768</v>
      </c>
      <c r="I1112" s="2122">
        <f>'Part VII-Pro Forma'!I84</f>
        <v>-471217.58577463607</v>
      </c>
      <c r="J1112" s="2122">
        <f>'Part VII-Pro Forma'!J84</f>
        <v>-485354.11334787519</v>
      </c>
      <c r="K1112" s="2122">
        <f>'Part VII-Pro Forma'!K84</f>
        <v>-499914.73674831138</v>
      </c>
      <c r="N1112" s="1910"/>
      <c r="O1112" s="1910"/>
    </row>
    <row r="1113" spans="1:19" ht="13.35" customHeight="1">
      <c r="A1113" s="1995" t="s">
        <v>1093</v>
      </c>
      <c r="B1113" s="2122">
        <f>'Part VII-Pro Forma'!B85</f>
        <v>-41613</v>
      </c>
      <c r="C1113" s="2122">
        <f>'Part VII-Pro Forma'!C85</f>
        <v>-42861</v>
      </c>
      <c r="D1113" s="2122">
        <f>'Part VII-Pro Forma'!D85</f>
        <v>-44147</v>
      </c>
      <c r="E1113" s="2122">
        <f>'Part VII-Pro Forma'!E85</f>
        <v>-45471</v>
      </c>
      <c r="F1113" s="2122">
        <f>'Part VII-Pro Forma'!F85</f>
        <v>-46836</v>
      </c>
      <c r="G1113" s="2122">
        <f>'Part VII-Pro Forma'!G85</f>
        <v>-48241</v>
      </c>
      <c r="H1113" s="2122">
        <f>'Part VII-Pro Forma'!H85</f>
        <v>-49688</v>
      </c>
      <c r="I1113" s="2122">
        <f>'Part VII-Pro Forma'!I85</f>
        <v>-51178</v>
      </c>
      <c r="J1113" s="2122">
        <f>'Part VII-Pro Forma'!J85</f>
        <v>-52714</v>
      </c>
      <c r="K1113" s="2122">
        <f>'Part VII-Pro Forma'!K85</f>
        <v>-54295</v>
      </c>
      <c r="N1113" s="1910"/>
      <c r="O1113" s="1910"/>
    </row>
    <row r="1114" spans="1:19" ht="13.35" customHeight="1">
      <c r="A1114" s="1995" t="s">
        <v>1176</v>
      </c>
      <c r="B1114" s="2122">
        <f>'Part VII-Pro Forma'!B86</f>
        <v>-21673.334816032959</v>
      </c>
      <c r="C1114" s="2122">
        <f>'Part VII-Pro Forma'!C86</f>
        <v>-22323.534860513944</v>
      </c>
      <c r="D1114" s="2122">
        <f>'Part VII-Pro Forma'!D86</f>
        <v>-22993.240906329367</v>
      </c>
      <c r="E1114" s="2122">
        <f>'Part VII-Pro Forma'!E86</f>
        <v>-23683.038133519247</v>
      </c>
      <c r="F1114" s="2122">
        <f>'Part VII-Pro Forma'!F86</f>
        <v>-24393.529277524824</v>
      </c>
      <c r="G1114" s="2122">
        <f>'Part VII-Pro Forma'!G86</f>
        <v>-25125.335155850567</v>
      </c>
      <c r="H1114" s="2122">
        <f>'Part VII-Pro Forma'!H86</f>
        <v>-25879.095210526088</v>
      </c>
      <c r="I1114" s="2122">
        <f>'Part VII-Pro Forma'!I86</f>
        <v>-26655.468066841866</v>
      </c>
      <c r="J1114" s="2122">
        <f>'Part VII-Pro Forma'!J86</f>
        <v>-27455.132108847123</v>
      </c>
      <c r="K1114" s="2122">
        <f>'Part VII-Pro Forma'!K86</f>
        <v>-28278.786072112533</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17476.949243729123</v>
      </c>
      <c r="C1116" s="2122">
        <f>'Part VII-Pro Forma'!C88</f>
        <v>13362.584690552772</v>
      </c>
      <c r="D1116" s="2122">
        <f>'Part VII-Pro Forma'!D88</f>
        <v>9031.4479401712233</v>
      </c>
      <c r="E1116" s="2122">
        <f>'Part VII-Pro Forma'!E88</f>
        <v>4476.320201456303</v>
      </c>
      <c r="F1116" s="2122">
        <f>'Part VII-Pro Forma'!F88</f>
        <v>-313.27099295830703</v>
      </c>
      <c r="G1116" s="2122">
        <f>'Part VII-Pro Forma'!G88</f>
        <v>-5344.0601392147364</v>
      </c>
      <c r="H1116" s="2122">
        <f>'Part VII-Pro Forma'!H88</f>
        <v>-10626.052380188084</v>
      </c>
      <c r="I1116" s="2122">
        <f>'Part VII-Pro Forma'!I88</f>
        <v>-16168.532397126524</v>
      </c>
      <c r="J1116" s="2122">
        <f>'Part VII-Pro Forma'!J88</f>
        <v>-21983.073583483791</v>
      </c>
      <c r="K1116" s="2122">
        <f>'Part VII-Pro Forma'!K88</f>
        <v>-28077.547509720753</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-5000</v>
      </c>
      <c r="C1122" s="2122">
        <f>'Part VII-Pro Forma'!C94</f>
        <v>-5000</v>
      </c>
      <c r="D1122" s="2122">
        <f>'Part VII-Pro Forma'!D94</f>
        <v>-5000</v>
      </c>
      <c r="E1122" s="2122">
        <f>'Part VII-Pro Forma'!E94</f>
        <v>-5000</v>
      </c>
      <c r="F1122" s="2122">
        <f>'Part VII-Pro Forma'!F94</f>
        <v>-5000</v>
      </c>
      <c r="G1122" s="2122">
        <f>'Part VII-Pro Forma'!G94</f>
        <v>-5000</v>
      </c>
      <c r="H1122" s="2122">
        <f>'Part VII-Pro Forma'!H94</f>
        <v>-5000</v>
      </c>
      <c r="I1122" s="2122">
        <f>'Part VII-Pro Forma'!I94</f>
        <v>-5000</v>
      </c>
      <c r="J1122" s="2122">
        <f>'Part VII-Pro Forma'!J94</f>
        <v>-5000</v>
      </c>
      <c r="K1122" s="2122">
        <f>'Part VII-Pro Forma'!K94</f>
        <v>-5000</v>
      </c>
      <c r="N1122" s="1910"/>
      <c r="O1122" s="1910"/>
    </row>
    <row r="1123" spans="1:15" ht="13.35" customHeight="1">
      <c r="A1123" s="1995" t="s">
        <v>1142</v>
      </c>
      <c r="B1123" s="2122">
        <f>'Part VII-Pro Forma'!B95</f>
        <v>12476.949243729123</v>
      </c>
      <c r="C1123" s="2122">
        <f>'Part VII-Pro Forma'!C95</f>
        <v>8362.5846905527724</v>
      </c>
      <c r="D1123" s="2122">
        <f>'Part VII-Pro Forma'!D95</f>
        <v>4031.4479401712233</v>
      </c>
      <c r="E1123" s="2122">
        <f>'Part VII-Pro Forma'!E95</f>
        <v>-523.67979854369696</v>
      </c>
      <c r="F1123" s="2122">
        <f>'Part VII-Pro Forma'!F95</f>
        <v>-5313.270992958307</v>
      </c>
      <c r="G1123" s="2122">
        <f>'Part VII-Pro Forma'!G95</f>
        <v>-10344.060139214736</v>
      </c>
      <c r="H1123" s="2122">
        <f>'Part VII-Pro Forma'!H95</f>
        <v>-15626.052380188084</v>
      </c>
      <c r="I1123" s="2122">
        <f>'Part VII-Pro Forma'!I95</f>
        <v>-21168.532397126524</v>
      </c>
      <c r="J1123" s="2122">
        <f>'Part VII-Pro Forma'!J95</f>
        <v>-26983.073583483791</v>
      </c>
      <c r="K1123" s="2122">
        <f>'Part VII-Pro Forma'!K95</f>
        <v>-33077.547509720753</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1.0391482976976447</v>
      </c>
      <c r="C1129" s="2122">
        <f>'Part VII-Pro Forma'!C101</f>
        <v>1.0290603520748989</v>
      </c>
      <c r="D1129" s="2122">
        <f>'Part VII-Pro Forma'!D101</f>
        <v>1.0190691090854205</v>
      </c>
      <c r="E1129" s="2122">
        <f>'Part VII-Pro Forma'!E101</f>
        <v>1.0091760824171456</v>
      </c>
      <c r="F1129" s="2122">
        <f>'Part VII-Pro Forma'!F101</f>
        <v>0.99937652597096849</v>
      </c>
      <c r="G1129" s="2122">
        <f>'Part VII-Pro Forma'!G101</f>
        <v>0.98967399423577951</v>
      </c>
      <c r="H1129" s="2122">
        <f>'Part VII-Pro Forma'!H101</f>
        <v>0.98006593172490297</v>
      </c>
      <c r="I1129" s="2122">
        <f>'Part VII-Pro Forma'!I101</f>
        <v>0.9705518598243239</v>
      </c>
      <c r="J1129" s="2122">
        <f>'Part VII-Pro Forma'!J101</f>
        <v>0.96112790453780539</v>
      </c>
      <c r="K1129" s="2122">
        <f>'Part VII-Pro Forma'!K101</f>
        <v>0.95179725194623821</v>
      </c>
      <c r="N1129" s="1910"/>
      <c r="O1129" s="1910"/>
    </row>
    <row r="1130" spans="1:15" ht="13.35" customHeight="1">
      <c r="A1130" s="1995" t="s">
        <v>2549</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2341</v>
      </c>
      <c r="B1136" s="2122">
        <f>'Part VII-Pro Forma'!B108</f>
        <v>596140.83366742288</v>
      </c>
      <c r="C1136" s="2122">
        <f>'Part VII-Pro Forma'!C108</f>
        <v>608063.65034077119</v>
      </c>
      <c r="D1136" s="2122">
        <f>'Part VII-Pro Forma'!D108</f>
        <v>620224.92334758677</v>
      </c>
      <c r="E1136" s="2122">
        <f>'Part VII-Pro Forma'!E108</f>
        <v>632629.42181453854</v>
      </c>
      <c r="F1136" s="2122">
        <f>'Part VII-Pro Forma'!F108</f>
        <v>645282.01025082928</v>
      </c>
      <c r="G1136" s="2122"/>
      <c r="H1136" s="2122"/>
      <c r="I1136" s="2122"/>
      <c r="J1136" s="2122"/>
      <c r="K1136" s="2122"/>
      <c r="N1136" s="1910"/>
      <c r="O1136" s="1910"/>
    </row>
    <row r="1137" spans="1:19" ht="13.35" customHeight="1">
      <c r="A1137" s="1995" t="s">
        <v>994</v>
      </c>
      <c r="B1137" s="2122">
        <f>'Part VII-Pro Forma'!B109</f>
        <v>11922.816673348458</v>
      </c>
      <c r="C1137" s="2122">
        <f>'Part VII-Pro Forma'!C109</f>
        <v>12161.273006815423</v>
      </c>
      <c r="D1137" s="2122">
        <f>'Part VII-Pro Forma'!D109</f>
        <v>12404.498466951734</v>
      </c>
      <c r="E1137" s="2122">
        <f>'Part VII-Pro Forma'!E109</f>
        <v>12652.588436290769</v>
      </c>
      <c r="F1137" s="2122">
        <f>'Part VII-Pro Forma'!F109</f>
        <v>12905.640205016583</v>
      </c>
      <c r="G1137" s="2122"/>
      <c r="H1137" s="2122"/>
      <c r="I1137" s="2122"/>
      <c r="J1137" s="2122"/>
      <c r="K1137" s="2122"/>
      <c r="N1137" s="1910"/>
      <c r="O1137" s="1910"/>
    </row>
    <row r="1138" spans="1:19" ht="13.35" customHeight="1">
      <c r="A1138" s="1995" t="s">
        <v>2342</v>
      </c>
      <c r="B1138" s="2122">
        <f>'Part VII-Pro Forma'!B110</f>
        <v>-42564.455523853998</v>
      </c>
      <c r="C1138" s="2122">
        <f>'Part VII-Pro Forma'!C110</f>
        <v>-43415.744634331073</v>
      </c>
      <c r="D1138" s="2122">
        <f>'Part VII-Pro Forma'!D110</f>
        <v>-44284.0595270177</v>
      </c>
      <c r="E1138" s="2122">
        <f>'Part VII-Pro Forma'!E110</f>
        <v>-45169.740717558052</v>
      </c>
      <c r="F1138" s="2122">
        <f>'Part VII-Pro Forma'!F110</f>
        <v>-46073.135531909218</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565499.1948169173</v>
      </c>
      <c r="C1141" s="2122">
        <f>'Part VII-Pro Forma'!C113</f>
        <v>576809.17871325556</v>
      </c>
      <c r="D1141" s="2122">
        <f>'Part VII-Pro Forma'!D113</f>
        <v>588345.3622875209</v>
      </c>
      <c r="E1141" s="2122">
        <f>'Part VII-Pro Forma'!E113</f>
        <v>600112.2695332712</v>
      </c>
      <c r="F1141" s="2122">
        <f>'Part VII-Pro Forma'!F113</f>
        <v>612114.51492393669</v>
      </c>
      <c r="G1141" s="2122"/>
      <c r="H1141" s="2122"/>
      <c r="I1141" s="2122"/>
      <c r="J1141" s="2122"/>
      <c r="K1141" s="2122"/>
      <c r="N1141" s="1910"/>
      <c r="O1141" s="1910"/>
    </row>
    <row r="1142" spans="1:19" ht="13.35" customHeight="1">
      <c r="A1142" s="1995" t="s">
        <v>597</v>
      </c>
      <c r="B1142" s="2122">
        <f>'Part VII-Pro Forma'!B114</f>
        <v>-514912.17885076068</v>
      </c>
      <c r="C1142" s="2122">
        <f>'Part VII-Pro Forma'!C114</f>
        <v>-530359.5442162836</v>
      </c>
      <c r="D1142" s="2122">
        <f>'Part VII-Pro Forma'!D114</f>
        <v>-546270.33054277208</v>
      </c>
      <c r="E1142" s="2122">
        <f>'Part VII-Pro Forma'!E114</f>
        <v>-562658.44045905524</v>
      </c>
      <c r="F1142" s="2122">
        <f>'Part VII-Pro Forma'!F114</f>
        <v>-579538.19367282675</v>
      </c>
      <c r="G1142" s="2122"/>
      <c r="H1142" s="2122"/>
      <c r="I1142" s="2122"/>
      <c r="J1142" s="2122"/>
      <c r="K1142" s="2122"/>
      <c r="N1142" s="1910"/>
      <c r="O1142" s="1910"/>
    </row>
    <row r="1143" spans="1:19" ht="13.35" customHeight="1">
      <c r="A1143" s="1995" t="s">
        <v>1093</v>
      </c>
      <c r="B1143" s="2122">
        <f>'Part VII-Pro Forma'!B115</f>
        <v>-55924</v>
      </c>
      <c r="C1143" s="2122">
        <f>'Part VII-Pro Forma'!C115</f>
        <v>-57602</v>
      </c>
      <c r="D1143" s="2122">
        <f>'Part VII-Pro Forma'!D115</f>
        <v>-59330</v>
      </c>
      <c r="E1143" s="2122">
        <f>'Part VII-Pro Forma'!E115</f>
        <v>-61110</v>
      </c>
      <c r="F1143" s="2122">
        <f>'Part VII-Pro Forma'!F115</f>
        <v>-62943</v>
      </c>
      <c r="G1143" s="2122"/>
      <c r="H1143" s="2122"/>
      <c r="I1143" s="2122"/>
      <c r="J1143" s="2122"/>
      <c r="K1143" s="2122"/>
      <c r="N1143" s="1910"/>
      <c r="O1143" s="1910"/>
    </row>
    <row r="1144" spans="1:19" ht="13.35" customHeight="1">
      <c r="A1144" s="1995" t="s">
        <v>1176</v>
      </c>
      <c r="B1144" s="2122">
        <f>'Part VII-Pro Forma'!B116</f>
        <v>-29127.149654275909</v>
      </c>
      <c r="C1144" s="2122">
        <f>'Part VII-Pro Forma'!C116</f>
        <v>-30000.964143904192</v>
      </c>
      <c r="D1144" s="2122">
        <f>'Part VII-Pro Forma'!D116</f>
        <v>-30900.993068221313</v>
      </c>
      <c r="E1144" s="2122">
        <f>'Part VII-Pro Forma'!E116</f>
        <v>-31828.022860267953</v>
      </c>
      <c r="F1144" s="2122">
        <f>'Part VII-Pro Forma'!F116</f>
        <v>-32782.863546075983</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-34464.133688119298</v>
      </c>
      <c r="C1146" s="2122">
        <f>'Part VII-Pro Forma'!C118</f>
        <v>-41153.329646932223</v>
      </c>
      <c r="D1146" s="2122">
        <f>'Part VII-Pro Forma'!D118</f>
        <v>-48155.961323472497</v>
      </c>
      <c r="E1146" s="2122">
        <f>'Part VII-Pro Forma'!E118</f>
        <v>-55484.193786051997</v>
      </c>
      <c r="F1146" s="2122">
        <f>'Part VII-Pro Forma'!F118</f>
        <v>-63149.542294966042</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-5000</v>
      </c>
      <c r="C1152" s="2122">
        <f>'Part VII-Pro Forma'!C124</f>
        <v>-5000</v>
      </c>
      <c r="D1152" s="2122">
        <f>'Part VII-Pro Forma'!D124</f>
        <v>-5000</v>
      </c>
      <c r="E1152" s="2122">
        <f>'Part VII-Pro Forma'!E124</f>
        <v>-5000</v>
      </c>
      <c r="F1152" s="2122">
        <f>'Part VII-Pro Forma'!F124</f>
        <v>-5000</v>
      </c>
      <c r="G1152" s="2122"/>
      <c r="H1152" s="2122"/>
      <c r="I1152" s="2122"/>
      <c r="J1152" s="2122"/>
      <c r="K1152" s="2122"/>
      <c r="N1152" s="1910"/>
      <c r="O1152" s="1910"/>
    </row>
    <row r="1153" spans="1:15" ht="13.35" customHeight="1">
      <c r="A1153" s="1995" t="s">
        <v>1142</v>
      </c>
      <c r="B1153" s="2122">
        <f>'Part VII-Pro Forma'!B125</f>
        <v>-39464.133688119298</v>
      </c>
      <c r="C1153" s="2122">
        <f>'Part VII-Pro Forma'!C125</f>
        <v>-46153.329646932223</v>
      </c>
      <c r="D1153" s="2122">
        <f>'Part VII-Pro Forma'!D125</f>
        <v>-53155.961323472497</v>
      </c>
      <c r="E1153" s="2122">
        <f>'Part VII-Pro Forma'!E125</f>
        <v>-60484.193786051997</v>
      </c>
      <c r="F1153" s="2122">
        <f>'Part VII-Pro Forma'!F125</f>
        <v>-68149.542294966042</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0.94255626627381461</v>
      </c>
      <c r="C1159" s="2122">
        <f>'Part VII-Pro Forma'!C131</f>
        <v>0.93340481163471256</v>
      </c>
      <c r="D1159" s="2122">
        <f>'Part VII-Pro Forma'!D131</f>
        <v>0.9243427161309351</v>
      </c>
      <c r="E1159" s="2122">
        <f>'Part VII-Pro Forma'!E131</f>
        <v>0.91536837537967752</v>
      </c>
      <c r="F1159" s="2122">
        <f>'Part VII-Pro Forma'!F131</f>
        <v>0.9064817064970857</v>
      </c>
      <c r="G1159" s="2122"/>
      <c r="H1159" s="2122"/>
      <c r="I1159" s="2122"/>
      <c r="J1159" s="2122"/>
      <c r="K1159" s="2122"/>
      <c r="N1159" s="1910"/>
      <c r="O1159" s="1910"/>
    </row>
    <row r="1160" spans="1:15" ht="13.35" customHeight="1">
      <c r="A1160" s="1995" t="s">
        <v>2549</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2020-067 Boxwood Heights,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6904</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Applicant believes that the proposed project is feasible, viable and in conformance with the plan. The overall development and construction costs are considered reasonable and were evaluated by an experienced General Contractor and Engineer. Residential Square Footage: 1BR = 700 SF; 2BR = 900 SF</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2633</v>
      </c>
      <c r="F1210" s="1945" t="s">
        <v>3336</v>
      </c>
      <c r="G1210" s="1945" t="s">
        <v>4453</v>
      </c>
      <c r="H1210" s="1945"/>
      <c r="I1210" s="1945"/>
      <c r="K1210" s="1945" t="s">
        <v>3336</v>
      </c>
      <c r="L1210" s="1945" t="s">
        <v>4452</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168301.19999999998</v>
      </c>
      <c r="H1211" s="1908" t="str">
        <f>'Part VIII-Threshold Criteria'!H41</f>
        <v xml:space="preserve">x  units = </v>
      </c>
      <c r="I1211" s="1875" t="str">
        <f>IF(F1211="","",F1211*G1211)</f>
        <v/>
      </c>
      <c r="J1211" s="1815"/>
      <c r="K1211" s="1934" t="str">
        <f>'Part VIII-Threshold Criteria'!K41</f>
        <v/>
      </c>
      <c r="L1211" s="2126">
        <f>'Part VIII-Threshold Criteria'!L41</f>
        <v>185131.32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208644.49999999997</v>
      </c>
      <c r="H1212" s="1908" t="str">
        <f>'Part VIII-Threshold Criteria'!H42</f>
        <v xml:space="preserve">x  units = </v>
      </c>
      <c r="I1212" s="1875" t="str">
        <f>IF(F1212="","",F1212*G1212)</f>
        <v/>
      </c>
      <c r="J1212" s="1815"/>
      <c r="K1212" s="1934" t="str">
        <f>'Part VIII-Threshold Criteria'!K42</f>
        <v/>
      </c>
      <c r="L1212" s="2126">
        <f>'Part VIII-Threshold Criteria'!L42</f>
        <v>229508.94999999998</v>
      </c>
      <c r="M1212" s="1908" t="str">
        <f>'Part VIII-Threshold Criteria'!M42</f>
        <v xml:space="preserve">x  units = </v>
      </c>
      <c r="N1212" s="1875" t="str">
        <f>IF(K1212="","",K1212*L1212)</f>
        <v/>
      </c>
      <c r="O1212" s="1939"/>
      <c r="P1212" s="2103" t="str">
        <f>'Part VIII-Threshold Criteria'!P42</f>
        <v>Columbus</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249636.24999999997</v>
      </c>
      <c r="H1213" s="1908" t="str">
        <f>'Part VIII-Threshold Criteria'!H43</f>
        <v xml:space="preserve">x  units = </v>
      </c>
      <c r="I1213" s="1875" t="str">
        <f>IF(F1213="","",F1213*G1213)</f>
        <v/>
      </c>
      <c r="J1213" s="1815"/>
      <c r="K1213" s="1934" t="str">
        <f>'Part VIII-Threshold Criteria'!K43</f>
        <v/>
      </c>
      <c r="L1213" s="2126">
        <f>'Part VIII-Threshold Criteria'!L43</f>
        <v>274599.875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284659.10000000003</v>
      </c>
      <c r="H1214" s="1908" t="str">
        <f>'Part VIII-Threshold Criteria'!H44</f>
        <v xml:space="preserve">x  units = </v>
      </c>
      <c r="I1214" s="1875" t="str">
        <f>IF(F1214="","",F1214*G1214)</f>
        <v/>
      </c>
      <c r="J1214" s="1815"/>
      <c r="K1214" s="1934" t="str">
        <f>'Part VIII-Threshold Criteria'!K44</f>
        <v/>
      </c>
      <c r="L1214" s="2126">
        <f>'Part VIII-Threshold Criteria'!L44</f>
        <v>313125.01000000007</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335406.5</v>
      </c>
      <c r="H1215" s="1908" t="str">
        <f>'Part VIII-Threshold Criteria'!H45</f>
        <v xml:space="preserve">x  units = </v>
      </c>
      <c r="I1215" s="1875" t="str">
        <f>IF(F1215="","",F1215*G1215)</f>
        <v/>
      </c>
      <c r="J1215" s="1815"/>
      <c r="K1215" s="1934" t="str">
        <f>'Part VIII-Threshold Criteria'!K45</f>
        <v/>
      </c>
      <c r="L1215" s="2126">
        <f>'Part VIII-Threshold Criteria'!L45</f>
        <v>368947.15</v>
      </c>
      <c r="M1215" s="1908" t="str">
        <f>'Part VIII-Threshold Criteria'!M45</f>
        <v xml:space="preserve">x  units = </v>
      </c>
      <c r="N1215" s="1875" t="str">
        <f>IF(K1215="","",K1215*L1215)</f>
        <v/>
      </c>
      <c r="O1215" s="1939"/>
      <c r="P1215" s="2127">
        <f>'Part IV-A-Uses of Funds'!$G$132</f>
        <v>9959143</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144937.19999999998</v>
      </c>
      <c r="H1218" s="1908" t="str">
        <f>'Part VIII-Threshold Criteria'!H48</f>
        <v xml:space="preserve">x  units = </v>
      </c>
      <c r="I1218" s="1875" t="str">
        <f>IF(F1218="","",F1218*G1218)</f>
        <v/>
      </c>
      <c r="J1218" s="1815"/>
      <c r="K1218" s="1934" t="s">
        <v>4485</v>
      </c>
      <c r="L1218" s="2126">
        <v>159979.19999999998</v>
      </c>
      <c r="M1218" s="1908" t="s">
        <v>6815</v>
      </c>
      <c r="N1218" s="1875" t="str">
        <f>IF(K1218="","",K1218*L1218)</f>
        <v/>
      </c>
      <c r="P1218" s="2127">
        <f>'Part VIII-Threshold Criteria'!P48</f>
        <v>9553804</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181344.65</v>
      </c>
      <c r="H1219" s="1908" t="str">
        <f>'Part VIII-Threshold Criteria'!H49</f>
        <v xml:space="preserve">x  units = </v>
      </c>
      <c r="I1219" s="1875" t="str">
        <f>IF(F1219="","",F1219*G1219)</f>
        <v/>
      </c>
      <c r="J1219" s="1815"/>
      <c r="K1219" s="1934" t="s">
        <v>4485</v>
      </c>
      <c r="L1219" s="2126">
        <v>198564.74999999997</v>
      </c>
      <c r="M1219" s="1908" t="s">
        <v>6815</v>
      </c>
      <c r="N1219" s="1875" t="str">
        <f>IF(K1219="","",K1219*L1219)</f>
        <v/>
      </c>
      <c r="P1219" s="1822" t="s">
        <v>3772</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219739.69999999998</v>
      </c>
      <c r="H1220" s="1908" t="str">
        <f>'Part VIII-Threshold Criteria'!H50</f>
        <v xml:space="preserve">x  units = </v>
      </c>
      <c r="I1220" s="1875" t="str">
        <f>IF(F1220="","",F1220*G1220)</f>
        <v/>
      </c>
      <c r="J1220" s="1815"/>
      <c r="K1220" s="1934" t="s">
        <v>4485</v>
      </c>
      <c r="L1220" s="2126">
        <v>237737.19999999998</v>
      </c>
      <c r="M1220" s="1908" t="s">
        <v>6815</v>
      </c>
      <c r="N1220" s="1875" t="str">
        <f>IF(K1220="","",K1220*L1220)</f>
        <v/>
      </c>
      <c r="O1220" s="1896"/>
      <c r="P1220" s="2132"/>
      <c r="Q1220" s="2132"/>
      <c r="R1220" s="2240"/>
      <c r="S1220" s="1952" t="s">
        <v>6929</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256490.30000000002</v>
      </c>
      <c r="H1221" s="1908" t="str">
        <f>'Part VIII-Threshold Criteria'!H51</f>
        <v xml:space="preserve">x  units = </v>
      </c>
      <c r="I1221" s="1875" t="str">
        <f>IF(F1221="","",F1221*G1221)</f>
        <v/>
      </c>
      <c r="J1221" s="1815"/>
      <c r="K1221" s="1934" t="s">
        <v>4485</v>
      </c>
      <c r="L1221" s="2126">
        <v>271326</v>
      </c>
      <c r="M1221" s="1908" t="s">
        <v>6815</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304225.90000000002</v>
      </c>
      <c r="H1222" s="1908" t="str">
        <f>'Part VIII-Threshold Criteria'!H52</f>
        <v xml:space="preserve">x  units = </v>
      </c>
      <c r="I1222" s="1875" t="str">
        <f>IF(F1222="","",F1222*G1222)</f>
        <v/>
      </c>
      <c r="J1222" s="1815"/>
      <c r="K1222" s="1934" t="s">
        <v>4485</v>
      </c>
      <c r="L1222" s="2126">
        <v>319916.30000000005</v>
      </c>
      <c r="M1222" s="1908" t="s">
        <v>6815</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127420.79999999999</v>
      </c>
      <c r="H1225" s="1908" t="str">
        <f>'Part VIII-Threshold Criteria'!H55</f>
        <v xml:space="preserve">x  units = </v>
      </c>
      <c r="I1225" s="1875" t="str">
        <f>IF(F1225="","",F1225*G1225)</f>
        <v/>
      </c>
      <c r="J1225" s="1815"/>
      <c r="K1225" s="1934" t="str">
        <f>'Part VIII-Threshold Criteria'!K55</f>
        <v/>
      </c>
      <c r="L1225" s="2126">
        <f>'Part VIII-Threshold Criteria'!L55</f>
        <v>140162.88</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166761.5</v>
      </c>
      <c r="H1226" s="1908" t="str">
        <f>'Part VIII-Threshold Criteria'!H56</f>
        <v xml:space="preserve">x  units = </v>
      </c>
      <c r="I1226" s="1875" t="str">
        <f>IF(F1226="","",F1226*G1226)</f>
        <v/>
      </c>
      <c r="J1226" s="1815"/>
      <c r="K1226" s="1934" t="str">
        <f>'Part VIII-Threshold Criteria'!K56</f>
        <v/>
      </c>
      <c r="L1226" s="2126">
        <f>'Part VIII-Threshold Criteria'!L56</f>
        <v>183437.65000000002</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211096.3</v>
      </c>
      <c r="H1227" s="1908" t="str">
        <f>'Part VIII-Threshold Criteria'!H57</f>
        <v xml:space="preserve">x  units = </v>
      </c>
      <c r="I1227" s="1875" t="str">
        <f>IF(F1227="","",F1227*G1227)</f>
        <v/>
      </c>
      <c r="J1227" s="1815"/>
      <c r="K1227" s="1934" t="str">
        <f>'Part VIII-Threshold Criteria'!K57</f>
        <v/>
      </c>
      <c r="L1227" s="2126">
        <f>'Part VIII-Threshold Criteria'!L57</f>
        <v>232205.93</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266068</v>
      </c>
      <c r="H1228" s="1908" t="str">
        <f>'Part VIII-Threshold Criteria'!H58</f>
        <v xml:space="preserve">x  units = </v>
      </c>
      <c r="I1228" s="1875" t="str">
        <f>IF(F1228="","",F1228*G1228)</f>
        <v/>
      </c>
      <c r="J1228" s="1815"/>
      <c r="K1228" s="1934" t="str">
        <f>'Part VIII-Threshold Criteria'!K58</f>
        <v/>
      </c>
      <c r="L1228" s="2126">
        <f>'Part VIII-Threshold Criteria'!L58</f>
        <v>292674.80000000005</v>
      </c>
      <c r="M1228" s="1908" t="str">
        <f>'Part VIII-Threshold Criteria'!M58</f>
        <v xml:space="preserve">x  units = </v>
      </c>
      <c r="N1228" s="1875" t="str">
        <f>IF(K1228="","",K1228*L1228)</f>
        <v/>
      </c>
      <c r="O1228" s="1896"/>
      <c r="P1228" s="1916">
        <f>'Part VIII-Threshold Criteria'!P58</f>
        <v>3</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329800.90000000002</v>
      </c>
      <c r="H1229" s="1908" t="str">
        <f>'Part VIII-Threshold Criteria'!H59</f>
        <v xml:space="preserve">x  units = </v>
      </c>
      <c r="I1229" s="1875" t="str">
        <f>IF(F1229="","",F1229*G1229)</f>
        <v/>
      </c>
      <c r="J1229" s="1815"/>
      <c r="K1229" s="1934" t="str">
        <f>'Part VIII-Threshold Criteria'!K59</f>
        <v/>
      </c>
      <c r="L1229" s="2126">
        <f>'Part VIII-Threshold Criteria'!L59</f>
        <v>362780.99000000005</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131222.39999999999</v>
      </c>
      <c r="H1232" s="1908" t="str">
        <f>'Part VIII-Threshold Criteria'!H62</f>
        <v xml:space="preserve">x  units = </v>
      </c>
      <c r="I1232" s="1875" t="str">
        <f>IF(F1232="","",F1232*G1232)</f>
        <v/>
      </c>
      <c r="J1232" s="1815"/>
      <c r="K1232" s="1934" t="str">
        <f>'Part VIII-Threshold Criteria'!K62</f>
        <v/>
      </c>
      <c r="L1232" s="2126">
        <f>'Part VIII-Threshold Criteria'!L62</f>
        <v>144344.64000000001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f>'Part VIII-Threshold Criteria'!F63</f>
        <v>24</v>
      </c>
      <c r="G1233" s="2126">
        <f>'Part VIII-Threshold Criteria'!G63</f>
        <v>176056.94999999998</v>
      </c>
      <c r="H1233" s="1908" t="str">
        <f>'Part VIII-Threshold Criteria'!H63</f>
        <v xml:space="preserve">x 24 units = </v>
      </c>
      <c r="I1233" s="1875">
        <f>IF(F1233="","",F1233*G1233)</f>
        <v>4225366.8</v>
      </c>
      <c r="J1233" s="1815"/>
      <c r="K1233" s="1934" t="str">
        <f>'Part VIII-Threshold Criteria'!K63</f>
        <v/>
      </c>
      <c r="L1233" s="2126">
        <f>'Part VIII-Threshold Criteria'!L63</f>
        <v>193662.64499999999</v>
      </c>
      <c r="M1233" s="1908" t="str">
        <f>'Part VIII-Threshold Criteria'!M63</f>
        <v xml:space="preserve">x  units = </v>
      </c>
      <c r="N1233" s="1875" t="str">
        <f>IF(K1233="","",K1233*L1233)</f>
        <v/>
      </c>
      <c r="O1233" s="1896"/>
      <c r="P1233" s="2133">
        <f>'Part VIII-Threshold Criteria'!P63</f>
        <v>9657957.5999999996</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24</v>
      </c>
      <c r="G1234" s="2126">
        <f>'Part VIII-Threshold Criteria'!G64</f>
        <v>226357.94999999998</v>
      </c>
      <c r="H1234" s="1908" t="str">
        <f>'Part VIII-Threshold Criteria'!H64</f>
        <v xml:space="preserve">x 24 units = </v>
      </c>
      <c r="I1234" s="1875">
        <f>IF(F1234="","",F1234*G1234)</f>
        <v>5432590.7999999998</v>
      </c>
      <c r="J1234" s="1815"/>
      <c r="K1234" s="1934" t="str">
        <f>'Part VIII-Threshold Criteria'!K64</f>
        <v/>
      </c>
      <c r="L1234" s="2126">
        <f>'Part VIII-Threshold Criteria'!L64</f>
        <v>248993.745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288689.5</v>
      </c>
      <c r="H1235" s="1908" t="str">
        <f>'Part VIII-Threshold Criteria'!H65</f>
        <v xml:space="preserve">x  units = </v>
      </c>
      <c r="I1235" s="1875" t="str">
        <f>IF(F1235="","",F1235*G1235)</f>
        <v/>
      </c>
      <c r="J1235" s="1815"/>
      <c r="K1235" s="1934" t="str">
        <f>'Part VIII-Threshold Criteria'!K65</f>
        <v/>
      </c>
      <c r="L1235" s="2126">
        <f>'Part VIII-Threshold Criteria'!L65</f>
        <v>317558.45</v>
      </c>
      <c r="M1235" s="1908" t="str">
        <f>'Part VIII-Threshold Criteria'!M65</f>
        <v xml:space="preserve">x  units = </v>
      </c>
      <c r="N1235" s="1875" t="str">
        <f>IF(K1235="","",K1235*L1235)</f>
        <v/>
      </c>
      <c r="P1235" s="1986" t="s">
        <v>6812</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360861.60000000003</v>
      </c>
      <c r="H1236" s="1908" t="str">
        <f>'Part VIII-Threshold Criteria'!H66</f>
        <v xml:space="preserve">x  units = </v>
      </c>
      <c r="I1236" s="1875" t="str">
        <f>IF(F1236="","",F1236*G1236)</f>
        <v/>
      </c>
      <c r="J1236" s="1815"/>
      <c r="K1236" s="1934" t="str">
        <f>'Part VIII-Threshold Criteria'!K66</f>
        <v/>
      </c>
      <c r="L1236" s="2126">
        <f>'Part VIII-Threshold Criteria'!L66</f>
        <v>396947.76000000007</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48</v>
      </c>
      <c r="G1237" s="2130"/>
      <c r="H1237" s="1938"/>
      <c r="I1237" s="2131">
        <f>SUM(I1232:I1236)</f>
        <v>9657957.5999999996</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48</v>
      </c>
      <c r="G1239" s="1849"/>
      <c r="H1239" s="1858">
        <f>I1216+I1223+I1230+I1237</f>
        <v>9657957.5999999996</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project's total cost is below the cost limits for the Columbus Cost Limit area.</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HFOP</v>
      </c>
      <c r="K1243" s="449"/>
      <c r="L1243" s="449"/>
      <c r="O1243" s="1942" t="s">
        <v>1820</v>
      </c>
      <c r="P1243" s="1897"/>
      <c r="Q1243" s="1897"/>
    </row>
    <row r="1244" spans="1:32" ht="10.5" customHeight="1">
      <c r="B1244" s="1908" t="s">
        <v>3565</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Applicant is targeting a senior tenancy for the project.</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4249</v>
      </c>
      <c r="M1247" s="1229" t="s">
        <v>4250</v>
      </c>
      <c r="O1247" s="1942" t="s">
        <v>1820</v>
      </c>
      <c r="P1247" s="1897"/>
      <c r="Q1247" s="1897"/>
    </row>
    <row r="1248" spans="1:32" ht="1.5" customHeight="1"/>
    <row r="1249" spans="1:31" ht="12" customHeight="1">
      <c r="A1249" s="1942" t="s">
        <v>1935</v>
      </c>
      <c r="B1249" s="1936" t="s">
        <v>4242</v>
      </c>
      <c r="C1249" s="1936"/>
      <c r="D1249" s="1936"/>
      <c r="E1249" s="1936"/>
      <c r="F1249" s="1936"/>
      <c r="G1249" s="1936"/>
      <c r="H1249" s="1936"/>
      <c r="I1249" s="1936"/>
      <c r="J1249" s="1936"/>
      <c r="L1249" s="1938" t="s">
        <v>2806</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1937</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4701</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4702</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4703</v>
      </c>
      <c r="O1254" s="1936"/>
      <c r="P1254" s="1229" t="str">
        <f>'Part VIII-Threshold Criteria'!P84</f>
        <v>Agree</v>
      </c>
      <c r="Q1254" s="1229"/>
    </row>
    <row r="1255" spans="1:31" ht="11.1" customHeight="1">
      <c r="A1255" s="1982"/>
      <c r="B1255" s="1939" t="s">
        <v>2304</v>
      </c>
      <c r="C1255" s="1939" t="s">
        <v>4256</v>
      </c>
      <c r="D1255" s="449"/>
      <c r="E1255" s="449"/>
      <c r="F1255" s="449"/>
      <c r="G1255" s="449"/>
      <c r="H1255" s="449"/>
      <c r="I1255" s="1815"/>
      <c r="J1255" s="1815"/>
      <c r="N1255" s="1936" t="s">
        <v>4704</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Applicant certifies that they will include the number and kinds of services required in the QAP for the proposed tenancy.</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Urban</v>
      </c>
      <c r="J1262" s="1940" t="s">
        <v>4699</v>
      </c>
      <c r="K1262" s="449" t="str">
        <f>'Part I-Project Information'!$H$105</f>
        <v>Flexible</v>
      </c>
      <c r="L1262" s="1940" t="s">
        <v>4308</v>
      </c>
      <c r="M1262" s="1908" t="str">
        <f>'Part I-Project Information'!$H$82</f>
        <v>HFOP</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Novogradac &amp; Company, LLP</v>
      </c>
      <c r="N1264" s="449"/>
      <c r="O1264" s="449"/>
      <c r="P1264" s="1815"/>
      <c r="Q1264" s="1229"/>
    </row>
    <row r="1265" spans="1:31" ht="10.5" customHeight="1">
      <c r="A1265" s="1940" t="s">
        <v>1937</v>
      </c>
      <c r="B1265" s="449" t="s">
        <v>4556</v>
      </c>
      <c r="D1265" s="449"/>
      <c r="E1265" s="449"/>
      <c r="F1265" s="449"/>
      <c r="L1265" s="1940" t="s">
        <v>1937</v>
      </c>
      <c r="M1265" s="449" t="str">
        <f>'Part VIII-Threshold Criteria'!M95</f>
        <v>6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v>
      </c>
      <c r="N1266" s="2136"/>
      <c r="O1266" s="2136"/>
      <c r="P1266" s="2225"/>
      <c r="Q1266" s="1229"/>
    </row>
    <row r="1267" spans="1:31" ht="10.5" customHeight="1">
      <c r="A1267" s="1940" t="s">
        <v>2064</v>
      </c>
      <c r="B1267" s="449" t="s">
        <v>3664</v>
      </c>
      <c r="D1267" s="449"/>
      <c r="E1267" s="449"/>
      <c r="F1267" s="449"/>
      <c r="L1267" s="1940" t="s">
        <v>3665</v>
      </c>
      <c r="M1267" s="2226">
        <f>'Part VIII-Threshold Criteria'!M97</f>
        <v>0.11700000000000001</v>
      </c>
      <c r="N1267" s="2136"/>
      <c r="O1267" s="1941" t="s">
        <v>3804</v>
      </c>
      <c r="P1267" s="1985" t="str">
        <f>'Part VIII-Threshold Criteria'!P97</f>
        <v>N/A</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t="str">
        <f>'Part VIII-Threshold Criteria'!D100</f>
        <v>2019-043</v>
      </c>
      <c r="E1270" s="449" t="str">
        <f>'Part VIII-Threshold Criteria'!E100</f>
        <v>Mill Village</v>
      </c>
      <c r="F1270" s="449"/>
      <c r="G1270" s="449"/>
      <c r="H1270" s="1940" t="s">
        <v>1696</v>
      </c>
      <c r="I1270" s="1229" t="str">
        <f>'Part VIII-Threshold Criteria'!I100</f>
        <v>2017-049</v>
      </c>
      <c r="J1270" s="449" t="str">
        <f>'Part VIII-Threshold Criteria'!J100</f>
        <v>Highland Terrace</v>
      </c>
      <c r="K1270" s="449"/>
      <c r="L1270" s="449"/>
      <c r="M1270" s="1940" t="s">
        <v>1516</v>
      </c>
      <c r="N1270" s="1229" t="str">
        <f>'Part VIII-Threshold Criteria'!N100</f>
        <v>2013-039</v>
      </c>
      <c r="O1270" s="449" t="str">
        <f>'Part VIII-Threshold Criteria'!O100</f>
        <v>Waverly Terrace Senior</v>
      </c>
      <c r="P1270" s="449"/>
      <c r="Q1270" s="449"/>
    </row>
    <row r="1271" spans="1:31" ht="10.5" customHeight="1">
      <c r="C1271" s="1940" t="s">
        <v>1695</v>
      </c>
      <c r="D1271" s="1229" t="str">
        <f>'Part VIII-Threshold Criteria'!D101</f>
        <v>2018-080</v>
      </c>
      <c r="E1271" s="449" t="str">
        <f>'Part VIII-Threshold Criteria'!E101</f>
        <v>Highlands at Kayne Blvd</v>
      </c>
      <c r="F1271" s="449"/>
      <c r="G1271" s="449"/>
      <c r="H1271" s="1940" t="s">
        <v>2304</v>
      </c>
      <c r="I1271" s="1229" t="str">
        <f>'Part VIII-Threshold Criteria'!I101</f>
        <v>2017-004</v>
      </c>
      <c r="J1271" s="449" t="str">
        <f>'Part VIII-Threshold Criteria'!J101</f>
        <v>Claffin School</v>
      </c>
      <c r="K1271" s="449"/>
      <c r="L1271" s="449"/>
      <c r="M1271" s="1940" t="s">
        <v>1517</v>
      </c>
      <c r="N1271" s="1229" t="str">
        <f>'Part VIII-Threshold Criteria'!N101</f>
        <v>2004-046</v>
      </c>
      <c r="O1271" s="449" t="str">
        <f>'Part VIII-Threshold Criteria'!O101</f>
        <v>Peabody Redevelopment Partnership</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6871</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Please see Tab 5 for the Market Study. The LIHTC comprables are experiencing a weighted average vacancy rate of only 3.2%. Additionally, all five of the LIHTC comparables maintain waiting lists, from which their existing vacancies are expected to be leased.
Additional DCA funded properties in the primary market area include 2006-042 Ashley Station Phase II, 2014-015 BTW-Chapman 2, 2007-025 Arbor Pointe, 2008-074 Arbor Pointe II, 2010-025 Arbor Pointe III, 2013-019 BTW-Chapman 2, 2001-084 Windsor Lake Senior and 2000-055 Springfield Crossing.</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4706</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4374</v>
      </c>
      <c r="O1283" s="1940" t="s">
        <v>1695</v>
      </c>
      <c r="P1283" s="1229">
        <f>'Part VIII-Threshold Criteria'!P113</f>
        <v>0</v>
      </c>
      <c r="Q1283" s="1229"/>
    </row>
    <row r="1284" spans="1:17" s="1815" customFormat="1" ht="9.75" customHeight="1">
      <c r="B1284" s="1939" t="s">
        <v>1696</v>
      </c>
      <c r="C1284" s="449" t="s">
        <v>4742</v>
      </c>
      <c r="O1284" s="1942" t="s">
        <v>1696</v>
      </c>
      <c r="P1284" s="2137">
        <f>'Part VIII-Threshold Criteria'!P114</f>
        <v>0</v>
      </c>
      <c r="Q1284" s="2137"/>
    </row>
    <row r="1285" spans="1:17" ht="10.5" customHeight="1">
      <c r="A1285" s="1229"/>
      <c r="B1285" s="1939" t="s">
        <v>2304</v>
      </c>
      <c r="C1285" s="1908" t="s">
        <v>4258</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4558</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There is not an identity of interest between the buyer and seller. An appraisal is not included in the application.</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3469</v>
      </c>
      <c r="D1303" s="449"/>
      <c r="E1303" s="449"/>
      <c r="F1303" s="449"/>
      <c r="G1303" s="449"/>
      <c r="H1303" s="449"/>
      <c r="I1303" s="1815"/>
      <c r="J1303" s="1815"/>
      <c r="K1303" s="1940" t="s">
        <v>1935</v>
      </c>
      <c r="L1303" s="1897" t="str">
        <f>'Part VIII-Threshold Criteria'!L133</f>
        <v>Geotechnical &amp; Environmental Consultants, Inc.</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Yes</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Geotechnical &amp; Environmental Consultants, Inc.</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t="str">
        <f>'Part VIII-Threshold Criteria'!P137</f>
        <v>65 - 71</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Yes</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Yes</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0.3</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t="str">
        <f>'Part VIII-Threshold Criteria'!P143</f>
        <v>Yes</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t="str">
        <f>'Part VIII-Threshold Criteria'!P144</f>
        <v>Yes</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v>
      </c>
      <c r="Q1316" s="2138"/>
    </row>
    <row r="1317" spans="1:17" ht="12" customHeight="1">
      <c r="A1317" s="1940"/>
      <c r="B1317" s="1940"/>
      <c r="E1317" s="1940" t="s">
        <v>2372</v>
      </c>
      <c r="F1317" s="449" t="s">
        <v>2566</v>
      </c>
      <c r="G1317" s="1815"/>
      <c r="H1317" s="449"/>
      <c r="I1317" s="1815"/>
      <c r="J1317" s="1815"/>
      <c r="O1317" s="1940" t="s">
        <v>2372</v>
      </c>
      <c r="P1317" s="1229">
        <f>'Part VIII-Threshold Criteria'!P147</f>
        <v>0</v>
      </c>
      <c r="Q1317" s="1229"/>
    </row>
    <row r="1318" spans="1:17" ht="12" customHeight="1">
      <c r="A1318" s="1940"/>
      <c r="B1318" s="1940"/>
      <c r="E1318" s="1940" t="s">
        <v>2373</v>
      </c>
      <c r="F1318" s="449" t="s">
        <v>2564</v>
      </c>
      <c r="G1318" s="1815"/>
      <c r="H1318" s="449"/>
      <c r="I1318" s="1815"/>
      <c r="J1318" s="1815"/>
      <c r="O1318" s="1940" t="s">
        <v>2373</v>
      </c>
      <c r="P1318" s="1229">
        <f>'Part VIII-Threshold Criteria'!P148</f>
        <v>0</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4405</v>
      </c>
      <c r="I1320" s="1945" t="s">
        <v>2568</v>
      </c>
      <c r="L1320" s="1229" t="str">
        <f>'Part VIII-Threshold Criteria'!L150</f>
        <v>No</v>
      </c>
      <c r="M1320" s="1229"/>
      <c r="N1320" s="1940" t="s">
        <v>4409</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4406</v>
      </c>
      <c r="I1321" s="1945" t="s">
        <v>2569</v>
      </c>
      <c r="L1321" s="1229" t="str">
        <f>'Part VIII-Threshold Criteria'!L151</f>
        <v>No</v>
      </c>
      <c r="M1321" s="1229"/>
      <c r="N1321" s="1940" t="s">
        <v>4410</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4407</v>
      </c>
      <c r="I1322" s="1945" t="s">
        <v>3630</v>
      </c>
      <c r="L1322" s="1229" t="str">
        <f>'Part VIII-Threshold Criteria'!L152</f>
        <v>No</v>
      </c>
      <c r="M1322" s="1229"/>
      <c r="N1322" s="1940" t="s">
        <v>4411</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4408</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t="str">
        <f>'Part VIII-Threshold Criteria'!P157</f>
        <v>No</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t="str">
        <f>'Part VIII-Threshold Criteria'!P158</f>
        <v>No</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t="str">
        <f>'Part VIII-Threshold Criteria'!P159</f>
        <v>No</v>
      </c>
      <c r="Q1329" s="1229"/>
    </row>
    <row r="1330" spans="1:31" ht="12" customHeight="1">
      <c r="A1330" s="1229"/>
      <c r="B1330" s="1908" t="s">
        <v>2304</v>
      </c>
      <c r="C1330" s="449" t="s">
        <v>4391</v>
      </c>
      <c r="E1330" s="449"/>
      <c r="F1330" s="449"/>
      <c r="G1330" s="449"/>
      <c r="H1330" s="449"/>
      <c r="I1330" s="1815"/>
      <c r="J1330" s="1815"/>
      <c r="K1330" s="449"/>
      <c r="L1330" s="449"/>
      <c r="M1330" s="449"/>
      <c r="O1330" s="1940" t="s">
        <v>2304</v>
      </c>
      <c r="P1330" s="1229" t="str">
        <f>'Part VIII-Threshold Criteria'!P160</f>
        <v>No</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6930</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Pleas see tab 7 for the Phase 1 Assessment. The Applicant has not requested HOME Funds.</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6872</v>
      </c>
      <c r="D1340" s="449"/>
      <c r="E1340" s="449"/>
      <c r="F1340" s="449"/>
      <c r="G1340" s="449"/>
      <c r="K1340" s="449" t="s">
        <v>2626</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6873</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Boxwood Heights Columbus, LP</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Please see Tab 8 for evidence of site control through December 31,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3556</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4259</v>
      </c>
      <c r="C1351" s="1936"/>
      <c r="D1351" s="1936"/>
      <c r="E1351" s="1936"/>
      <c r="F1351" s="1936"/>
      <c r="G1351" s="1936"/>
      <c r="H1351" s="1936"/>
      <c r="I1351" s="1936"/>
      <c r="J1351" s="1936"/>
      <c r="K1351" s="1936"/>
      <c r="L1351" s="1936"/>
      <c r="M1351" s="1936"/>
      <c r="N1351" s="1936"/>
      <c r="O1351" s="1942" t="s">
        <v>1937</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2064</v>
      </c>
      <c r="B1353" s="1936" t="s">
        <v>4352</v>
      </c>
      <c r="C1353" s="1936"/>
      <c r="D1353" s="1936"/>
      <c r="E1353" s="1936"/>
      <c r="F1353" s="1936"/>
      <c r="G1353" s="1936"/>
      <c r="H1353" s="1936"/>
      <c r="I1353" s="1936"/>
      <c r="J1353" s="1936"/>
      <c r="K1353" s="1936"/>
      <c r="L1353" s="1936"/>
      <c r="M1353" s="1936"/>
      <c r="N1353" s="1936"/>
      <c r="O1353" s="1942" t="s">
        <v>2064</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site is legally accessible by paved roads and documentation reflecting this is included in the application. Documentation reflecting such paved roads is included in Tab 9 of the application.</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4364</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6931</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f>'Part VIII-Threshold Criteria'!A202</f>
        <v>0</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f>'Part VIII-Threshold Criteria'!J208</f>
        <v>0</v>
      </c>
      <c r="K1378" s="449"/>
      <c r="L1378" s="449"/>
      <c r="M1378" s="449"/>
      <c r="N1378" s="449"/>
      <c r="O1378" s="1940" t="s">
        <v>1694</v>
      </c>
      <c r="P1378" s="1229">
        <f>'Part VIII-Threshold Criteria'!P208</f>
        <v>0</v>
      </c>
      <c r="Q1378" s="1229"/>
    </row>
    <row r="1379" spans="1:31" ht="11.25" customHeight="1">
      <c r="A1379" s="1904"/>
      <c r="B1379" s="1908" t="s">
        <v>3565</v>
      </c>
      <c r="C1379" s="1910"/>
      <c r="D1379" s="1910"/>
      <c r="E1379" s="1910"/>
      <c r="F1379" s="1910"/>
      <c r="H1379" s="1940" t="s">
        <v>1695</v>
      </c>
      <c r="I1379" s="449" t="s">
        <v>1563</v>
      </c>
      <c r="J1379" s="449" t="str">
        <f>'Part VIII-Threshold Criteria'!J209</f>
        <v>Georgia Power Company</v>
      </c>
      <c r="K1379" s="449"/>
      <c r="L1379" s="449"/>
      <c r="M1379" s="449"/>
      <c r="N1379" s="449"/>
      <c r="O1379" s="1940" t="s">
        <v>1695</v>
      </c>
      <c r="P1379" s="1229" t="str">
        <f>'Part VIII-Threshold Criteria'!P209</f>
        <v>Yes</v>
      </c>
      <c r="Q1379" s="1229"/>
    </row>
    <row r="1380" spans="1:31" ht="11.4" customHeight="1">
      <c r="A1380" s="1936" t="str">
        <f>'Part VIII-Threshold Criteria'!A210</f>
        <v xml:space="preserve">The applicant has received verification of operating utilities from Georgia Power Company.  Please see documentation in Tab 11.  </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Columbus Water Works</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Columbus Water Works</v>
      </c>
      <c r="K1386" s="449"/>
      <c r="L1386" s="449"/>
      <c r="M1386" s="449"/>
      <c r="N1386" s="449"/>
      <c r="O1386" s="1942" t="s">
        <v>1695</v>
      </c>
      <c r="P1386" s="1229" t="str">
        <f>'Part VIII-Threshold Criteria'!P216</f>
        <v>Yes</v>
      </c>
      <c r="Q1386" s="1229"/>
    </row>
    <row r="1387" spans="1:31" ht="12" customHeight="1">
      <c r="A1387" s="1942" t="s">
        <v>1937</v>
      </c>
      <c r="B1387" s="449" t="s">
        <v>3671</v>
      </c>
      <c r="D1387" s="449"/>
      <c r="E1387" s="449"/>
      <c r="F1387" s="449"/>
      <c r="G1387" s="449"/>
      <c r="H1387" s="449"/>
      <c r="I1387" s="449"/>
      <c r="J1387" s="449"/>
      <c r="K1387" s="1815"/>
      <c r="L1387" s="449"/>
      <c r="M1387" s="449"/>
      <c r="O1387" s="1940" t="s">
        <v>1937</v>
      </c>
      <c r="P1387" s="1229" t="str">
        <f>'Part VIII-Threshold Criteria'!P217</f>
        <v>No</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 xml:space="preserve">The applicant has received verification of water and sewer services from Columbus Water Works.  Please see documenation in Tab 12. </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6975</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4246</v>
      </c>
      <c r="E1400" s="1908"/>
      <c r="F1400" s="1908"/>
      <c r="G1400" s="1908"/>
      <c r="H1400" s="1908"/>
      <c r="I1400" s="1815"/>
      <c r="J1400" s="1940" t="s">
        <v>4245</v>
      </c>
      <c r="K1400" s="449" t="str">
        <f>'Part VIII-Threshold Criteria'!K230</f>
        <v>W&amp;D installed in each unit</v>
      </c>
      <c r="L1400" s="449"/>
      <c r="M1400" s="449"/>
      <c r="N1400" s="449"/>
      <c r="Q1400" s="1229"/>
      <c r="R1400" s="1815"/>
    </row>
    <row r="1401" spans="1:18" ht="11.25" customHeight="1">
      <c r="A1401" s="1940" t="s">
        <v>1937</v>
      </c>
      <c r="B1401" s="449" t="s">
        <v>6932</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6874</v>
      </c>
      <c r="D1402" s="449"/>
      <c r="E1402" s="449"/>
      <c r="F1402" s="449"/>
      <c r="G1402" s="449"/>
      <c r="H1402" s="449"/>
      <c r="I1402" s="449"/>
      <c r="J1402" s="449"/>
      <c r="K1402" s="1815"/>
      <c r="L1402" s="1815"/>
      <c r="M1402" s="1815"/>
      <c r="N1402" s="1940" t="s">
        <v>3451</v>
      </c>
      <c r="O1402" s="2139">
        <f>'Part VI-Revenues &amp; Expenses'!$P$67</f>
        <v>48</v>
      </c>
      <c r="P1402" s="1945" t="s">
        <v>4402</v>
      </c>
      <c r="Q1402" s="1945"/>
    </row>
    <row r="1403" spans="1:18" ht="11.1" customHeight="1">
      <c r="A1403" s="1940"/>
      <c r="B1403" s="1908" t="s">
        <v>1694</v>
      </c>
      <c r="C1403" s="449" t="s">
        <v>4403</v>
      </c>
      <c r="D1403" s="449"/>
      <c r="E1403" s="449"/>
      <c r="F1403" s="449"/>
      <c r="H1403" s="1940" t="s">
        <v>4404</v>
      </c>
      <c r="I1403" s="449" t="s">
        <v>6828</v>
      </c>
      <c r="M1403" s="1815"/>
      <c r="N1403" s="1815"/>
      <c r="O1403" s="1816"/>
      <c r="P1403" s="1898" t="s">
        <v>755</v>
      </c>
      <c r="Q1403" s="1898" t="s">
        <v>4401</v>
      </c>
    </row>
    <row r="1404" spans="1:18" s="1951" customFormat="1" ht="11.4" customHeight="1">
      <c r="A1404" s="1229"/>
      <c r="B1404" s="1940" t="s">
        <v>2065</v>
      </c>
      <c r="C1404" s="1936" t="str">
        <f>'Part VIII-Threshold Criteria'!C234</f>
        <v>Fenced community gardens</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Furnished Exercise /Fitness Center</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 xml:space="preserve">Equipped Computer Center and WiFi </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Wellness Center</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6875</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f>'Part VIII-Threshold Criteria'!P245</f>
        <v>0</v>
      </c>
      <c r="Q1415" s="1229"/>
    </row>
    <row r="1416" spans="1:31" ht="11.25" customHeight="1">
      <c r="A1416" s="1940" t="s">
        <v>2064</v>
      </c>
      <c r="B1416" s="449" t="s">
        <v>4561</v>
      </c>
      <c r="C1416" s="449"/>
      <c r="E1416" s="449"/>
      <c r="F1416" s="449"/>
      <c r="G1416" s="449"/>
      <c r="H1416" s="449"/>
      <c r="I1416" s="449"/>
      <c r="J1416" s="449"/>
      <c r="K1416" s="1815"/>
      <c r="M1416" s="1940"/>
      <c r="N1416" s="1908" t="str">
        <f>'Part I-Project Information'!$H$82</f>
        <v>HFOP</v>
      </c>
      <c r="O1416" s="1940" t="s">
        <v>2064</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Applicant agrees to provide the required site amenities.</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4563</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4353</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2064</v>
      </c>
      <c r="B1434" s="449" t="s">
        <v>3673</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3571</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2304</v>
      </c>
      <c r="P1438" s="1229">
        <f>'Part VIII-Threshold Criteria'!P268</f>
        <v>0</v>
      </c>
      <c r="Q1438" s="1229"/>
    </row>
    <row r="1439" spans="1:17" ht="21.75" customHeight="1">
      <c r="B1439" s="1936" t="s">
        <v>6905</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N/A, the project is new construction.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3569</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4748</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 Site Development Plan has been prepared in accordance with all instructions set forth in the DCA Submission Requirement Manual and Qualified Allocation Plan. Please see Tab 15 for the Conceptual Site Development Plan, location and vicinity maps, ground level color photos of the site and surrounding structures with key and aerial showing site boundary and adjacent land uses.</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4392</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4551</v>
      </c>
      <c r="D1461" s="1815"/>
      <c r="E1461" s="1815"/>
      <c r="O1461" s="1940" t="s">
        <v>1937</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agrees that the project will comply with Georgia State Minimum Standard Energy Code in effect at the time of permit issuance. The Applicant will obtain a sustainable building certificate from Earth Craft House Multifamily. Please see tab 16 for the sustainability worksheet.</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6876</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1937</v>
      </c>
      <c r="B1472" s="1911" t="s">
        <v>3651</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6877</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3800</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6878</v>
      </c>
      <c r="D1476" s="1936"/>
      <c r="E1476" s="1936"/>
      <c r="F1476" s="1936"/>
      <c r="G1476" s="1936"/>
      <c r="H1476" s="1936"/>
      <c r="I1476" s="1944" t="s">
        <v>3801</v>
      </c>
      <c r="J1476" s="1819"/>
      <c r="K1476" s="2228">
        <f>'Part VIII-Threshold Criteria'!K306</f>
        <v>2</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6879</v>
      </c>
      <c r="D1478" s="1936"/>
      <c r="E1478" s="1936"/>
      <c r="F1478" s="1936"/>
      <c r="G1478" s="1936"/>
      <c r="H1478" s="1936"/>
      <c r="I1478" s="449" t="s">
        <v>3802</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3652</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4354</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2304</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comply with all Federal and State accessibility standards and DCA accessibility standards in the Architectural and Accessibility Manuals. Applicant will retain a qualified consultant to monitor the project for accessibility compliance. The consultant will not be a member of the Project Team nor have an identity of interest with any member of the Project Team.</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6880</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6881</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f>'Part VIII-Threshold Criteria'!A336</f>
        <v>0</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1820</v>
      </c>
      <c r="P1509" s="1897"/>
      <c r="Q1509" s="1897"/>
    </row>
    <row r="1510" spans="1:31" ht="11.4" customHeight="1">
      <c r="A1510" s="1940" t="s">
        <v>1935</v>
      </c>
      <c r="B1510" s="1945" t="s">
        <v>4711</v>
      </c>
      <c r="O1510" s="1942" t="s">
        <v>1935</v>
      </c>
      <c r="P1510" s="1229" t="str">
        <f>'Part VIII-Threshold Criteria'!P340</f>
        <v>Yes</v>
      </c>
      <c r="Q1510" s="1229"/>
    </row>
    <row r="1511" spans="1:31" ht="11.4" customHeight="1">
      <c r="A1511" s="1942" t="s">
        <v>1937</v>
      </c>
      <c r="B1511" s="1945" t="s">
        <v>3773</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3627</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Please see Tab 19 for the Qualification Determination.  The Project Team has been deemed to be "Qualified" and is approved for experience/compliance performance but as it relates to capaticty only approved for new construction.  The proposed development will be new construction. </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3765</v>
      </c>
      <c r="D1522" s="1815"/>
      <c r="E1522" s="1815"/>
      <c r="F1522" s="1815"/>
      <c r="G1522" s="1815"/>
      <c r="H1522" s="1940" t="s">
        <v>1935</v>
      </c>
      <c r="I1522" s="449">
        <f>'Part VIII-Threshold Criteria'!I352</f>
        <v>0</v>
      </c>
      <c r="J1522" s="449"/>
      <c r="K1522" s="449"/>
      <c r="L1522" s="449"/>
      <c r="M1522" s="449"/>
      <c r="N1522" s="449"/>
      <c r="O1522" s="449"/>
      <c r="P1522" s="449"/>
      <c r="Q1522" s="1229"/>
    </row>
    <row r="1523" spans="1:31" ht="10.5" customHeight="1">
      <c r="A1523" s="1942" t="s">
        <v>1937</v>
      </c>
      <c r="B1523" s="449" t="s">
        <v>3766</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3758</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3761</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6906</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3762</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N/A</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4695</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4361</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2304</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3685</v>
      </c>
      <c r="D1548" s="449"/>
      <c r="E1548" s="449"/>
      <c r="F1548" s="449"/>
      <c r="G1548" s="449"/>
      <c r="H1548" s="449"/>
      <c r="P1548" s="449"/>
      <c r="Q1548" s="449"/>
      <c r="R1548" s="449"/>
    </row>
    <row r="1549" spans="1:18" s="1815" customFormat="1" ht="11.25" customHeight="1">
      <c r="B1549" s="1908" t="s">
        <v>1694</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3690</v>
      </c>
      <c r="E1553" s="449"/>
      <c r="F1553" s="449"/>
      <c r="G1553" s="449"/>
      <c r="H1553" s="449"/>
      <c r="M1553" s="449"/>
      <c r="N1553" s="449"/>
      <c r="O1553" s="1940" t="s">
        <v>2304</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N/A</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3518</v>
      </c>
      <c r="G1564" s="1908"/>
      <c r="H1564" s="1908"/>
      <c r="I1564" s="1908"/>
      <c r="J1564" s="1908" t="s">
        <v>3519</v>
      </c>
      <c r="L1564" s="1908"/>
      <c r="M1564" s="2144">
        <f>'Part VIII-Threshold Criteria'!M394</f>
        <v>0</v>
      </c>
      <c r="N1564" s="2144"/>
      <c r="O1564" s="1940" t="s">
        <v>2064</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N/A</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f>'Part VIII-Threshold Criteria'!P401</f>
        <v>0</v>
      </c>
      <c r="Q1571" s="1229"/>
    </row>
    <row r="1572" spans="1:31" ht="12" customHeight="1">
      <c r="A1572" s="1940" t="s">
        <v>1937</v>
      </c>
      <c r="B1572" s="449" t="s">
        <v>3442</v>
      </c>
      <c r="D1572" s="1936"/>
      <c r="E1572" s="1936"/>
      <c r="O1572" s="1940" t="s">
        <v>1937</v>
      </c>
      <c r="P1572" s="1229">
        <f>'Part VIII-Threshold Criteria'!P402</f>
        <v>0</v>
      </c>
      <c r="Q1572" s="1229"/>
    </row>
    <row r="1573" spans="1:31" ht="12" customHeight="1">
      <c r="A1573" s="1940" t="s">
        <v>731</v>
      </c>
      <c r="B1573" s="449" t="s">
        <v>4712</v>
      </c>
      <c r="D1573" s="1936"/>
      <c r="E1573" s="1936"/>
      <c r="O1573" s="1940" t="s">
        <v>731</v>
      </c>
      <c r="P1573" s="1229">
        <f>'Part VIII-Threshold Criteria'!P403</f>
        <v>0</v>
      </c>
      <c r="Q1573" s="1229"/>
    </row>
    <row r="1574" spans="1:31" ht="12" customHeight="1">
      <c r="A1574" s="1940" t="s">
        <v>2064</v>
      </c>
      <c r="B1574" s="449" t="s">
        <v>3443</v>
      </c>
      <c r="E1574" s="1936"/>
      <c r="O1574" s="1940" t="s">
        <v>2064</v>
      </c>
      <c r="P1574" s="1229">
        <f>'Part VIII-Threshold Criteria'!P404</f>
        <v>0</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N/A</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4534</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4715</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3437</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4367</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3643</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6907</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N/A</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1820</v>
      </c>
      <c r="P1611" s="1897"/>
      <c r="Q1611" s="1897"/>
    </row>
    <row r="1612" spans="1:31" ht="14.1" customHeight="1">
      <c r="B1612" s="449" t="s">
        <v>4459</v>
      </c>
      <c r="C1612" s="1815"/>
      <c r="D1612" s="449"/>
      <c r="E1612" s="1939"/>
      <c r="F1612" s="1939"/>
      <c r="G1612" s="1939"/>
      <c r="H1612" s="1939"/>
    </row>
    <row r="1613" spans="1:31" s="1910" customFormat="1" ht="21.75" customHeight="1">
      <c r="A1613" s="1942" t="s">
        <v>1935</v>
      </c>
      <c r="B1613" s="1936" t="s">
        <v>3692</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3691</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4415</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4416</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4417</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4418</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4501</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prepare and submit an AFFH Marketing Plan if selected.</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2638</v>
      </c>
      <c r="D1628" s="1945"/>
      <c r="E1628" s="449"/>
      <c r="J1628" s="1908"/>
      <c r="M1628" s="1896"/>
      <c r="N1628" s="1896"/>
      <c r="O1628" s="1942" t="s">
        <v>1820</v>
      </c>
      <c r="P1628" s="1897"/>
      <c r="Q1628" s="1897"/>
    </row>
    <row r="1629" spans="1:31" s="1950" customFormat="1" ht="15" customHeight="1">
      <c r="A1629" s="1942" t="s">
        <v>1935</v>
      </c>
      <c r="B1629" s="1936" t="s">
        <v>4585</v>
      </c>
      <c r="C1629" s="1936"/>
      <c r="D1629" s="1936"/>
      <c r="E1629" s="1936"/>
      <c r="F1629" s="1936"/>
      <c r="G1629" s="1936"/>
      <c r="H1629" s="1936"/>
      <c r="I1629" s="1936"/>
      <c r="J1629" s="1945" t="s">
        <v>4455</v>
      </c>
      <c r="K1629" s="1945"/>
      <c r="L1629" s="1843" t="s">
        <v>4587</v>
      </c>
      <c r="M1629" s="1947"/>
      <c r="N1629" s="1926">
        <f>ROUNDUP('Part VI-Revenues &amp; Expenses'!$P$63*0.1,0)</f>
        <v>5</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4456</v>
      </c>
      <c r="M1630" s="1947"/>
      <c r="N1630" s="1926">
        <f>'Part VI-Revenues &amp; Expenses'!$P$63</f>
        <v>48</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48</v>
      </c>
      <c r="P1631" s="1936"/>
      <c r="Q1631" s="1936"/>
    </row>
    <row r="1632" spans="1:31" s="1936" customFormat="1" ht="22.5" customHeight="1">
      <c r="A1632" s="1942" t="s">
        <v>1937</v>
      </c>
      <c r="B1632" s="1936" t="s">
        <v>4591</v>
      </c>
      <c r="J1632" s="449" t="s">
        <v>4586</v>
      </c>
      <c r="K1632" s="449"/>
      <c r="L1632" s="449">
        <f>'Part VIII-Threshold Criteria'!L462</f>
        <v>0</v>
      </c>
      <c r="M1632" s="449"/>
      <c r="N1632" s="449"/>
      <c r="O1632" s="1949" t="s">
        <v>1937</v>
      </c>
      <c r="P1632" s="1938" t="str">
        <f>'Part VIII-Threshold Criteria'!P462</f>
        <v>Yes</v>
      </c>
      <c r="Q1632" s="1938"/>
    </row>
    <row r="1633" spans="1:31" s="1936" customFormat="1" ht="12" customHeight="1">
      <c r="A1633" s="1942" t="s">
        <v>731</v>
      </c>
      <c r="B1633" s="1936" t="s">
        <v>4359</v>
      </c>
      <c r="J1633" s="449" t="s">
        <v>4278</v>
      </c>
      <c r="K1633" s="1958">
        <f>'Part VI-Revenues &amp; Expenses'!$P$115</f>
        <v>48</v>
      </c>
      <c r="L1633" s="1908" t="s">
        <v>4277</v>
      </c>
      <c r="M1633" s="1947"/>
      <c r="N1633" s="1926">
        <f>ROUNDUP(N1631*0.1,0)</f>
        <v>5</v>
      </c>
      <c r="O1633" s="1949" t="s">
        <v>731</v>
      </c>
      <c r="P1633" s="1936" t="str">
        <f>'Part VIII-Threshold Criteria'!P463</f>
        <v>Yes</v>
      </c>
      <c r="R1633" s="1822"/>
      <c r="S1633" s="1822"/>
    </row>
    <row r="1634" spans="1:31" s="1936" customFormat="1" ht="12" customHeight="1">
      <c r="J1634" s="449" t="s">
        <v>4279</v>
      </c>
      <c r="K1634" s="2147">
        <f>IF(N1631=0,"",K1633/N1631)</f>
        <v>1</v>
      </c>
      <c r="L1634" s="1908" t="s">
        <v>4454</v>
      </c>
      <c r="M1634" s="449"/>
      <c r="N1634" s="2148">
        <f>'Part VI-Revenues &amp; Expenses'!$L$67/'Part VI-Revenues &amp; Expenses'!$P$67</f>
        <v>0.5</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4280</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1940</v>
      </c>
      <c r="C1636" s="449" t="s">
        <v>4589</v>
      </c>
      <c r="D1636" s="449"/>
      <c r="E1636" s="449"/>
      <c r="F1636" s="449"/>
      <c r="G1636" s="449"/>
      <c r="H1636" s="449"/>
      <c r="I1636" s="449"/>
      <c r="J1636" s="449"/>
      <c r="K1636" s="449"/>
      <c r="L1636" s="449"/>
      <c r="M1636" s="449"/>
      <c r="N1636" s="449"/>
      <c r="O1636" s="1940" t="s">
        <v>4590</v>
      </c>
      <c r="P1636" s="1229">
        <f>'Part VIII-Threshold Criteria'!P466</f>
        <v>0</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units without rental assistance and commits to accept Section811 PBRA or other DCA-sponsored RA for 10% of the total restricted units for the purpose of providing integrated supportive housing opportunities to persons with disabilities and is prepared to accept the full utilzation by DCA of 10% of the units. Applicant is not prevented from adopting and implementing either of the criteria listed below due to program regulations.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Applicant believes the project as proposed is an optimal utilization of DCA resources.</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4696</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2020-067 Boxwood Heights,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6908</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54</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6933</v>
      </c>
      <c r="I1663" s="449"/>
      <c r="J1663" s="449"/>
      <c r="K1663" s="449"/>
      <c r="L1663" s="449"/>
      <c r="M1663" s="1954" t="s">
        <v>6934</v>
      </c>
      <c r="N1663" s="449"/>
      <c r="O1663" s="1916">
        <f>'Part IX Scoring Criteria'!O8</f>
        <v>0</v>
      </c>
      <c r="P1663" s="1896">
        <f>'Part IX Scoring Criteria'!P8</f>
        <v>0</v>
      </c>
      <c r="Q1663" s="449" t="s">
        <v>6909</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6935</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applicant is eligible for the maximum ten (10) total Desirable Activities points. The proposed site is within a 0.5 mile of a community playground, Ross Dress for Less, Columbus Aquatic Center and  Chattachoochee Valley Library. The proposed site is also within 1.5 miles of McDonalds, Citzens Trust Bank, Publix, St. Francis Urgent Care, Post Office, St. Anne Catholic Church, Walgreens and Rigdon Elementary. There are no undesirables. Please see Tab 28 of the Applcation for the Desirable/Undesirable form and additional information regarding the desirable activities.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3</v>
      </c>
      <c r="F1667" s="1986" t="str">
        <f>'Part IX Scoring Criteria'!F12</f>
        <v>The proposed project is within 0.25 miles (actual distance is 0.1 miles from pedestrian site entrance) of a bus top along route 1of the City of Columbus METRA transit system, The stop is located at 1872 Midtown Dr Road, Columbus, GA 31903. Applicant is elligible for three points in this section.</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 xml:space="preserve">The Applicant has indicated it will provide Preventive Health Care Services to its residents and will perform monthly biometric screenings and health and wellness education to the residents.  The screenings will be offered at no cost to the residents.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The cost for Preventive Healthcare and Healthy Eating Initiative can be found in the Revenues and Expenses Tab.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N/A</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7</v>
      </c>
      <c r="F1670" s="1986" t="str">
        <f>'Part IX Scoring Criteria'!F15</f>
        <v xml:space="preserve">Applicant is claiming 5 points as the property is located within target area for the MidTown Columbus Redevelopment Plan.  Please see the Redevelopment Plan located in Tab 31 of the Application. The MidTown Columbus Redevelopment Plan, sanctioned by the Columbus Georgia Consolidated Government meets the guidelines and requirements for Redevelopment Plans per the QAP.  The proposed site for Boxwood Heights is located within a 2020 QCT, as shown on a map in Tab 31. In August of 2018, the city of Columbus completed the replacement of the Boxwood Blvd. bridge at a cost of $996,853, representing over 10% of the the TDC and eligibility for an additional 2 points for the Third Party Capital Investment. Information on this 3rd Party Capital Investment can be found in Tab 31. </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N/A</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0</v>
      </c>
      <c r="F1672" s="1986" t="str">
        <f>'Part IX Scoring Criteria'!F17</f>
        <v>N/A</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3597</v>
      </c>
      <c r="C1673" s="1956"/>
      <c r="D1673" s="1956"/>
      <c r="E1673" s="2149">
        <f>'Part IX Scoring Criteria'!E18</f>
        <v>0</v>
      </c>
      <c r="F1673" s="1986" t="str">
        <f>'Part IX Scoring Criteria'!F18</f>
        <v>N/A</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0</v>
      </c>
      <c r="F1674" s="1986" t="str">
        <f>'Part IX Scoring Criteria'!F19</f>
        <v>Project is not a phased development.</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3</v>
      </c>
      <c r="F1675" s="1986" t="str">
        <f>'Part IX Scoring Criteria'!F20</f>
        <v>The proposed development site is not within a 1-mile buffer (flex pool-specific buffer) of any 9% Credit development and is therefore eligible for three (3) Previous Project points.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0</v>
      </c>
      <c r="F1676" s="1986" t="str">
        <f>'Part IX Scoring Criteria'!F21</f>
        <v>N/A</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N/A</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N/A</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6910</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4283</v>
      </c>
      <c r="D1682" s="1897"/>
      <c r="E1682" s="1897"/>
      <c r="F1682" s="1229"/>
      <c r="M1682" s="1896"/>
      <c r="N1682" s="1940" t="s">
        <v>1935</v>
      </c>
    </row>
    <row r="1683" spans="1:20" s="1951" customFormat="1" ht="11.25" customHeight="1">
      <c r="A1683" s="1904"/>
      <c r="B1683" s="2151" t="s">
        <v>1938</v>
      </c>
      <c r="C1683" s="1897" t="s">
        <v>4286</v>
      </c>
      <c r="D1683" s="1897"/>
      <c r="E1683" s="1897"/>
      <c r="F1683" s="1229"/>
      <c r="H1683" s="1822" t="s">
        <v>3480</v>
      </c>
      <c r="J1683" s="449"/>
      <c r="M1683" s="1896"/>
      <c r="N1683" s="1949" t="s">
        <v>1938</v>
      </c>
      <c r="O1683" s="1916">
        <f>'Part IX Scoring Criteria'!O28</f>
        <v>0</v>
      </c>
      <c r="P1683" s="1916">
        <f>F1691</f>
        <v>0</v>
      </c>
    </row>
    <row r="1684" spans="1:20" s="1951" customFormat="1" ht="11.25" customHeight="1">
      <c r="A1684" s="1904"/>
      <c r="B1684" s="2151" t="s">
        <v>1940</v>
      </c>
      <c r="C1684" s="1897" t="s">
        <v>6829</v>
      </c>
      <c r="D1684" s="1897"/>
      <c r="E1684" s="1897"/>
      <c r="F1684" s="1229"/>
      <c r="H1684" s="1822" t="s">
        <v>4284</v>
      </c>
      <c r="J1684" s="449"/>
      <c r="M1684" s="1896"/>
      <c r="N1684" s="1949" t="s">
        <v>1940</v>
      </c>
      <c r="O1684" s="1916">
        <f>'Part IX Scoring Criteria'!O29</f>
        <v>0</v>
      </c>
      <c r="P1684" s="1916">
        <f>J1691</f>
        <v>0</v>
      </c>
    </row>
    <row r="1685" spans="1:20" s="1951" customFormat="1" ht="11.25" customHeight="1">
      <c r="A1685" s="1904"/>
      <c r="B1685" s="2151" t="s">
        <v>2467</v>
      </c>
      <c r="C1685" s="1897" t="s">
        <v>4285</v>
      </c>
      <c r="D1685" s="1897"/>
      <c r="E1685" s="1897"/>
      <c r="F1685" s="1229"/>
      <c r="H1685" s="1822" t="s">
        <v>4289</v>
      </c>
      <c r="J1685" s="449"/>
      <c r="M1685" s="1896"/>
      <c r="N1685" s="1949" t="s">
        <v>2467</v>
      </c>
      <c r="O1685" s="1916">
        <f>'Part IX Scoring Criteria'!O30</f>
        <v>0</v>
      </c>
      <c r="P1685" s="1916"/>
    </row>
    <row r="1686" spans="1:20" s="1951" customFormat="1" ht="11.25" customHeight="1">
      <c r="C1686" s="1956" t="s">
        <v>6882</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6936</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3808</v>
      </c>
      <c r="G1690" s="449" t="s">
        <v>4437</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6937</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4438</v>
      </c>
      <c r="J1707" s="2155"/>
      <c r="K1707" s="2155" t="str">
        <f>'Part I-Project Information'!$K$94</f>
        <v>Income Averaging</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4292</v>
      </c>
      <c r="D1710" s="449"/>
      <c r="H1710" s="449" t="s">
        <v>4293</v>
      </c>
      <c r="I1710" s="1822"/>
      <c r="K1710" s="2157">
        <f>'Part IX Scoring Criteria'!K55</f>
        <v>57.916666666666664</v>
      </c>
      <c r="L1710" s="1849" t="str">
        <f>IF(AND(O1710&gt;0,O1711&gt;0), "CHOOSE EITHER A OR B, NOT BOTH!", "")</f>
        <v/>
      </c>
      <c r="M1710" s="1732">
        <v>2</v>
      </c>
      <c r="N1710" s="1960" t="s">
        <v>1938</v>
      </c>
      <c r="O1710" s="1923">
        <f>'Part IX Scoring Criteria'!O55</f>
        <v>2</v>
      </c>
      <c r="P1710" s="1923"/>
      <c r="Q1710" s="1843" t="str">
        <f>IF(OR($O1710=$M1710,$O1710=0,$O1710=""),"","*CHECK!*")</f>
        <v/>
      </c>
      <c r="R1710" s="1823" t="s">
        <v>4767</v>
      </c>
    </row>
    <row r="1711" spans="1:18" s="1947" customFormat="1" ht="13.5" customHeight="1">
      <c r="A1711" s="1940" t="s">
        <v>3236</v>
      </c>
      <c r="B1711" s="2156" t="s">
        <v>1940</v>
      </c>
      <c r="C1711" s="1959" t="s">
        <v>4294</v>
      </c>
      <c r="D1711" s="449"/>
      <c r="I1711" s="1822"/>
      <c r="K1711" s="449"/>
      <c r="L1711" s="1849"/>
      <c r="M1711" s="1732">
        <v>2</v>
      </c>
      <c r="N1711" s="1960" t="s">
        <v>1940</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6938</v>
      </c>
      <c r="E1713" s="1945"/>
      <c r="H1713" s="1822" t="s">
        <v>4295</v>
      </c>
      <c r="I1713" s="1822"/>
      <c r="J1713" s="1961" t="s">
        <v>4296</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3482</v>
      </c>
      <c r="E1714" s="1945"/>
      <c r="F1714" s="1944"/>
      <c r="H1714" s="2160">
        <f>'Part IX Scoring Criteria'!H59</f>
        <v>0</v>
      </c>
      <c r="I1714" s="2160"/>
      <c r="J1714" s="2161">
        <f>'Part IX Scoring Criteria'!J59</f>
        <v>48</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3705</v>
      </c>
      <c r="E1715" s="2162"/>
      <c r="F1715" s="1944"/>
      <c r="I1715" s="1953"/>
      <c r="J1715" s="1953"/>
      <c r="K1715" s="1953"/>
      <c r="L1715" s="1953"/>
      <c r="M1715" s="1953"/>
      <c r="N1715" s="1949" t="s">
        <v>1940</v>
      </c>
      <c r="O1715" s="1229">
        <f>'Part IX Scoring Criteria'!O60</f>
        <v>0</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6939</v>
      </c>
      <c r="J1722" s="1956"/>
      <c r="K1722" s="1956"/>
      <c r="L1722" s="1956"/>
      <c r="M1722" s="1896">
        <v>10</v>
      </c>
      <c r="N1722" s="1960" t="s">
        <v>1935</v>
      </c>
      <c r="O1722" s="1923">
        <f>'Part IX Scoring Criteria'!O67</f>
        <v>10</v>
      </c>
      <c r="P1722" s="1923"/>
      <c r="Q1722" s="1843" t="str">
        <f>IF(OR($O1722=$M1722,$O1722=0,$O1722=""),"","*CHECK!*")</f>
        <v/>
      </c>
      <c r="R1722" s="1823" t="s">
        <v>4767</v>
      </c>
    </row>
    <row r="1723" spans="1:18" s="1947" customFormat="1" ht="12.6" customHeight="1">
      <c r="A1723" s="1904" t="s">
        <v>1937</v>
      </c>
      <c r="B1723" s="1897" t="s">
        <v>3628</v>
      </c>
      <c r="D1723" s="1962"/>
      <c r="F1723" s="1963"/>
      <c r="H1723" s="1863" t="s">
        <v>3727</v>
      </c>
      <c r="I1723" s="1956"/>
      <c r="J1723" s="1956"/>
      <c r="K1723" s="1956"/>
      <c r="L1723" s="1956"/>
      <c r="M1723" s="1229" t="s">
        <v>1212</v>
      </c>
      <c r="N1723" s="1940" t="s">
        <v>1937</v>
      </c>
      <c r="O1723" s="1923">
        <f>'Part IX Scoring Criteria'!O68</f>
        <v>0</v>
      </c>
      <c r="P1723" s="1923"/>
      <c r="R1723" s="1823" t="s">
        <v>4767</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applicant is eligible for the maximum ten (10) total Desirable Activities points. The proposed site is within a 0.5 mile of a community playground, Ross Dress for Less, Columbus Aquatic Center and  Chattachoochee Valley Library. The proposed site is also within 1.5 miles of McDonalds, Citzens Trust Bank, Publix, St. Francis Urgent Care, Post Office, St. Anne Catholic Church, Walgreens and Rigdon Elementary. There are no undesirables. Please see Tab 28 of the Applcation for the Desirable/Undesirable form and additional information regarding the desirable activities.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3</v>
      </c>
      <c r="P1729" s="1923">
        <f>'Part IX Scoring Criteria'!P74</f>
        <v>0</v>
      </c>
      <c r="Q1729" s="1896" t="s">
        <v>433</v>
      </c>
      <c r="R1729" s="1952" t="s">
        <v>6976</v>
      </c>
      <c r="S1729" s="1952"/>
      <c r="T1729" s="1952"/>
      <c r="U1729" s="1952"/>
    </row>
    <row r="1730" spans="1:21" s="1951" customFormat="1" ht="17.25" customHeight="1">
      <c r="A1730" s="2150"/>
      <c r="B1730" s="1897" t="s">
        <v>3706</v>
      </c>
      <c r="D1730" s="2163"/>
      <c r="H1730" s="1897" t="s">
        <v>2702</v>
      </c>
      <c r="I1730" s="1918"/>
      <c r="J1730" s="1897" t="str">
        <f>'Part I-Project Information'!$H$105</f>
        <v>Flexible</v>
      </c>
      <c r="K1730" s="1897"/>
      <c r="M1730" s="1896"/>
      <c r="N1730" s="1940"/>
      <c r="O1730" s="2164" t="s">
        <v>3449</v>
      </c>
      <c r="P1730" s="2164" t="s">
        <v>3450</v>
      </c>
      <c r="Q1730" s="1896"/>
      <c r="R1730" s="1952"/>
      <c r="S1730" s="1952"/>
      <c r="T1730" s="1952"/>
      <c r="U1730" s="1952"/>
    </row>
    <row r="1731" spans="1:21" s="1951" customFormat="1" ht="11.25" customHeight="1">
      <c r="A1731" s="2150"/>
      <c r="B1731" s="1969" t="s">
        <v>1938</v>
      </c>
      <c r="C1731" s="449" t="s">
        <v>4302</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1940</v>
      </c>
      <c r="C1732" s="449" t="s">
        <v>4303</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2467</v>
      </c>
      <c r="C1733" s="449" t="s">
        <v>6911</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3535</v>
      </c>
      <c r="G1736" s="1897"/>
      <c r="H1736" s="1897"/>
      <c r="I1736" s="1897"/>
      <c r="J1736" s="1897" t="s">
        <v>3536</v>
      </c>
      <c r="K1736" s="1897"/>
      <c r="L1736" s="1897"/>
      <c r="M1736" s="1897"/>
      <c r="N1736" s="1940"/>
      <c r="O1736" s="1964" t="s">
        <v>6977</v>
      </c>
      <c r="P1736" s="1964"/>
      <c r="Q1736" s="1896"/>
      <c r="R1736" s="1952"/>
      <c r="S1736" s="1952"/>
      <c r="T1736" s="1952"/>
      <c r="U1736" s="1952"/>
    </row>
    <row r="1737" spans="1:21" s="1951" customFormat="1" ht="12.75" customHeight="1">
      <c r="A1737" s="2150"/>
      <c r="C1737" s="1897" t="s">
        <v>3711</v>
      </c>
      <c r="D1737" s="1855"/>
      <c r="E1737" s="1849"/>
      <c r="F1737" s="1965">
        <f>'Part IX Scoring Criteria'!F82</f>
        <v>32.477728999999997</v>
      </c>
      <c r="G1737" s="1965"/>
      <c r="H1737" s="1965"/>
      <c r="I1737" s="1965"/>
      <c r="J1737" s="1965">
        <f>'Part IX Scoring Criteria'!J82</f>
        <v>-84.939828000000006</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32.477947999999998</v>
      </c>
      <c r="G1738" s="1965"/>
      <c r="H1738" s="1965"/>
      <c r="I1738" s="1965"/>
      <c r="J1738" s="1965">
        <f>'Part IX Scoring Criteria'!J83</f>
        <v>-84.941370000000006</v>
      </c>
      <c r="K1738" s="1965"/>
      <c r="L1738" s="1965"/>
      <c r="M1738" s="1965"/>
      <c r="N1738" s="1940"/>
      <c r="O1738" s="2229">
        <f>'Part IX Scoring Criteria'!O83</f>
        <v>0.1</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3559</v>
      </c>
      <c r="D1744" s="2163"/>
      <c r="F1744" s="449" t="s">
        <v>6912</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6940</v>
      </c>
      <c r="D1745" s="1936"/>
      <c r="E1745" s="1936"/>
      <c r="F1745" s="1936"/>
      <c r="G1745" s="1936"/>
      <c r="H1745" s="1936"/>
      <c r="I1745" s="1963" t="s">
        <v>6941</v>
      </c>
      <c r="J1745" s="1963"/>
      <c r="K1745" s="1963"/>
      <c r="L1745" s="1963"/>
      <c r="M1745" s="1967">
        <v>5</v>
      </c>
      <c r="N1745" s="1968" t="s">
        <v>1938</v>
      </c>
      <c r="O1745" s="2166">
        <f>'Part IX Scoring Criteria'!O90</f>
        <v>0</v>
      </c>
      <c r="P1745" s="2166"/>
      <c r="Q1745" s="1843" t="str">
        <f>IF(OR($O1745=$M1745,$O1745=0,$O1745=""),"","*CHECK!*")</f>
        <v/>
      </c>
      <c r="R1745" s="1823" t="s">
        <v>4767</v>
      </c>
    </row>
    <row r="1746" spans="1:21" s="1950" customFormat="1" ht="12" customHeight="1">
      <c r="A1746" s="1229" t="s">
        <v>1326</v>
      </c>
      <c r="B1746" s="1968" t="s">
        <v>1940</v>
      </c>
      <c r="C1746" s="1936" t="s">
        <v>6942</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4767</v>
      </c>
    </row>
    <row r="1747" spans="1:21" s="1950" customFormat="1" ht="12" customHeight="1">
      <c r="B1747" s="1968" t="s">
        <v>2467</v>
      </c>
      <c r="C1747" s="1936" t="s">
        <v>3560</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4767</v>
      </c>
    </row>
    <row r="1748" spans="1:21" s="1950" customFormat="1" ht="12" customHeight="1">
      <c r="B1748" s="1968"/>
      <c r="C1748" s="1863" t="s">
        <v>3775</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3561</v>
      </c>
      <c r="C1750" s="1772"/>
      <c r="D1750" s="1772"/>
      <c r="E1750" s="1772"/>
      <c r="F1750" s="1936" t="s">
        <v>6913</v>
      </c>
      <c r="I1750" s="1956" t="str">
        <f>'Part IX Scoring Criteria'!I95</f>
        <v>Columbus METRA Transit System</v>
      </c>
      <c r="J1750" s="1956"/>
      <c r="K1750" s="1956"/>
      <c r="L1750" s="2230">
        <f>'Part IX Scoring Criteria'!L95</f>
        <v>7062254673</v>
      </c>
      <c r="M1750" s="1896">
        <v>3</v>
      </c>
      <c r="N1750" s="1940" t="s">
        <v>1937</v>
      </c>
      <c r="O1750" s="1923">
        <f>'Part IX Scoring Criteria'!O95</f>
        <v>3</v>
      </c>
      <c r="P1750" s="1923">
        <f>'Part IX Scoring Criteria'!P95</f>
        <v>0</v>
      </c>
      <c r="Q1750" s="1768"/>
      <c r="R1750" s="1955"/>
    </row>
    <row r="1751" spans="1:21" s="1951" customFormat="1" ht="11.25" customHeight="1">
      <c r="A1751" s="2150"/>
      <c r="B1751" s="1940" t="s">
        <v>3589</v>
      </c>
      <c r="C1751" s="1822" t="s">
        <v>4301</v>
      </c>
      <c r="D1751" s="1962"/>
      <c r="E1751" s="1947"/>
      <c r="F1751" s="1947"/>
      <c r="G1751" s="1947"/>
      <c r="H1751" s="449"/>
      <c r="I1751" s="1956"/>
      <c r="J1751" s="1956"/>
      <c r="K1751" s="1956"/>
      <c r="L1751" s="2230"/>
      <c r="M1751" s="1947"/>
      <c r="N1751" s="1940" t="s">
        <v>3589</v>
      </c>
      <c r="O1751" s="1229">
        <f>'Part IX Scoring Criteria'!O96</f>
        <v>0</v>
      </c>
      <c r="P1751" s="1229"/>
      <c r="Q1751" s="1896"/>
      <c r="R1751" s="1955"/>
      <c r="S1751" s="1950"/>
      <c r="T1751" s="1950"/>
      <c r="U1751" s="1950"/>
    </row>
    <row r="1752" spans="1:21" s="1951" customFormat="1" ht="11.25" customHeight="1">
      <c r="A1752" s="2150"/>
      <c r="B1752" s="1940" t="s">
        <v>3590</v>
      </c>
      <c r="C1752" s="1822" t="s">
        <v>4300</v>
      </c>
      <c r="D1752" s="1962"/>
      <c r="E1752" s="1947"/>
      <c r="F1752" s="1947"/>
      <c r="G1752" s="1947"/>
      <c r="H1752" s="449"/>
      <c r="I1752" s="1956" t="str">
        <f>'Part IX Scoring Criteria'!I97</f>
        <v>metrainfo@columbusga.org</v>
      </c>
      <c r="J1752" s="1956"/>
      <c r="K1752" s="1956"/>
      <c r="L1752" s="1956"/>
      <c r="M1752" s="1947"/>
      <c r="N1752" s="1940" t="s">
        <v>3590</v>
      </c>
      <c r="O1752" s="1229">
        <f>'Part IX Scoring Criteria'!O97</f>
        <v>0</v>
      </c>
      <c r="P1752" s="1229"/>
      <c r="Q1752" s="1896"/>
      <c r="R1752" s="1955"/>
      <c r="S1752" s="1950"/>
      <c r="T1752" s="1950"/>
      <c r="U1752" s="1950"/>
    </row>
    <row r="1753" spans="1:21" s="1950" customFormat="1" ht="12" customHeight="1">
      <c r="A1753" s="1904"/>
      <c r="B1753" s="2167" t="s">
        <v>1938</v>
      </c>
      <c r="C1753" s="449" t="s">
        <v>6943</v>
      </c>
      <c r="D1753" s="449"/>
      <c r="E1753" s="449"/>
      <c r="F1753" s="449"/>
      <c r="G1753" s="449"/>
      <c r="H1753" s="449"/>
      <c r="I1753" s="1956"/>
      <c r="J1753" s="1956"/>
      <c r="K1753" s="1956"/>
      <c r="L1753" s="1956"/>
      <c r="M1753" s="1896">
        <v>3</v>
      </c>
      <c r="N1753" s="1969" t="s">
        <v>1938</v>
      </c>
      <c r="O1753" s="1923">
        <f>'Part IX Scoring Criteria'!O98</f>
        <v>3</v>
      </c>
      <c r="P1753" s="1923"/>
      <c r="Q1753" s="1993" t="str">
        <f>IF(OR($O1753=$M1753,$O1753=0,$O1753=""),"","*CHECK!*")</f>
        <v/>
      </c>
      <c r="R1753" s="1823" t="s">
        <v>4767</v>
      </c>
    </row>
    <row r="1754" spans="1:21" s="1951" customFormat="1" ht="12" customHeight="1">
      <c r="A1754" s="1229" t="s">
        <v>1326</v>
      </c>
      <c r="B1754" s="2167" t="s">
        <v>1940</v>
      </c>
      <c r="C1754" s="449" t="s">
        <v>6944</v>
      </c>
      <c r="D1754" s="449"/>
      <c r="E1754" s="449"/>
      <c r="F1754" s="449"/>
      <c r="G1754" s="449"/>
      <c r="H1754" s="449"/>
      <c r="I1754" s="1956" t="str">
        <f>'Part IX Scoring Criteria'!I99</f>
        <v>https://www.columbusga.gov/Portals/metra/pdfs/Route01.pdf</v>
      </c>
      <c r="J1754" s="1956"/>
      <c r="K1754" s="1956"/>
      <c r="L1754" s="1956"/>
      <c r="M1754" s="1896">
        <v>2</v>
      </c>
      <c r="N1754" s="1969" t="s">
        <v>1940</v>
      </c>
      <c r="O1754" s="1923">
        <f>'Part IX Scoring Criteria'!O99</f>
        <v>0</v>
      </c>
      <c r="P1754" s="1923"/>
      <c r="Q1754" s="1993" t="str">
        <f>IF(OR($O1754=$M1754,$O1754=0,$O1754=""),"","*CHECK!*")</f>
        <v/>
      </c>
      <c r="R1754" s="1823" t="s">
        <v>4767</v>
      </c>
    </row>
    <row r="1755" spans="1:21" s="1951" customFormat="1" ht="14.25" customHeight="1">
      <c r="A1755" s="1229" t="s">
        <v>1326</v>
      </c>
      <c r="B1755" s="2167" t="s">
        <v>2467</v>
      </c>
      <c r="C1755" s="449" t="s">
        <v>6945</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https://www.columbusga.gov/Portals/metra/pdfs/Route01.pdf</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6830</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6978</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The proposed project is within 0.25 miles (actual distance is 0.1 miles from pedestrian site entrance) of a bus top along route 1of the City of Columbus METRA transit system, The stop is located at 1872 Midtown Dr Road, Columbus, GA 31903. Applicant is elligible for three points in this section.</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3726</v>
      </c>
      <c r="D1769" s="1962"/>
      <c r="E1769" s="449" t="s">
        <v>3781</v>
      </c>
      <c r="G1769" s="1908"/>
      <c r="I1769" s="1940" t="s">
        <v>3775</v>
      </c>
      <c r="J1769" s="1908" t="str">
        <f>'Part I-Project Information'!$H$82</f>
        <v>HFOP</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4728</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3728</v>
      </c>
      <c r="L1774" s="1732" t="str">
        <f>IF(OR($O1774=$M1774,$O1774=0,$O1774=""),"","* * Check Score! * *")</f>
        <v/>
      </c>
      <c r="M1774" s="1732">
        <v>3</v>
      </c>
      <c r="N1774" s="1940" t="s">
        <v>1937</v>
      </c>
      <c r="O1774" s="1923">
        <f>'Part IX Scoring Criteria'!O119</f>
        <v>3</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4612</v>
      </c>
      <c r="D1776" s="1956" t="s">
        <v>4305</v>
      </c>
      <c r="E1776" s="1956"/>
      <c r="F1776" s="1956"/>
      <c r="G1776" s="1956" t="str">
        <f>'Part IX Scoring Criteria'!G121</f>
        <v xml:space="preserve">TMMB Consulting, LLC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t="str">
        <f>'Part IX Scoring Criteria'!O122</f>
        <v>Yes</v>
      </c>
      <c r="P1777" s="1229"/>
      <c r="Q1777" s="2125"/>
      <c r="R1777" s="2125"/>
      <c r="S1777" s="2125"/>
      <c r="T1777" s="2125"/>
    </row>
    <row r="1778" spans="1:21" s="449" customFormat="1" ht="10.5" customHeight="1">
      <c r="A1778" s="1940"/>
      <c r="B1778" s="1969"/>
      <c r="C1778" s="449" t="s">
        <v>4617</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3616</v>
      </c>
      <c r="O1779" s="1945" t="s">
        <v>3615</v>
      </c>
      <c r="Q1779" s="449"/>
    </row>
    <row r="1780" spans="1:21" s="1945" customFormat="1" ht="10.95" customHeight="1">
      <c r="A1780" s="1940"/>
      <c r="B1780" s="1940"/>
      <c r="C1780" s="1956" t="str">
        <f>'Part IX Scoring Criteria'!C125</f>
        <v>Wellness and preventive halth care education and information</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Basic screening for diseases such as high blood presure or diabetes</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Assess future disease risk factors such as high cholesterol and obesity through BMI calculations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t="str">
        <f>'Part IX Scoring Criteria'!C128</f>
        <v>Biometric screening</v>
      </c>
      <c r="D1783" s="1956"/>
      <c r="E1783" s="1956"/>
      <c r="F1783" s="1956"/>
      <c r="G1783" s="1956"/>
      <c r="H1783" s="1956"/>
      <c r="I1783" s="1956"/>
      <c r="J1783" s="1956"/>
      <c r="K1783" s="1956"/>
      <c r="L1783" s="1936" t="str">
        <f>'Part IX Scoring Criteria'!L128</f>
        <v>monthly</v>
      </c>
      <c r="M1783" s="1936"/>
      <c r="N1783" s="1936"/>
      <c r="O1783" s="2231">
        <f>'Part IX Scoring Criteria'!O128</f>
        <v>0</v>
      </c>
      <c r="P1783" s="2231"/>
      <c r="Q1783" s="449" t="str">
        <f>IF(O1783&gt;15, "Too much!","")</f>
        <v/>
      </c>
    </row>
    <row r="1784" spans="1:21" s="1947" customFormat="1" ht="10.5" customHeight="1">
      <c r="B1784" s="2167" t="s">
        <v>1940</v>
      </c>
      <c r="C1784" s="449" t="s">
        <v>4613</v>
      </c>
      <c r="D1784" s="449" t="s">
        <v>4618</v>
      </c>
      <c r="E1784" s="449"/>
      <c r="F1784" s="449"/>
      <c r="G1784" s="449"/>
      <c r="N1784" s="1942" t="s">
        <v>4809</v>
      </c>
      <c r="O1784" s="1229" t="str">
        <f>'Part IX Scoring Criteria'!O129</f>
        <v>Yes</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1938</v>
      </c>
      <c r="C1788" s="1936" t="s">
        <v>6946</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2375</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1940</v>
      </c>
      <c r="C1794" s="1908" t="s">
        <v>6947</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3624</v>
      </c>
      <c r="E1795" s="449"/>
      <c r="F1795" s="449"/>
      <c r="G1795" s="1945" t="s">
        <v>3805</v>
      </c>
      <c r="Q1795" s="449"/>
    </row>
    <row r="1796" spans="1:23" s="1945" customFormat="1" ht="21" customHeight="1">
      <c r="B1796" s="1940"/>
      <c r="C1796" s="1956" t="str">
        <f>'Part IX Scoring Criteria'!C141</f>
        <v>Healthy Eating Program</v>
      </c>
      <c r="D1796" s="1956"/>
      <c r="E1796" s="1956"/>
      <c r="F1796" s="1956"/>
      <c r="G1796" s="1956" t="str">
        <f>'Part IX Scoring Criteria'!G141</f>
        <v>Food preparation and cooking demonstrations in the on-site community room and kitchen</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Healthy Lifestyle Program</v>
      </c>
      <c r="D1797" s="1956"/>
      <c r="E1797" s="1956"/>
      <c r="F1797" s="1956"/>
      <c r="G1797" s="1956" t="str">
        <f>'Part IX Scoring Criteria'!G142</f>
        <v xml:space="preserve">Healthy activity implementation encouraging residents to make use of the on-site fitness center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Ongoing online content</v>
      </c>
      <c r="D1798" s="1956"/>
      <c r="E1798" s="1956"/>
      <c r="F1798" s="1956"/>
      <c r="G1798" s="1956" t="str">
        <f>'Part IX Scoring Criteria'!G143</f>
        <v>Fairway Management presents content via the lifestyle section of its website: www.fairwaymanagement.com/lifestyle</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Weight management</v>
      </c>
      <c r="D1799" s="1956"/>
      <c r="E1799" s="1956"/>
      <c r="F1799" s="1956"/>
      <c r="G1799" s="1956" t="str">
        <f>'Part IX Scoring Criteria'!G144</f>
        <v xml:space="preserve">Healthy eating encouraging use of community gardens </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The Applicant has indicated it will provide Preventive Health Care Services to its residents and will perform monthly biometric screenings and health and wellness education to the residents.  The screenings will be offered at no cost to the residents. The Applicant has elected to provide a Healthy Eating Initiative through Fairway Management, who will manage the property upon completion.  Fairway Management’s team will provide monthly healthy eating education as well as maintain and educate the residents regarding the Community Garden. The cost for Preventive Healthcare and Healthy Eating Initiative can be found in the Revenues and Expenses Tab.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4767</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f>'Part IX Scoring Criteria'!O153</f>
        <v>0</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6948</v>
      </c>
      <c r="C1810" s="1936"/>
      <c r="D1810" s="1936"/>
      <c r="E1810" s="449" t="s">
        <v>3619</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HFOP</v>
      </c>
      <c r="H1812" s="449"/>
      <c r="I1812" s="1939"/>
      <c r="J1812" s="1939"/>
      <c r="M1812" s="1939"/>
      <c r="N1812" s="1967"/>
      <c r="O1812" s="449" t="s">
        <v>6949</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4505</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6914</v>
      </c>
      <c r="B1816" s="1822"/>
      <c r="C1816" s="1822"/>
      <c r="D1816" s="1822"/>
      <c r="E1816" s="1822"/>
      <c r="F1816" s="1822"/>
      <c r="G1816" s="1822"/>
      <c r="H1816" s="449" t="s">
        <v>3646</v>
      </c>
      <c r="I1816" s="449"/>
      <c r="J1816" s="449"/>
      <c r="K1816" s="1955" t="s">
        <v>3618</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6831</v>
      </c>
      <c r="C1817" s="1908"/>
      <c r="E1817" s="2164" t="s">
        <v>4787</v>
      </c>
      <c r="F1817" s="1817" t="s">
        <v>4761</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3730</v>
      </c>
      <c r="D1830" s="1962"/>
      <c r="E1830" s="1962"/>
      <c r="F1830" s="1908"/>
      <c r="H1830" s="1908" t="s">
        <v>4566</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3486</v>
      </c>
      <c r="G1831" s="1918" t="s">
        <v>3283</v>
      </c>
      <c r="H1831" s="1918"/>
      <c r="I1831" s="1918"/>
      <c r="J1831" s="1918"/>
      <c r="K1831" s="1918"/>
      <c r="L1831" s="1918"/>
      <c r="M1831" s="1918"/>
      <c r="N1831" s="1918"/>
      <c r="P1831" s="1936"/>
      <c r="R1831" s="449" t="s">
        <v>2733</v>
      </c>
      <c r="S1831" s="449"/>
      <c r="T1831" s="449" t="str">
        <f>'Part I-Project Information'!$F$38</f>
        <v>Columbus</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3487</v>
      </c>
      <c r="R1832" s="449" t="s">
        <v>2734</v>
      </c>
      <c r="S1832" s="449"/>
      <c r="T1832" s="449" t="str">
        <f>'Part I-Project Information'!$J$39</f>
        <v>Muscogee</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Columbus</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3642</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3819</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3734</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N/A</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6950</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4600</v>
      </c>
      <c r="C1851" s="1897"/>
      <c r="D1851" s="1897"/>
      <c r="E1851" s="1897"/>
      <c r="F1851" s="1897"/>
      <c r="G1851" s="1897" t="s">
        <v>6883</v>
      </c>
      <c r="H1851" s="1897"/>
      <c r="I1851" s="1897"/>
      <c r="J1851" s="1897"/>
      <c r="K1851" s="1817" t="s">
        <v>4755</v>
      </c>
      <c r="L1851" s="1817" t="s">
        <v>4755</v>
      </c>
      <c r="M1851" s="1896">
        <v>5</v>
      </c>
      <c r="N1851" s="1940" t="s">
        <v>1935</v>
      </c>
      <c r="O1851" s="1958">
        <f>'Part IX Scoring Criteria'!O196</f>
        <v>5</v>
      </c>
      <c r="P1851" s="1958">
        <f>'Part IX Scoring Criteria'!P196</f>
        <v>0</v>
      </c>
      <c r="R1851" s="1973"/>
      <c r="S1851" s="1973"/>
      <c r="T1851" s="1973"/>
      <c r="U1851" s="1973"/>
    </row>
    <row r="1852" spans="1:21" s="1815" customFormat="1" ht="11.25" customHeight="1">
      <c r="B1852" s="1936" t="s">
        <v>6951</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4381</v>
      </c>
      <c r="D1854" s="1936"/>
      <c r="E1854" s="1936"/>
      <c r="F1854" s="1936"/>
      <c r="G1854" s="1936"/>
      <c r="H1854" s="1936"/>
      <c r="I1854" s="1936"/>
      <c r="J1854" s="1942" t="s">
        <v>2371</v>
      </c>
      <c r="K1854" s="1229" t="str">
        <f>'Part IX Scoring Criteria'!K199</f>
        <v>Yes</v>
      </c>
      <c r="L1854" s="1229"/>
      <c r="M1854" s="2232" t="str">
        <f>'Part IX Scoring Criteria'!M199</f>
        <v>Pages 7 - 8, 126 - 128</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4601</v>
      </c>
      <c r="D1856" s="449"/>
      <c r="E1856" s="449"/>
      <c r="F1856" s="449"/>
      <c r="G1856" s="449"/>
      <c r="H1856" s="449"/>
      <c r="J1856" s="1940" t="s">
        <v>2372</v>
      </c>
      <c r="K1856" s="1229" t="str">
        <f>'Part IX Scoring Criteria'!K201</f>
        <v>Yes</v>
      </c>
      <c r="L1856" s="1229"/>
      <c r="M1856" s="2232" t="str">
        <f>'Part IX Scoring Criteria'!M201</f>
        <v>Pages 14 - 15, 17 - 19</v>
      </c>
      <c r="N1856" s="2232"/>
      <c r="O1856" s="2232"/>
      <c r="P1856" s="2232"/>
      <c r="R1856" s="1973"/>
      <c r="S1856" s="1973"/>
      <c r="T1856" s="1973"/>
      <c r="U1856" s="1973"/>
    </row>
    <row r="1857" spans="1:25" s="1815" customFormat="1" ht="11.25" customHeight="1">
      <c r="B1857" s="1940" t="s">
        <v>2373</v>
      </c>
      <c r="C1857" s="449" t="s">
        <v>4598</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4380</v>
      </c>
      <c r="E1858" s="449"/>
      <c r="F1858" s="449"/>
      <c r="G1858" s="449"/>
      <c r="H1858" s="449"/>
      <c r="I1858" s="449"/>
      <c r="J1858" s="1940" t="s">
        <v>2374</v>
      </c>
      <c r="K1858" s="2171">
        <f>'Part IX Scoring Criteria'!K203</f>
        <v>42654</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6915</v>
      </c>
      <c r="D1860" s="449"/>
      <c r="E1860" s="449"/>
      <c r="F1860" s="449"/>
      <c r="G1860" s="449"/>
      <c r="J1860" s="1940" t="s">
        <v>2375</v>
      </c>
      <c r="K1860" s="1229" t="str">
        <f>'Part IX Scoring Criteria'!K205</f>
        <v>Yes</v>
      </c>
      <c r="L1860" s="1229"/>
      <c r="M1860" s="2232" t="str">
        <f>'Part IX Scoring Criteria'!M205</f>
        <v>Page 2</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4309</v>
      </c>
      <c r="D1861" s="449"/>
      <c r="E1861" s="449"/>
      <c r="F1861" s="449"/>
      <c r="G1861" s="449"/>
      <c r="H1861" s="449"/>
      <c r="J1861" s="1940" t="s">
        <v>2391</v>
      </c>
      <c r="K1861" s="1229" t="str">
        <f>'Part IX Scoring Criteria'!K206</f>
        <v>Yes</v>
      </c>
      <c r="L1861" s="1229"/>
      <c r="M1861" s="2232" t="str">
        <f>'Part IX Scoring Criteria'!M206</f>
        <v xml:space="preserve">Page 30 </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2392</v>
      </c>
      <c r="C1862" s="449" t="s">
        <v>4594</v>
      </c>
      <c r="D1862" s="449"/>
      <c r="E1862" s="449"/>
      <c r="F1862" s="449"/>
      <c r="G1862" s="449"/>
      <c r="J1862" s="1940" t="s">
        <v>2392</v>
      </c>
      <c r="K1862" s="1229" t="str">
        <f>'Part IX Scoring Criteria'!K207</f>
        <v>Yes</v>
      </c>
      <c r="L1862" s="1229"/>
      <c r="M1862" s="2232" t="str">
        <f>'Part IX Scoring Criteria'!M207</f>
        <v>Page 31, 49 - 53, 57, 62</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1938</v>
      </c>
      <c r="C1865" s="1936" t="s">
        <v>6884</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6952</v>
      </c>
      <c r="D1866" s="1936"/>
      <c r="E1866" s="1936"/>
      <c r="F1866" s="1936"/>
      <c r="G1866" s="1936"/>
      <c r="H1866" s="1936"/>
      <c r="I1866" s="1936"/>
      <c r="J1866" s="1908" t="s">
        <v>3588</v>
      </c>
      <c r="K1866" s="1815"/>
      <c r="L1866" s="1908" t="str">
        <f>'Part I-Project Information'!$N$39</f>
        <v>Yes</v>
      </c>
      <c r="M1866" s="1229">
        <v>2</v>
      </c>
      <c r="N1866" s="1969" t="s">
        <v>1940</v>
      </c>
      <c r="O1866" s="1958">
        <f>'Part IX Scoring Criteria'!O211</f>
        <v>2</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3438</v>
      </c>
      <c r="K1867" s="449"/>
      <c r="L1867" s="1977" t="str">
        <f>'Part I-Project Information'!$O$38</f>
        <v>13215002000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DDA/QCT</v>
      </c>
      <c r="M1868" s="449"/>
    </row>
    <row r="1869" spans="1:25" ht="12" customHeight="1">
      <c r="A1869" s="1904" t="s">
        <v>1937</v>
      </c>
      <c r="B1869" s="1897" t="s">
        <v>4311</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4767</v>
      </c>
    </row>
    <row r="1870" spans="1:25" s="1951" customFormat="1" ht="9.75" customHeight="1">
      <c r="A1870" s="1904"/>
      <c r="B1870" s="1947"/>
      <c r="C1870" s="449" t="s">
        <v>2702</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3639</v>
      </c>
      <c r="D1871" s="1947"/>
      <c r="E1871" s="1947"/>
      <c r="F1871" s="1947"/>
      <c r="G1871" s="1947"/>
      <c r="H1871" s="1947"/>
      <c r="I1871" s="1947"/>
      <c r="J1871" s="449" t="str">
        <f>'Part IX Scoring Criteria'!J216</f>
        <v>City of Columbus, GA</v>
      </c>
      <c r="K1871" s="449"/>
      <c r="L1871" s="449"/>
      <c r="M1871" s="449"/>
      <c r="N1871" s="449"/>
      <c r="O1871" s="449"/>
      <c r="P1871" s="449"/>
      <c r="V1871" s="2125"/>
      <c r="W1871" s="2125"/>
    </row>
    <row r="1872" spans="1:25" s="1951" customFormat="1" ht="11.25" customHeight="1">
      <c r="A1872" s="1948"/>
      <c r="B1872" s="1940" t="s">
        <v>3590</v>
      </c>
      <c r="C1872" s="1908" t="s">
        <v>3640</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3591</v>
      </c>
      <c r="C1873" s="1908" t="s">
        <v>4570</v>
      </c>
      <c r="D1873" s="1815"/>
      <c r="E1873" s="1815"/>
      <c r="F1873" s="1815"/>
      <c r="G1873" s="1815"/>
      <c r="H1873" s="1815"/>
      <c r="I1873" s="1815"/>
      <c r="J1873" s="1229" t="str">
        <f>'Part IX Scoring Criteria'!J218</f>
        <v>Yes</v>
      </c>
      <c r="K1873" s="449" t="s">
        <v>4313</v>
      </c>
      <c r="L1873" s="449"/>
      <c r="M1873" s="449"/>
      <c r="N1873" s="449"/>
      <c r="O1873" s="1947"/>
      <c r="P1873" s="1947"/>
      <c r="V1873" s="2125"/>
      <c r="W1873" s="2125"/>
    </row>
    <row r="1874" spans="1:23" ht="11.25" customHeight="1">
      <c r="A1874" s="1930"/>
      <c r="B1874" s="1940" t="s">
        <v>3593</v>
      </c>
      <c r="C1874" s="1908" t="s">
        <v>4312</v>
      </c>
      <c r="D1874" s="1815"/>
      <c r="E1874" s="1815"/>
      <c r="F1874" s="1815"/>
      <c r="G1874" s="1815"/>
      <c r="H1874" s="1815"/>
      <c r="I1874" s="1815"/>
      <c r="J1874" s="1229" t="str">
        <f>'Part IX Scoring Criteria'!J219</f>
        <v>Yes</v>
      </c>
      <c r="K1874" s="449"/>
      <c r="L1874" s="449"/>
      <c r="M1874" s="449"/>
      <c r="N1874" s="449"/>
      <c r="O1874" s="2233">
        <f>'Part IX Scoring Criteria'!O219</f>
        <v>0.15</v>
      </c>
      <c r="P1874" s="1978" t="s">
        <v>3596</v>
      </c>
      <c r="V1874" s="2125"/>
      <c r="W1874" s="2125"/>
    </row>
    <row r="1875" spans="1:23" ht="11.25" customHeight="1">
      <c r="A1875" s="1930"/>
      <c r="B1875" s="1940" t="s">
        <v>3594</v>
      </c>
      <c r="C1875" s="1908" t="s">
        <v>4315</v>
      </c>
      <c r="D1875" s="1815"/>
      <c r="E1875" s="1815"/>
      <c r="F1875" s="1815"/>
      <c r="G1875" s="1815"/>
      <c r="H1875" s="1815"/>
      <c r="I1875" s="1815"/>
      <c r="J1875" s="1229" t="str">
        <f>'Part IX Scoring Criteria'!J220</f>
        <v>Yes</v>
      </c>
      <c r="L1875" s="1940" t="s">
        <v>4314</v>
      </c>
      <c r="N1875" s="1940"/>
      <c r="O1875" s="2234">
        <f>'Part IX Scoring Criteria'!O220</f>
        <v>43313</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 xml:space="preserve">The funding for the Bowood Blvd. bridge replacement was provided through proceeds from the local Tax allocation District funds. </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 xml:space="preserve">The Redevelopment Plan envisions improved connectivity within the city of Columbus as well as provide opportunities for commercial revitalization and support future infill.  </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t="str">
        <f>'Part IX Scoring Criteria'!D224</f>
        <v xml:space="preserve">This capital infrastructure investment will provide residents of Boxwood Heights with a safe and easy connection to the surrounding areas and amenities. </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996852.75</v>
      </c>
      <c r="K1880" s="1979"/>
      <c r="L1880" s="1979"/>
      <c r="M1880" s="1979"/>
      <c r="N1880" s="1874"/>
      <c r="O1880" s="1874"/>
      <c r="P1880" s="1874"/>
      <c r="V1880" s="2125"/>
      <c r="W1880" s="2125"/>
    </row>
    <row r="1881" spans="1:23" s="1951" customFormat="1" ht="11.25" customHeight="1">
      <c r="C1881" s="449" t="s">
        <v>6813</v>
      </c>
      <c r="D1881" s="1939"/>
      <c r="G1881" s="1979">
        <f>'Part IV-A-Uses of Funds'!$G$132</f>
        <v>9959143</v>
      </c>
      <c r="H1881" s="1979"/>
      <c r="J1881" s="1980" t="e">
        <f>IF($J1880=0,0,$J1880/$G$226)</f>
        <v>#DIV/0!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 xml:space="preserve">Applicant is claiming 5 points as the property is located within target area for the MidTown Columbus Redevelopment Plan.  Please see the Redevelopment Plan located in Tab 31 of the Application. The MidTown Columbus Redevelopment Plan, sanctioned by the Columbus Georgia Consolidated Government meets the guidelines and requirements for Redevelopment Plans per the QAP.  The proposed site for Boxwood Heights is located within a 2020 QCT, as shown on a map in Tab 31. In August of 2018, the city of Columbus completed the replacement of the Boxwood Blvd. bridge at a cost of $996,853, representing over 10% of the the TDC and eligibility for an additional 2 points for the Third Party Capital Investment. Information on this 3rd Party Capital Investment can be found in Tab 31. </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6953</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4572</v>
      </c>
      <c r="N1892" s="1940" t="s">
        <v>2373</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4758</v>
      </c>
      <c r="K1894" s="1958">
        <f>$O$150</f>
        <v>0</v>
      </c>
      <c r="L1894" s="1958">
        <f>$P$150</f>
        <v>0</v>
      </c>
      <c r="N1894" s="1940" t="s">
        <v>2375</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6885</v>
      </c>
      <c r="D1897" s="1815"/>
      <c r="G1897" s="1944" t="s">
        <v>3592</v>
      </c>
      <c r="Q1897" s="1843"/>
      <c r="R1897" s="1952"/>
      <c r="S1897" s="1952"/>
      <c r="T1897" s="1952"/>
      <c r="U1897" s="1952"/>
    </row>
    <row r="1898" spans="1:23" s="1815" customFormat="1" ht="11.25" customHeight="1">
      <c r="A1898" s="1940"/>
      <c r="C1898" s="449" t="s">
        <v>3643</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3738</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6916</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3740</v>
      </c>
      <c r="D1903" s="1936"/>
      <c r="E1903" s="1936"/>
      <c r="F1903" s="1936"/>
      <c r="G1903" s="1944" t="s">
        <v>3592</v>
      </c>
      <c r="H1903" s="1936"/>
      <c r="I1903" s="1936"/>
      <c r="J1903" s="1936"/>
      <c r="K1903" s="1936"/>
      <c r="L1903" s="1936"/>
      <c r="M1903" s="1936"/>
      <c r="N1903" s="1936"/>
      <c r="O1903" s="1229" t="s">
        <v>2443</v>
      </c>
      <c r="P1903" s="1229" t="s">
        <v>2443</v>
      </c>
      <c r="Q1903" s="1936"/>
    </row>
    <row r="1904" spans="1:23" ht="21" customHeight="1">
      <c r="A1904" s="1940"/>
      <c r="B1904" s="1942"/>
      <c r="C1904" s="1936" t="s">
        <v>6832</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3595</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3743</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4316</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6886</v>
      </c>
      <c r="D1912" s="1815"/>
      <c r="G1912" s="1944" t="s">
        <v>3592</v>
      </c>
      <c r="O1912" s="1229" t="s">
        <v>2443</v>
      </c>
      <c r="P1912" s="1229" t="s">
        <v>2443</v>
      </c>
      <c r="Q1912" s="1843"/>
    </row>
    <row r="1913" spans="1:24" ht="22.5" customHeight="1">
      <c r="B1913" s="2172" t="s">
        <v>1938</v>
      </c>
      <c r="C1913" s="449" t="s">
        <v>4574</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4575</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N/A</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4749</v>
      </c>
      <c r="M1920" s="1896">
        <v>5</v>
      </c>
      <c r="N1920" s="1896"/>
      <c r="O1920" s="1916">
        <f>'Part IX Scoring Criteria'!O265</f>
        <v>0</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4318</v>
      </c>
      <c r="D1922" s="449"/>
      <c r="E1922" s="449"/>
      <c r="G1922" s="1944" t="s">
        <v>4730</v>
      </c>
      <c r="I1922" s="1983" t="str">
        <f>'Part I-Project Information'!$O$38</f>
        <v>13215002000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Flexible</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t="str">
        <f>'Part IX Scoring Criteria'!I270</f>
        <v>&lt; Select &gt;</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4470</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6979</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4319</v>
      </c>
      <c r="C1931" s="1945"/>
      <c r="G1931" s="1944" t="s">
        <v>6800</v>
      </c>
      <c r="I1931" s="2160">
        <f>'Part IX Scoring Criteria'!I276</f>
        <v>0</v>
      </c>
      <c r="K1931" s="1943" t="s">
        <v>4611</v>
      </c>
      <c r="L1931" s="2142">
        <f>'Part IX Scoring Criteria'!L276</f>
        <v>0</v>
      </c>
      <c r="M1931" s="1896">
        <v>2</v>
      </c>
      <c r="N1931" s="1904" t="s">
        <v>1937</v>
      </c>
      <c r="O1931" s="1923">
        <f>'Part IX Scoring Criteria'!O276</f>
        <v>0</v>
      </c>
      <c r="P1931" s="1923"/>
      <c r="Q1931" s="1993" t="str">
        <f>IF(O1931&lt;=M1931,"","*CHECK!*")</f>
        <v/>
      </c>
      <c r="R1931" s="1823" t="s">
        <v>4767</v>
      </c>
      <c r="S1931" s="1963"/>
      <c r="T1931" s="1963"/>
      <c r="U1931" s="1963"/>
    </row>
    <row r="1932" spans="1:24" ht="11.4" customHeight="1">
      <c r="A1932" s="1918"/>
      <c r="B1932" s="1992" t="s">
        <v>1938</v>
      </c>
      <c r="C1932" s="449" t="s">
        <v>4466</v>
      </c>
      <c r="D1932" s="449"/>
      <c r="E1932" s="1987"/>
      <c r="F1932" s="1988"/>
      <c r="G1932" s="449" t="s">
        <v>4320</v>
      </c>
      <c r="H1932" s="449"/>
      <c r="I1932" s="449"/>
      <c r="J1932" s="1815"/>
      <c r="K1932" s="1815"/>
      <c r="L1932" s="1822" t="s">
        <v>6801</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4467</v>
      </c>
      <c r="D1933" s="449"/>
      <c r="E1933" s="1987"/>
      <c r="F1933" s="1229"/>
      <c r="G1933" s="449" t="s">
        <v>4321</v>
      </c>
      <c r="H1933" s="449"/>
      <c r="I1933" s="449"/>
      <c r="J1933" s="1815"/>
      <c r="K1933" s="1815"/>
      <c r="L1933" s="1822" t="s">
        <v>6801</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N/A</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3605</v>
      </c>
      <c r="H1941" s="1229" t="s">
        <v>3452</v>
      </c>
      <c r="I1941" s="1985">
        <f>IF('Part VI-Revenues &amp; Expenses'!$P$67=0,0,'Part VI-Revenues &amp; Expenses'!$P$64/'Part VI-Revenues &amp; Expenses'!$P$67)</f>
        <v>0</v>
      </c>
      <c r="J1941" s="1943" t="s">
        <v>4605</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1935</v>
      </c>
      <c r="B1942" s="1945" t="s">
        <v>4603</v>
      </c>
      <c r="C1942" s="1945"/>
      <c r="D1942" s="1945" t="s">
        <v>4604</v>
      </c>
      <c r="M1942" s="1896">
        <v>1</v>
      </c>
      <c r="N1942" s="1940" t="s">
        <v>1935</v>
      </c>
      <c r="O1942" s="1923">
        <f>'Part IX Scoring Criteria'!O287</f>
        <v>0</v>
      </c>
      <c r="P1942" s="1923"/>
      <c r="Q1942" s="1993" t="str">
        <f>IF(OR($O1942=$M1942,$O1942=0,$O1942=""),"","*CHECK!*")</f>
        <v/>
      </c>
      <c r="R1942" s="1823" t="s">
        <v>4767</v>
      </c>
    </row>
    <row r="1943" spans="1:22" ht="13.8">
      <c r="A1943" s="1732" t="s">
        <v>1937</v>
      </c>
      <c r="B1943" s="1945" t="s">
        <v>4292</v>
      </c>
      <c r="C1943" s="1945"/>
      <c r="D1943" s="1945" t="s">
        <v>4723</v>
      </c>
      <c r="M1943" s="1874">
        <v>1</v>
      </c>
      <c r="N1943" s="1940" t="s">
        <v>1937</v>
      </c>
      <c r="O1943" s="1923">
        <f>'Part IX Scoring Criteria'!O288</f>
        <v>1</v>
      </c>
      <c r="P1943" s="1923"/>
      <c r="Q1943" s="1993" t="str">
        <f>IF(OR($O1943=$M1943,$O1943=0,$O1943=""),"","*CHECK!*")</f>
        <v/>
      </c>
      <c r="R1943" s="1823" t="s">
        <v>4767</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3605</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1935</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3599</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N/A</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2702</v>
      </c>
      <c r="K1956" s="1897"/>
      <c r="L1956" s="449" t="str">
        <f>'Part I-Project Information'!$H$105</f>
        <v>Flexible</v>
      </c>
      <c r="M1956" s="1896">
        <v>3</v>
      </c>
      <c r="N1956" s="1896"/>
      <c r="O1956" s="1896">
        <f>'Part IX Scoring Criteria'!O301</f>
        <v>0</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3507</v>
      </c>
      <c r="I1957" s="1945"/>
      <c r="J1957" s="449" t="str">
        <f>'Part I-Project Information'!$O$34</f>
        <v>No</v>
      </c>
      <c r="K1957" s="449"/>
      <c r="L1957" s="1944">
        <f>'Part I-Project Information'!$O$35</f>
        <v>0</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6887</v>
      </c>
      <c r="C1958" s="1936"/>
      <c r="D1958" s="1936"/>
      <c r="E1958" s="1936"/>
      <c r="F1958" s="1936"/>
      <c r="G1958" s="1936"/>
      <c r="H1958" s="1936"/>
      <c r="I1958" s="1936"/>
      <c r="J1958" s="1936"/>
      <c r="K1958" s="1936"/>
      <c r="L1958" s="1936"/>
      <c r="M1958" s="1936"/>
      <c r="N1958" s="1942" t="s">
        <v>1935</v>
      </c>
      <c r="O1958" s="1938" t="str">
        <f>'Part IX Scoring Criteria'!O303</f>
        <v>N/a</v>
      </c>
      <c r="P1958" s="1938"/>
      <c r="Q1958" s="1936" t="s">
        <v>6954</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3641</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4623</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Project is not a phased development.</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3279</v>
      </c>
      <c r="H1971" s="1908" t="s">
        <v>4624</v>
      </c>
      <c r="I1971" s="1815"/>
      <c r="J1971" s="449">
        <f>'Part I-Project Information'!F1692</f>
        <v>0</v>
      </c>
      <c r="M1971" s="1896">
        <v>5</v>
      </c>
      <c r="N1971" s="1896"/>
      <c r="O1971" s="1923">
        <f>'Part IX Scoring Criteria'!O316</f>
        <v>3</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1935</v>
      </c>
      <c r="B1972" s="1897" t="s">
        <v>6888</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6955</v>
      </c>
      <c r="C1973" s="1772"/>
      <c r="D1973" s="1772"/>
      <c r="E1973" s="1772"/>
      <c r="F1973" s="1772"/>
      <c r="G1973" s="1772"/>
      <c r="H1973" s="1772"/>
      <c r="I1973" s="1772"/>
      <c r="J1973" s="1772"/>
      <c r="K1973" s="1772"/>
      <c r="L1973" s="1772"/>
      <c r="M1973" s="1967">
        <v>5</v>
      </c>
      <c r="N1973" s="1942" t="s">
        <v>1935</v>
      </c>
      <c r="O1973" s="2166">
        <f>'Part IX Scoring Criteria'!O318</f>
        <v>0</v>
      </c>
      <c r="P1973" s="2166">
        <f>'Part IX Scoring Criteria'!P318</f>
        <v>0</v>
      </c>
      <c r="R1973" s="2179"/>
      <c r="S1973" s="2179"/>
      <c r="T1973" s="2179"/>
      <c r="U1973" s="2179"/>
      <c r="V1973" s="2179"/>
    </row>
    <row r="1974" spans="1:24" s="1815" customFormat="1" ht="11.25" customHeight="1">
      <c r="B1974" s="1992" t="s">
        <v>1938</v>
      </c>
      <c r="C1974" s="449" t="s">
        <v>6889</v>
      </c>
      <c r="L1974" s="1732" t="str">
        <f>IF(OR($O1974=$M1974,$O1974=0,$O1974=""),"","* * Check Score! * *")</f>
        <v/>
      </c>
      <c r="M1974" s="1896">
        <v>5</v>
      </c>
      <c r="N1974" s="1969" t="s">
        <v>1938</v>
      </c>
      <c r="O1974" s="1923">
        <f>'Part IX Scoring Criteria'!O319</f>
        <v>0</v>
      </c>
      <c r="P1974" s="1923"/>
      <c r="Q1974" s="1993" t="str">
        <f>IF(OR($O1974=$M1974,$O1974=0,$O1974=""),"","*CHECK!*")</f>
        <v/>
      </c>
      <c r="R1974" s="1823" t="s">
        <v>4767</v>
      </c>
    </row>
    <row r="1975" spans="1:24" ht="11.25" customHeight="1">
      <c r="A1975" s="1229"/>
      <c r="B1975" s="2172" t="s">
        <v>1940</v>
      </c>
      <c r="C1975" s="1945" t="s">
        <v>6890</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4767</v>
      </c>
    </row>
    <row r="1976" spans="1:24" s="1815" customFormat="1" ht="11.25" customHeight="1">
      <c r="A1976" s="1732" t="s">
        <v>1937</v>
      </c>
      <c r="B1976" s="1897" t="s">
        <v>6891</v>
      </c>
      <c r="F1976" s="1843" t="s">
        <v>4625</v>
      </c>
      <c r="H1976" s="449" t="s">
        <v>2702</v>
      </c>
      <c r="I1976" s="1951"/>
      <c r="J1976" s="449" t="str">
        <f>'Part I-Project Information'!$H$105</f>
        <v>Flexible</v>
      </c>
    </row>
    <row r="1977" spans="1:24" s="1815" customFormat="1" ht="11.25" customHeight="1">
      <c r="A1977" s="1732"/>
      <c r="B1977" s="1897" t="s">
        <v>6956</v>
      </c>
      <c r="H1977" s="1908"/>
      <c r="M1977" s="1896">
        <v>3</v>
      </c>
      <c r="N1977" s="1940" t="s">
        <v>1937</v>
      </c>
      <c r="O1977" s="1923">
        <f>'Part IX Scoring Criteria'!O322</f>
        <v>3</v>
      </c>
      <c r="P1977" s="1923">
        <f>'Part IX Scoring Criteria'!P322</f>
        <v>0</v>
      </c>
    </row>
    <row r="1978" spans="1:24" s="1815" customFormat="1" ht="11.25" customHeight="1">
      <c r="B1978" s="1992" t="s">
        <v>1938</v>
      </c>
      <c r="C1978" s="449" t="s">
        <v>6892</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3</v>
      </c>
      <c r="P1978" s="1923"/>
      <c r="Q1978" s="1993" t="str">
        <f>IF(OR($O1978=$M1978,$O1978=0,$O1978=""),"","*CHECK!*")</f>
        <v/>
      </c>
      <c r="R1978" s="1823" t="s">
        <v>4767</v>
      </c>
    </row>
    <row r="1979" spans="1:24" ht="11.25" customHeight="1">
      <c r="A1979" s="1229"/>
      <c r="B1979" s="2172" t="s">
        <v>1940</v>
      </c>
      <c r="C1979" s="1945" t="s">
        <v>6893</v>
      </c>
      <c r="D1979" s="1815"/>
      <c r="E1979" s="1815"/>
      <c r="F1979" s="1815"/>
      <c r="G1979" s="1908"/>
      <c r="H1979" s="1908"/>
      <c r="I1979" s="1908"/>
      <c r="J1979" s="1955" t="s">
        <v>4630</v>
      </c>
      <c r="K1979" s="1815"/>
      <c r="L1979" s="1815"/>
      <c r="M1979" s="1874">
        <v>2</v>
      </c>
      <c r="N1979" s="1969" t="s">
        <v>1940</v>
      </c>
      <c r="O1979" s="1923">
        <f>'Part IX Scoring Criteria'!O324</f>
        <v>0</v>
      </c>
      <c r="P1979" s="1923"/>
      <c r="Q1979" s="1993" t="str">
        <f>IF(OR($O1979=$M1979,$O1979=0,$O1979=""),"","*CHECK!*")</f>
        <v/>
      </c>
      <c r="R1979" s="1823" t="s">
        <v>4767</v>
      </c>
    </row>
    <row r="1980" spans="1:24" ht="22.5" customHeight="1">
      <c r="A1980" s="1229"/>
      <c r="B1980" s="2176" t="s">
        <v>6957</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6894</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4767</v>
      </c>
    </row>
    <row r="1982" spans="1:24" ht="11.25" customHeight="1">
      <c r="A1982" s="1229"/>
      <c r="B1982" s="2172" t="s">
        <v>1198</v>
      </c>
      <c r="C1982" s="1945" t="s">
        <v>6895</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The proposed development site is not within a 1-mile buffer (flex pool-specific buffer) of any 9% Credit development and is therefore eligible for three (3) Previous Project points.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4327</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4328</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4329</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4578</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6958</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3747</v>
      </c>
      <c r="C2002" s="1945"/>
      <c r="D2002" s="1945"/>
      <c r="E2002" s="449"/>
      <c r="G2002" s="1912">
        <f>'Part VIII-Threshold Criteria'!I2005</f>
        <v>0</v>
      </c>
      <c r="L2002" s="1940" t="s">
        <v>4816</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4383</v>
      </c>
      <c r="D2003" s="1815"/>
      <c r="N2003" s="1969" t="s">
        <v>4384</v>
      </c>
      <c r="O2003" s="1229">
        <f>'Part IX Scoring Criteria'!O348</f>
        <v>0</v>
      </c>
      <c r="P2003" s="1229"/>
      <c r="R2003" s="1732"/>
    </row>
    <row r="2004" spans="1:18" s="1947" customFormat="1" ht="10.5" customHeight="1">
      <c r="A2004" s="1904"/>
      <c r="B2004" s="1969"/>
      <c r="C2004" s="449" t="s">
        <v>4741</v>
      </c>
      <c r="D2004" s="1815"/>
      <c r="N2004" s="1969" t="s">
        <v>4385</v>
      </c>
      <c r="O2004" s="1229">
        <f>'Part IX Scoring Criteria'!O349</f>
        <v>0</v>
      </c>
      <c r="P2004" s="1229"/>
      <c r="R2004" s="1732"/>
    </row>
    <row r="2005" spans="1:18" s="1947" customFormat="1" ht="10.5" customHeight="1">
      <c r="A2005" s="1904"/>
      <c r="B2005" s="1969" t="s">
        <v>1940</v>
      </c>
      <c r="C2005" s="449" t="s">
        <v>3755</v>
      </c>
      <c r="D2005" s="1815"/>
      <c r="N2005" s="1969" t="s">
        <v>1940</v>
      </c>
      <c r="O2005" s="1229">
        <f>'Part IX Scoring Criteria'!O350</f>
        <v>0</v>
      </c>
      <c r="P2005" s="1229"/>
      <c r="R2005" s="1732"/>
    </row>
    <row r="2006" spans="1:18" s="1947" customFormat="1" ht="10.5" customHeight="1">
      <c r="A2006" s="1904"/>
      <c r="B2006" s="1969" t="s">
        <v>2467</v>
      </c>
      <c r="C2006" s="449" t="s">
        <v>4386</v>
      </c>
      <c r="D2006" s="1815"/>
      <c r="N2006" s="1969" t="s">
        <v>2467</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1833</v>
      </c>
      <c r="C2009" s="449" t="s">
        <v>3756</v>
      </c>
      <c r="D2009" s="1815"/>
      <c r="N2009" s="1969" t="s">
        <v>1833</v>
      </c>
      <c r="O2009" s="1229">
        <f>'Part IX Scoring Criteria'!O354</f>
        <v>0</v>
      </c>
      <c r="P2009" s="1229"/>
      <c r="R2009" s="1732"/>
    </row>
    <row r="2010" spans="1:18" s="1951" customFormat="1" ht="12" customHeight="1">
      <c r="A2010" s="1904" t="s">
        <v>1937</v>
      </c>
      <c r="B2010" s="1897" t="s">
        <v>3748</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4383</v>
      </c>
      <c r="D2011" s="449"/>
      <c r="E2011" s="449"/>
      <c r="M2011" s="1896"/>
      <c r="N2011" s="1969" t="s">
        <v>4384</v>
      </c>
      <c r="O2011" s="1229">
        <f>'Part IX Scoring Criteria'!O356</f>
        <v>0</v>
      </c>
      <c r="P2011" s="1229"/>
      <c r="Q2011" s="1896"/>
    </row>
    <row r="2012" spans="1:18" s="1947" customFormat="1" ht="10.5" customHeight="1">
      <c r="A2012" s="1904"/>
      <c r="B2012" s="1969"/>
      <c r="C2012" s="449" t="s">
        <v>4769</v>
      </c>
      <c r="D2012" s="1815"/>
      <c r="N2012" s="1969" t="s">
        <v>4385</v>
      </c>
      <c r="O2012" s="1229">
        <f>'Part IX Scoring Criteria'!O357</f>
        <v>0</v>
      </c>
      <c r="P2012" s="1229"/>
      <c r="R2012" s="1732"/>
    </row>
    <row r="2013" spans="1:18" s="1947" customFormat="1" ht="10.5" customHeight="1">
      <c r="A2013" s="1904"/>
      <c r="B2013" s="1969" t="s">
        <v>1940</v>
      </c>
      <c r="C2013" s="449" t="s">
        <v>3767</v>
      </c>
      <c r="D2013" s="1815"/>
      <c r="N2013" s="1969" t="s">
        <v>1940</v>
      </c>
      <c r="O2013" s="1229">
        <f>'Part IX Scoring Criteria'!O358</f>
        <v>0</v>
      </c>
      <c r="P2013" s="1229"/>
      <c r="R2013" s="1732"/>
    </row>
    <row r="2014" spans="1:18" s="1947" customFormat="1" ht="10.5" customHeight="1">
      <c r="B2014" s="1969" t="s">
        <v>2467</v>
      </c>
      <c r="C2014" s="449" t="s">
        <v>3756</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4767</v>
      </c>
      <c r="S2019" s="1844"/>
    </row>
    <row r="2020" spans="1:19" s="1951" customFormat="1" ht="11.25" customHeight="1">
      <c r="A2020" s="1904"/>
      <c r="B2020" s="1908" t="s">
        <v>3453</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6803</v>
      </c>
      <c r="D2021" s="1945"/>
      <c r="E2021" s="1945" t="s">
        <v>4346</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6959</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6960</v>
      </c>
      <c r="D2023" s="1947"/>
      <c r="E2023" s="1945"/>
      <c r="F2023" s="449"/>
      <c r="G2023" s="449"/>
      <c r="N2023" s="1940"/>
      <c r="O2023" s="1817" t="s">
        <v>2443</v>
      </c>
      <c r="P2023" s="1817" t="s">
        <v>2443</v>
      </c>
    </row>
    <row r="2024" spans="1:19" s="449" customFormat="1" ht="10.5" customHeight="1">
      <c r="B2024" s="1940" t="s">
        <v>2371</v>
      </c>
      <c r="C2024" s="1908" t="s">
        <v>3749</v>
      </c>
      <c r="N2024" s="1940" t="s">
        <v>2371</v>
      </c>
      <c r="O2024" s="1229">
        <f>'Part IX Scoring Criteria'!O369</f>
        <v>0</v>
      </c>
      <c r="P2024" s="1229"/>
    </row>
    <row r="2025" spans="1:19" s="449" customFormat="1" ht="10.5" customHeight="1">
      <c r="B2025" s="1942" t="s">
        <v>2372</v>
      </c>
      <c r="C2025" s="1908" t="s">
        <v>3750</v>
      </c>
      <c r="N2025" s="1942" t="s">
        <v>2372</v>
      </c>
      <c r="O2025" s="1229">
        <f>'Part IX Scoring Criteria'!O370</f>
        <v>0</v>
      </c>
      <c r="P2025" s="1229"/>
    </row>
    <row r="2026" spans="1:19" s="449" customFormat="1" ht="10.5" customHeight="1">
      <c r="B2026" s="1940" t="s">
        <v>2373</v>
      </c>
      <c r="C2026" s="1908" t="s">
        <v>4580</v>
      </c>
      <c r="N2026" s="1940" t="s">
        <v>2373</v>
      </c>
      <c r="O2026" s="1229">
        <f>'Part IX Scoring Criteria'!O371</f>
        <v>0</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N/A</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6961</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t="str">
        <f>'Part IX Scoring Criteria'!O381</f>
        <v>N/a</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3614</v>
      </c>
      <c r="L2037" s="1936"/>
      <c r="M2037" s="1936"/>
      <c r="N2037" s="1940" t="s">
        <v>2372</v>
      </c>
      <c r="O2037" s="1229">
        <f>'Part IX Scoring Criteria'!O382</f>
        <v>0</v>
      </c>
      <c r="P2037" s="1229"/>
      <c r="R2037" s="1936"/>
      <c r="S2037" s="1936"/>
    </row>
    <row r="2038" spans="1:20" s="1945" customFormat="1" ht="12.75" customHeight="1">
      <c r="B2038" s="1940" t="s">
        <v>2373</v>
      </c>
      <c r="C2038" s="449" t="s">
        <v>3613</v>
      </c>
      <c r="L2038" s="1936"/>
      <c r="M2038" s="1936"/>
      <c r="N2038" s="1940" t="s">
        <v>2373</v>
      </c>
      <c r="O2038" s="1229">
        <f>'Part IX Scoring Criteria'!O383</f>
        <v>0</v>
      </c>
      <c r="P2038" s="1229"/>
      <c r="R2038" s="1936"/>
      <c r="S2038" s="1936"/>
    </row>
    <row r="2039" spans="1:20" s="1945" customFormat="1" ht="33.75" customHeight="1">
      <c r="B2039" s="1942" t="s">
        <v>2374</v>
      </c>
      <c r="C2039" s="1936" t="s">
        <v>4333</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3753</v>
      </c>
      <c r="L2041" s="1732" t="str">
        <f>IF(O2041&lt;=M2041,"","* * Check Score! * *")</f>
        <v/>
      </c>
      <c r="M2041" s="1732">
        <v>3</v>
      </c>
      <c r="N2041" s="1940" t="s">
        <v>1935</v>
      </c>
      <c r="O2041" s="1923">
        <f>'Part IX Scoring Criteria'!O386</f>
        <v>0</v>
      </c>
      <c r="P2041" s="1923"/>
      <c r="Q2041" s="1993" t="str">
        <f>IF(O2041&lt;=M2041,"","*CHECK!*")</f>
        <v/>
      </c>
      <c r="R2041" s="1819" t="s">
        <v>4767</v>
      </c>
      <c r="S2041" s="1819"/>
      <c r="T2041" s="1844"/>
    </row>
    <row r="2042" spans="1:20" ht="12.75" customHeight="1">
      <c r="A2042" s="2180"/>
      <c r="B2042" s="2172" t="s">
        <v>1938</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3456</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4581</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3455</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6814</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4338</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3457</v>
      </c>
      <c r="C2053" s="449" t="s">
        <v>4339</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6896</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6917</v>
      </c>
      <c r="D2057" s="1822"/>
      <c r="E2057" s="1822"/>
      <c r="F2057" s="1908" t="s">
        <v>4372</v>
      </c>
      <c r="H2057" s="1995"/>
      <c r="I2057" s="1926">
        <f>'Part IX Scoring Criteria'!I402</f>
        <v>0</v>
      </c>
      <c r="J2057" s="1917">
        <f>'Part IV-A-Uses of Funds'!$G$132</f>
        <v>9959143</v>
      </c>
      <c r="K2057" s="1917"/>
      <c r="L2057" s="1822"/>
      <c r="M2057" s="1819"/>
      <c r="N2057" s="1819"/>
      <c r="O2057" s="2181"/>
      <c r="P2057" s="1819"/>
    </row>
    <row r="2058" spans="1:23" ht="12.75" customHeight="1">
      <c r="C2058" s="1822"/>
      <c r="D2058" s="1822"/>
      <c r="E2058" s="1822"/>
      <c r="F2058" s="1944" t="s">
        <v>4371</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3458</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2371</v>
      </c>
      <c r="C2062" s="1936" t="s">
        <v>3754</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3606</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4341</v>
      </c>
      <c r="N2064" s="1940" t="s">
        <v>2373</v>
      </c>
      <c r="O2064" s="1229">
        <f>'Part IX Scoring Criteria'!O409</f>
        <v>0</v>
      </c>
      <c r="P2064" s="1229"/>
    </row>
    <row r="2065" spans="1:19" ht="12" customHeight="1">
      <c r="B2065" s="449" t="s">
        <v>3566</v>
      </c>
      <c r="N2065" s="1874"/>
      <c r="O2065" s="1874"/>
      <c r="P2065" s="1874"/>
    </row>
    <row r="2066" spans="1:19" s="1951" customFormat="1" ht="21.75" customHeight="1">
      <c r="A2066" s="1936" t="str">
        <f>'Part IX Scoring Criteria'!A411</f>
        <v>N/A</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4582</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6962</v>
      </c>
      <c r="C2075" s="449"/>
      <c r="D2075" s="449"/>
      <c r="E2075" s="449"/>
      <c r="F2075" s="449"/>
      <c r="G2075" s="449"/>
      <c r="H2075" s="449"/>
      <c r="I2075" s="449"/>
      <c r="J2075" s="449"/>
      <c r="K2075" s="449"/>
      <c r="L2075" s="449"/>
      <c r="M2075" s="1956" t="s">
        <v>6963</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48</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6980</v>
      </c>
      <c r="B2081" s="1936" t="s">
        <v>4583</v>
      </c>
      <c r="C2081" s="1936"/>
      <c r="H2081" s="1936"/>
      <c r="M2081" s="1967">
        <v>2</v>
      </c>
      <c r="N2081" s="1942" t="s">
        <v>1937</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6897</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48</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N/A</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54</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I. APPLICATION COMPLETENESS: The applicant believes the proposed application is complete fully and does not anticipate any deductions in this scoring category.
II. DEEPER TARGETING / RENT / INCOME RESTRICTIONS: The proposed application has an overall property area median income less than 58% and is eligible for two (2) Deeper Targeting points.
IX. STABLE COMMUNITIES; The Applicant is not eligible for points in this category.
X. MIXED INCOME DEVELOPMENT: The Applicant will make the Income Averaging set-aside election and does not include any market rate units.
XII. EXTENDED AFFORDABILITY COMMITMENT: The Owner is willing to forgo the Qualified Contract “cancellation option” after the close of the Compliance period. The Owner commits to provide a right of first of refusal to a nonprofit organization or a local housing authority in accordance with DCA requirements.
XVIII: COMPLIANCE / PERFORMANCE: The applicant has acquired exceptional compliance history and does not anticipate any deductions in this scoring category. Please see Tab 19 in this application for the Qualification Determination.</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AY7+GnStAHpxxTytOjVtxs4u343UlqUtaaF96leKNMIf+ld0MzsvtXZ6yWAw0+k7RnXfNjz2cUAMVr+/wseNwA==" saltValue="/m8XJUrxikh8AoZYlKEPKw=="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20" zoomScaleNormal="12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2020-067 Boxwood Heights, Columbus, Muscogee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3892</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56" t="s">
        <v>7095</v>
      </c>
      <c r="I5" s="3657"/>
      <c r="J5" s="3657"/>
      <c r="K5" s="3657"/>
      <c r="L5" s="3657"/>
      <c r="M5" s="3657"/>
      <c r="N5" s="3658"/>
      <c r="O5" s="2348" t="s">
        <v>1941</v>
      </c>
      <c r="P5" s="2348"/>
      <c r="Q5" s="3656" t="s">
        <v>6992</v>
      </c>
      <c r="R5" s="3657"/>
      <c r="S5" s="3658"/>
      <c r="Y5" s="1016"/>
      <c r="Z5" s="1017"/>
      <c r="AA5" s="2353"/>
    </row>
    <row r="6" spans="1:27" s="293" customFormat="1" ht="11.25" customHeight="1">
      <c r="D6" s="331"/>
      <c r="E6" s="2345" t="s">
        <v>999</v>
      </c>
      <c r="F6" s="305"/>
      <c r="H6" s="3485" t="s">
        <v>6989</v>
      </c>
      <c r="I6" s="3659"/>
      <c r="J6" s="3659"/>
      <c r="K6" s="3660"/>
      <c r="L6" s="3659"/>
      <c r="M6" s="3659"/>
      <c r="N6" s="3661"/>
      <c r="O6" s="2348" t="s">
        <v>1704</v>
      </c>
      <c r="Q6" s="3506" t="s">
        <v>7002</v>
      </c>
      <c r="R6" s="3570"/>
      <c r="S6" s="3571"/>
      <c r="V6" s="1016"/>
      <c r="W6" s="1016"/>
      <c r="X6" s="1016"/>
      <c r="Y6" s="1016"/>
      <c r="Z6" s="1017"/>
      <c r="AA6" s="2353"/>
    </row>
    <row r="7" spans="1:27" s="293" customFormat="1" ht="11.25" customHeight="1">
      <c r="D7" s="331"/>
      <c r="E7" s="2345" t="s">
        <v>600</v>
      </c>
      <c r="H7" s="3485" t="s">
        <v>180</v>
      </c>
      <c r="I7" s="3660"/>
      <c r="J7" s="3574"/>
      <c r="K7" s="3662" t="s">
        <v>744</v>
      </c>
      <c r="L7" s="3509"/>
      <c r="M7" s="3659"/>
      <c r="N7" s="3661"/>
      <c r="O7" s="2348" t="s">
        <v>1679</v>
      </c>
      <c r="Q7" s="3623">
        <v>3342816820</v>
      </c>
      <c r="R7" s="3624"/>
      <c r="S7" s="3625"/>
    </row>
    <row r="8" spans="1:27" s="293" customFormat="1" ht="11.25" customHeight="1">
      <c r="D8" s="331"/>
      <c r="E8" s="2345" t="s">
        <v>1754</v>
      </c>
      <c r="H8" s="3572" t="s">
        <v>818</v>
      </c>
      <c r="I8" s="1007" t="s">
        <v>2172</v>
      </c>
      <c r="J8" s="3663">
        <v>361176972</v>
      </c>
      <c r="K8" s="3664"/>
      <c r="L8" s="293" t="s">
        <v>3509</v>
      </c>
      <c r="M8" s="3665" t="s">
        <v>7001</v>
      </c>
      <c r="N8" s="3666"/>
      <c r="O8" s="2348" t="s">
        <v>1931</v>
      </c>
      <c r="Q8" s="3623"/>
      <c r="R8" s="3624"/>
      <c r="S8" s="3625"/>
    </row>
    <row r="9" spans="1:27" s="293" customFormat="1" ht="11.25" customHeight="1">
      <c r="D9" s="331"/>
      <c r="E9" s="2345" t="s">
        <v>3893</v>
      </c>
      <c r="H9" s="3667">
        <v>3342816820</v>
      </c>
      <c r="I9" s="3668"/>
      <c r="J9" s="3669"/>
      <c r="K9" s="2356" t="s">
        <v>1936</v>
      </c>
      <c r="L9" s="3472" t="s">
        <v>6990</v>
      </c>
      <c r="M9" s="3585"/>
      <c r="N9" s="3585"/>
      <c r="O9" s="3473"/>
      <c r="P9" s="3473"/>
      <c r="Q9" s="3585"/>
      <c r="R9" s="3585"/>
      <c r="S9" s="3586"/>
    </row>
    <row r="10" spans="1:27" s="293" customFormat="1" ht="11.25" customHeight="1">
      <c r="D10" s="331"/>
      <c r="E10" s="1194" t="s">
        <v>3892</v>
      </c>
      <c r="H10" s="326"/>
      <c r="K10" s="268"/>
      <c r="N10" s="363" t="s">
        <v>3433</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70" t="s">
        <v>1258</v>
      </c>
      <c r="W12" s="3670"/>
      <c r="X12" s="3670"/>
      <c r="Y12" s="3670"/>
      <c r="Z12" s="3670"/>
    </row>
    <row r="13" spans="1:27" s="293" customFormat="1" ht="11.25" customHeight="1">
      <c r="C13" s="333" t="s">
        <v>1938</v>
      </c>
      <c r="D13" s="330" t="s">
        <v>1939</v>
      </c>
      <c r="H13" s="2353"/>
      <c r="I13" s="2353"/>
      <c r="J13" s="2353"/>
      <c r="N13" s="1020"/>
      <c r="W13" s="3671"/>
      <c r="X13" s="3671"/>
      <c r="Y13" s="3671"/>
      <c r="Z13" s="3671"/>
    </row>
    <row r="14" spans="1:27" s="293" customFormat="1" ht="11.25" customHeight="1">
      <c r="D14" s="295" t="s">
        <v>2065</v>
      </c>
      <c r="E14" s="293" t="s">
        <v>1809</v>
      </c>
      <c r="H14" s="3656" t="s">
        <v>7098</v>
      </c>
      <c r="I14" s="3657"/>
      <c r="J14" s="3657"/>
      <c r="K14" s="3657"/>
      <c r="L14" s="3657"/>
      <c r="M14" s="3657"/>
      <c r="N14" s="3658"/>
      <c r="O14" s="2348" t="s">
        <v>1941</v>
      </c>
      <c r="P14" s="2348"/>
      <c r="Q14" s="3656" t="s">
        <v>6992</v>
      </c>
      <c r="R14" s="3657"/>
      <c r="S14" s="3658"/>
    </row>
    <row r="15" spans="1:27" s="293" customFormat="1" ht="11.25" customHeight="1">
      <c r="D15" s="331"/>
      <c r="E15" s="2345" t="s">
        <v>999</v>
      </c>
      <c r="F15" s="305"/>
      <c r="H15" s="3485" t="s">
        <v>6989</v>
      </c>
      <c r="I15" s="3659"/>
      <c r="J15" s="3659"/>
      <c r="K15" s="3660"/>
      <c r="L15" s="3659"/>
      <c r="M15" s="3659"/>
      <c r="N15" s="3661"/>
      <c r="O15" s="2348" t="s">
        <v>1704</v>
      </c>
      <c r="Q15" s="3506" t="s">
        <v>7002</v>
      </c>
      <c r="R15" s="3570"/>
      <c r="S15" s="3571"/>
    </row>
    <row r="16" spans="1:27" s="293" customFormat="1" ht="11.25" customHeight="1">
      <c r="D16" s="331"/>
      <c r="E16" s="2345" t="s">
        <v>600</v>
      </c>
      <c r="H16" s="3485" t="s">
        <v>180</v>
      </c>
      <c r="I16" s="3660"/>
      <c r="J16" s="3574"/>
      <c r="K16" s="2362" t="s">
        <v>2624</v>
      </c>
      <c r="L16" s="3485"/>
      <c r="M16" s="3659"/>
      <c r="N16" s="3574"/>
      <c r="O16" s="2348" t="s">
        <v>1679</v>
      </c>
      <c r="Q16" s="3623">
        <v>3342816820</v>
      </c>
      <c r="R16" s="3624"/>
      <c r="S16" s="3625"/>
    </row>
    <row r="17" spans="3:19" s="293" customFormat="1" ht="11.25" customHeight="1">
      <c r="D17" s="295"/>
      <c r="E17" s="2345" t="s">
        <v>1754</v>
      </c>
      <c r="H17" s="3572" t="s">
        <v>818</v>
      </c>
      <c r="K17" s="1007" t="s">
        <v>2172</v>
      </c>
      <c r="L17" s="3492">
        <v>361176972</v>
      </c>
      <c r="M17" s="3672"/>
      <c r="O17" s="2348" t="s">
        <v>1931</v>
      </c>
      <c r="Q17" s="3623"/>
      <c r="R17" s="3624"/>
      <c r="S17" s="3625"/>
    </row>
    <row r="18" spans="3:19" s="293" customFormat="1" ht="11.25" customHeight="1">
      <c r="D18" s="331"/>
      <c r="E18" s="2345" t="s">
        <v>3893</v>
      </c>
      <c r="H18" s="3667">
        <v>3342816820</v>
      </c>
      <c r="I18" s="3673"/>
      <c r="J18" s="3674"/>
      <c r="K18" s="2356" t="s">
        <v>1936</v>
      </c>
      <c r="L18" s="3626" t="s">
        <v>6990</v>
      </c>
      <c r="M18" s="3585"/>
      <c r="N18" s="3473"/>
      <c r="O18" s="3473"/>
      <c r="P18" s="3473"/>
      <c r="Q18" s="3585"/>
      <c r="R18" s="3585"/>
      <c r="S18" s="3586"/>
    </row>
    <row r="19" spans="3:19" ht="4.3499999999999996" customHeight="1">
      <c r="D19" s="319"/>
      <c r="H19" s="3675"/>
      <c r="I19" s="3675"/>
      <c r="J19" s="3675"/>
      <c r="K19" s="2356"/>
      <c r="L19" s="3675"/>
      <c r="M19" s="3675"/>
      <c r="N19" s="2350"/>
      <c r="O19" s="3676"/>
      <c r="P19" s="3676"/>
      <c r="Q19" s="2356"/>
      <c r="R19" s="3676"/>
      <c r="S19" s="3676"/>
    </row>
    <row r="20" spans="3:19" s="293" customFormat="1" ht="11.25" customHeight="1">
      <c r="D20" s="295" t="s">
        <v>2066</v>
      </c>
      <c r="E20" s="293" t="s">
        <v>1810</v>
      </c>
      <c r="F20" s="2353"/>
      <c r="H20" s="3656"/>
      <c r="I20" s="3657"/>
      <c r="J20" s="3657"/>
      <c r="K20" s="3657"/>
      <c r="L20" s="3657"/>
      <c r="M20" s="3657"/>
      <c r="N20" s="3658"/>
      <c r="O20" s="2348" t="s">
        <v>1941</v>
      </c>
      <c r="P20" s="2348"/>
      <c r="Q20" s="3656"/>
      <c r="R20" s="3657"/>
      <c r="S20" s="3658"/>
    </row>
    <row r="21" spans="3:19" s="293" customFormat="1" ht="11.25" customHeight="1">
      <c r="D21" s="331"/>
      <c r="E21" s="2345" t="s">
        <v>999</v>
      </c>
      <c r="F21" s="305"/>
      <c r="H21" s="3485"/>
      <c r="I21" s="3659"/>
      <c r="J21" s="3659"/>
      <c r="K21" s="3660"/>
      <c r="L21" s="3659"/>
      <c r="M21" s="3659"/>
      <c r="N21" s="3661"/>
      <c r="O21" s="2348" t="s">
        <v>1704</v>
      </c>
      <c r="Q21" s="3506"/>
      <c r="R21" s="3570"/>
      <c r="S21" s="3571"/>
    </row>
    <row r="22" spans="3:19" s="293" customFormat="1" ht="11.25" customHeight="1">
      <c r="D22" s="331"/>
      <c r="E22" s="2345" t="s">
        <v>600</v>
      </c>
      <c r="H22" s="3485"/>
      <c r="I22" s="3660"/>
      <c r="J22" s="3574"/>
      <c r="K22" s="2362" t="s">
        <v>2624</v>
      </c>
      <c r="L22" s="3485"/>
      <c r="M22" s="3659"/>
      <c r="N22" s="3574"/>
      <c r="O22" s="2348" t="s">
        <v>1679</v>
      </c>
      <c r="Q22" s="3623"/>
      <c r="R22" s="3624"/>
      <c r="S22" s="3625"/>
    </row>
    <row r="23" spans="3:19" s="293" customFormat="1" ht="11.25" customHeight="1">
      <c r="E23" s="2345" t="s">
        <v>1754</v>
      </c>
      <c r="H23" s="3572"/>
      <c r="K23" s="1007" t="s">
        <v>2172</v>
      </c>
      <c r="L23" s="3492"/>
      <c r="M23" s="3672"/>
      <c r="O23" s="2348" t="s">
        <v>1931</v>
      </c>
      <c r="Q23" s="3623"/>
      <c r="R23" s="3624"/>
      <c r="S23" s="3625"/>
    </row>
    <row r="24" spans="3:19" s="293" customFormat="1" ht="11.25" customHeight="1">
      <c r="D24" s="331"/>
      <c r="E24" s="2345" t="s">
        <v>3893</v>
      </c>
      <c r="H24" s="3667"/>
      <c r="I24" s="3673"/>
      <c r="J24" s="3674"/>
      <c r="K24" s="2356" t="s">
        <v>1936</v>
      </c>
      <c r="L24" s="3626"/>
      <c r="M24" s="3585"/>
      <c r="N24" s="3473"/>
      <c r="O24" s="3473"/>
      <c r="P24" s="3473"/>
      <c r="Q24" s="3585"/>
      <c r="R24" s="3585"/>
      <c r="S24" s="3586"/>
    </row>
    <row r="25" spans="3:19" s="293" customFormat="1" ht="4.3499999999999996" customHeight="1">
      <c r="D25" s="331"/>
      <c r="E25" s="2353"/>
      <c r="F25" s="2353"/>
      <c r="G25" s="2348"/>
      <c r="H25" s="3675"/>
      <c r="I25" s="3675"/>
      <c r="J25" s="3675"/>
      <c r="K25" s="2356"/>
      <c r="L25" s="3675"/>
      <c r="M25" s="3675"/>
      <c r="N25" s="2350"/>
      <c r="O25" s="3676"/>
      <c r="P25" s="3676"/>
      <c r="Q25" s="2356"/>
      <c r="R25" s="3676"/>
      <c r="S25" s="3676"/>
    </row>
    <row r="26" spans="3:19" s="293" customFormat="1" ht="11.25" customHeight="1">
      <c r="D26" s="295" t="s">
        <v>1691</v>
      </c>
      <c r="E26" s="293" t="s">
        <v>1810</v>
      </c>
      <c r="F26" s="2353"/>
      <c r="H26" s="3656"/>
      <c r="I26" s="3657"/>
      <c r="J26" s="3657"/>
      <c r="K26" s="3657"/>
      <c r="L26" s="3657"/>
      <c r="M26" s="3657"/>
      <c r="N26" s="3658"/>
      <c r="O26" s="2348" t="s">
        <v>1941</v>
      </c>
      <c r="P26" s="2348"/>
      <c r="Q26" s="3656"/>
      <c r="R26" s="3657"/>
      <c r="S26" s="3658"/>
    </row>
    <row r="27" spans="3:19" s="293" customFormat="1" ht="11.25" customHeight="1">
      <c r="D27" s="331"/>
      <c r="E27" s="2345" t="s">
        <v>999</v>
      </c>
      <c r="F27" s="305"/>
      <c r="H27" s="3485"/>
      <c r="I27" s="3659"/>
      <c r="J27" s="3659"/>
      <c r="K27" s="3660"/>
      <c r="L27" s="3659"/>
      <c r="M27" s="3659"/>
      <c r="N27" s="3661"/>
      <c r="O27" s="2348" t="s">
        <v>1704</v>
      </c>
      <c r="Q27" s="3506"/>
      <c r="R27" s="3570"/>
      <c r="S27" s="3571"/>
    </row>
    <row r="28" spans="3:19" s="293" customFormat="1" ht="11.25" customHeight="1">
      <c r="D28" s="331"/>
      <c r="E28" s="2345" t="s">
        <v>600</v>
      </c>
      <c r="H28" s="3485"/>
      <c r="I28" s="3660"/>
      <c r="J28" s="3574"/>
      <c r="K28" s="2362" t="s">
        <v>2624</v>
      </c>
      <c r="L28" s="3485"/>
      <c r="M28" s="3659"/>
      <c r="N28" s="3574"/>
      <c r="O28" s="2348" t="s">
        <v>1679</v>
      </c>
      <c r="Q28" s="3623"/>
      <c r="R28" s="3624"/>
      <c r="S28" s="3625"/>
    </row>
    <row r="29" spans="3:19" s="293" customFormat="1" ht="11.25" customHeight="1">
      <c r="E29" s="2345" t="s">
        <v>1754</v>
      </c>
      <c r="H29" s="3572"/>
      <c r="K29" s="1007" t="s">
        <v>2172</v>
      </c>
      <c r="L29" s="3492"/>
      <c r="M29" s="3672"/>
      <c r="O29" s="2348" t="s">
        <v>1931</v>
      </c>
      <c r="Q29" s="3623"/>
      <c r="R29" s="3624"/>
      <c r="S29" s="3625"/>
    </row>
    <row r="30" spans="3:19" s="293" customFormat="1" ht="11.25" customHeight="1">
      <c r="D30" s="331"/>
      <c r="E30" s="2345" t="s">
        <v>3893</v>
      </c>
      <c r="H30" s="3667"/>
      <c r="I30" s="3673"/>
      <c r="J30" s="3674"/>
      <c r="K30" s="2356" t="s">
        <v>1936</v>
      </c>
      <c r="L30" s="3626"/>
      <c r="M30" s="3585"/>
      <c r="N30" s="3473"/>
      <c r="O30" s="3473"/>
      <c r="P30" s="3473"/>
      <c r="Q30" s="3585"/>
      <c r="R30" s="3585"/>
      <c r="S30" s="3586"/>
    </row>
    <row r="31" spans="3:19" ht="4.3499999999999996" customHeight="1"/>
    <row r="32" spans="3:19" s="293" customFormat="1" ht="11.25" customHeight="1">
      <c r="C32" s="333" t="s">
        <v>1940</v>
      </c>
      <c r="D32" s="330" t="s">
        <v>1812</v>
      </c>
      <c r="H32" s="2353"/>
      <c r="I32" s="2353"/>
      <c r="J32" s="2353"/>
      <c r="K32" s="1194" t="s">
        <v>3892</v>
      </c>
      <c r="L32" s="2353"/>
      <c r="M32" s="2353"/>
    </row>
    <row r="33" spans="3:19" s="293" customFormat="1" ht="11.25" customHeight="1">
      <c r="D33" s="295" t="s">
        <v>2065</v>
      </c>
      <c r="E33" s="293" t="s">
        <v>732</v>
      </c>
      <c r="H33" s="3656" t="s">
        <v>7003</v>
      </c>
      <c r="I33" s="3657"/>
      <c r="J33" s="3657"/>
      <c r="K33" s="3657"/>
      <c r="L33" s="3657"/>
      <c r="M33" s="3657"/>
      <c r="N33" s="3658"/>
      <c r="O33" s="2348" t="s">
        <v>1941</v>
      </c>
      <c r="P33" s="2348"/>
      <c r="Q33" s="3656" t="s">
        <v>7006</v>
      </c>
      <c r="R33" s="3657"/>
      <c r="S33" s="3658"/>
    </row>
    <row r="34" spans="3:19" s="293" customFormat="1" ht="11.25" customHeight="1">
      <c r="D34" s="331"/>
      <c r="E34" s="2345" t="s">
        <v>999</v>
      </c>
      <c r="F34" s="305"/>
      <c r="H34" s="3485" t="s">
        <v>7004</v>
      </c>
      <c r="I34" s="3659"/>
      <c r="J34" s="3659"/>
      <c r="K34" s="3660"/>
      <c r="L34" s="3659"/>
      <c r="M34" s="3659"/>
      <c r="N34" s="3661"/>
      <c r="O34" s="2348" t="s">
        <v>1704</v>
      </c>
      <c r="Q34" s="3506" t="s">
        <v>7007</v>
      </c>
      <c r="R34" s="3570"/>
      <c r="S34" s="3571"/>
    </row>
    <row r="35" spans="3:19" s="293" customFormat="1" ht="11.25" customHeight="1">
      <c r="D35" s="331"/>
      <c r="E35" s="2345" t="s">
        <v>600</v>
      </c>
      <c r="H35" s="3485" t="s">
        <v>2461</v>
      </c>
      <c r="I35" s="3660"/>
      <c r="J35" s="3574"/>
      <c r="K35" s="2362" t="s">
        <v>2624</v>
      </c>
      <c r="L35" s="3485" t="s">
        <v>7005</v>
      </c>
      <c r="M35" s="3659"/>
      <c r="N35" s="3574"/>
      <c r="O35" s="2348" t="s">
        <v>1679</v>
      </c>
      <c r="Q35" s="3623">
        <v>5734432021</v>
      </c>
      <c r="R35" s="3624"/>
      <c r="S35" s="3625"/>
    </row>
    <row r="36" spans="3:19" s="293" customFormat="1" ht="11.25" customHeight="1">
      <c r="E36" s="2345" t="s">
        <v>1754</v>
      </c>
      <c r="H36" s="3572" t="s">
        <v>1314</v>
      </c>
      <c r="K36" s="1007" t="s">
        <v>2172</v>
      </c>
      <c r="L36" s="3492">
        <v>652034905</v>
      </c>
      <c r="M36" s="3672"/>
      <c r="O36" s="2348" t="s">
        <v>1931</v>
      </c>
      <c r="Q36" s="3623">
        <v>5734248811</v>
      </c>
      <c r="R36" s="3624"/>
      <c r="S36" s="3625"/>
    </row>
    <row r="37" spans="3:19" s="293" customFormat="1" ht="11.25" customHeight="1">
      <c r="D37" s="331"/>
      <c r="E37" s="2345" t="s">
        <v>3893</v>
      </c>
      <c r="H37" s="3667">
        <v>5734432021</v>
      </c>
      <c r="I37" s="3673"/>
      <c r="J37" s="3674"/>
      <c r="K37" s="2356" t="s">
        <v>1936</v>
      </c>
      <c r="L37" s="3626" t="s">
        <v>7008</v>
      </c>
      <c r="M37" s="3585"/>
      <c r="N37" s="3473"/>
      <c r="O37" s="3473"/>
      <c r="P37" s="3473"/>
      <c r="Q37" s="3585"/>
      <c r="R37" s="3585"/>
      <c r="S37" s="3586"/>
    </row>
    <row r="38" spans="3:19" ht="4.3499999999999996" customHeight="1">
      <c r="H38" s="3675"/>
      <c r="I38" s="3675"/>
      <c r="J38" s="3675"/>
      <c r="K38" s="2356"/>
      <c r="L38" s="3675"/>
      <c r="M38" s="3675"/>
      <c r="N38" s="2350"/>
      <c r="O38" s="3676"/>
      <c r="P38" s="3676"/>
      <c r="Q38" s="2356"/>
      <c r="R38" s="3676"/>
      <c r="S38" s="3676"/>
    </row>
    <row r="39" spans="3:19" s="293" customFormat="1" ht="11.25" customHeight="1">
      <c r="D39" s="295" t="s">
        <v>2066</v>
      </c>
      <c r="E39" s="293" t="s">
        <v>733</v>
      </c>
      <c r="F39" s="295"/>
      <c r="H39" s="3656" t="s">
        <v>7003</v>
      </c>
      <c r="I39" s="3657"/>
      <c r="J39" s="3657"/>
      <c r="K39" s="3657"/>
      <c r="L39" s="3657"/>
      <c r="M39" s="3657"/>
      <c r="N39" s="3658"/>
      <c r="O39" s="2348" t="s">
        <v>1941</v>
      </c>
      <c r="P39" s="2348"/>
      <c r="Q39" s="3656" t="s">
        <v>7006</v>
      </c>
      <c r="R39" s="3657"/>
      <c r="S39" s="3658"/>
    </row>
    <row r="40" spans="3:19" s="293" customFormat="1" ht="11.25" customHeight="1">
      <c r="D40" s="331"/>
      <c r="E40" s="2345" t="s">
        <v>999</v>
      </c>
      <c r="F40" s="305"/>
      <c r="H40" s="3485" t="s">
        <v>7004</v>
      </c>
      <c r="I40" s="3659"/>
      <c r="J40" s="3659"/>
      <c r="K40" s="3660"/>
      <c r="L40" s="3659"/>
      <c r="M40" s="3659"/>
      <c r="N40" s="3661"/>
      <c r="O40" s="2348" t="s">
        <v>1704</v>
      </c>
      <c r="Q40" s="3506" t="s">
        <v>7007</v>
      </c>
      <c r="R40" s="3570"/>
      <c r="S40" s="3571"/>
    </row>
    <row r="41" spans="3:19" s="293" customFormat="1" ht="11.25" customHeight="1">
      <c r="D41" s="331"/>
      <c r="E41" s="2345" t="s">
        <v>600</v>
      </c>
      <c r="H41" s="3485" t="s">
        <v>2461</v>
      </c>
      <c r="I41" s="3660"/>
      <c r="J41" s="3574"/>
      <c r="K41" s="2362" t="s">
        <v>2624</v>
      </c>
      <c r="L41" s="3485" t="s">
        <v>7009</v>
      </c>
      <c r="M41" s="3659"/>
      <c r="N41" s="3574"/>
      <c r="O41" s="2348" t="s">
        <v>1679</v>
      </c>
      <c r="Q41" s="3623">
        <v>5734432021</v>
      </c>
      <c r="R41" s="3624"/>
      <c r="S41" s="3625"/>
    </row>
    <row r="42" spans="3:19" s="293" customFormat="1" ht="11.25" customHeight="1">
      <c r="D42" s="295"/>
      <c r="E42" s="2345" t="s">
        <v>1754</v>
      </c>
      <c r="H42" s="3572" t="s">
        <v>1314</v>
      </c>
      <c r="K42" s="1007" t="s">
        <v>2172</v>
      </c>
      <c r="L42" s="3492">
        <v>652034905</v>
      </c>
      <c r="M42" s="3672"/>
      <c r="O42" s="2348" t="s">
        <v>1931</v>
      </c>
      <c r="Q42" s="3623">
        <v>5734248811</v>
      </c>
      <c r="R42" s="3624"/>
      <c r="S42" s="3625"/>
    </row>
    <row r="43" spans="3:19" s="293" customFormat="1" ht="11.25" customHeight="1">
      <c r="D43" s="331"/>
      <c r="E43" s="2345" t="s">
        <v>3893</v>
      </c>
      <c r="H43" s="3667">
        <v>5734432021</v>
      </c>
      <c r="I43" s="3673"/>
      <c r="J43" s="3674"/>
      <c r="K43" s="2356" t="s">
        <v>1936</v>
      </c>
      <c r="L43" s="3626" t="s">
        <v>7008</v>
      </c>
      <c r="M43" s="3585"/>
      <c r="N43" s="3473"/>
      <c r="O43" s="3473"/>
      <c r="P43" s="3473"/>
      <c r="Q43" s="3585"/>
      <c r="R43" s="3585"/>
      <c r="S43" s="3586"/>
    </row>
    <row r="44" spans="3:19" s="293" customFormat="1" ht="4.3499999999999996" customHeight="1">
      <c r="D44" s="331"/>
      <c r="E44" s="2345"/>
      <c r="F44" s="295"/>
      <c r="H44" s="326"/>
      <c r="I44" s="326"/>
      <c r="J44" s="3677"/>
      <c r="K44" s="2356"/>
      <c r="L44" s="326"/>
      <c r="M44" s="326"/>
      <c r="N44" s="2356"/>
      <c r="O44" s="326"/>
      <c r="P44" s="326"/>
      <c r="Q44" s="2356"/>
      <c r="R44" s="326"/>
      <c r="S44" s="326"/>
    </row>
    <row r="45" spans="3:19" s="293" customFormat="1" ht="11.25" customHeight="1">
      <c r="C45" s="334" t="s">
        <v>2467</v>
      </c>
      <c r="D45" s="330" t="s">
        <v>633</v>
      </c>
      <c r="H45" s="2353"/>
      <c r="I45" s="2353"/>
      <c r="J45" s="2353"/>
      <c r="K45" s="1194" t="s">
        <v>3892</v>
      </c>
      <c r="L45" s="2353"/>
      <c r="M45" s="2353"/>
    </row>
    <row r="46" spans="3:19" s="293" customFormat="1" ht="11.25" customHeight="1">
      <c r="E46" s="293" t="s">
        <v>90</v>
      </c>
      <c r="H46" s="3656"/>
      <c r="I46" s="3657"/>
      <c r="J46" s="3657"/>
      <c r="K46" s="3657"/>
      <c r="L46" s="3657"/>
      <c r="M46" s="3657"/>
      <c r="N46" s="3658"/>
      <c r="O46" s="2348" t="s">
        <v>1941</v>
      </c>
      <c r="P46" s="2348"/>
      <c r="Q46" s="3656"/>
      <c r="R46" s="3657"/>
      <c r="S46" s="3658"/>
    </row>
    <row r="47" spans="3:19" s="293" customFormat="1" ht="11.25" customHeight="1">
      <c r="D47" s="331"/>
      <c r="E47" s="2345" t="s">
        <v>999</v>
      </c>
      <c r="F47" s="305"/>
      <c r="H47" s="3485"/>
      <c r="I47" s="3659"/>
      <c r="J47" s="3659"/>
      <c r="K47" s="3660"/>
      <c r="L47" s="3659"/>
      <c r="M47" s="3659"/>
      <c r="N47" s="3661"/>
      <c r="O47" s="2348" t="s">
        <v>1704</v>
      </c>
      <c r="Q47" s="3506"/>
      <c r="R47" s="3570"/>
      <c r="S47" s="3571"/>
    </row>
    <row r="48" spans="3:19" s="293" customFormat="1" ht="11.25" customHeight="1">
      <c r="D48" s="331"/>
      <c r="E48" s="2345" t="s">
        <v>600</v>
      </c>
      <c r="H48" s="3485"/>
      <c r="I48" s="3660"/>
      <c r="J48" s="3574"/>
      <c r="K48" s="2362" t="s">
        <v>2624</v>
      </c>
      <c r="L48" s="3485"/>
      <c r="M48" s="3659"/>
      <c r="N48" s="3574"/>
      <c r="O48" s="2348" t="s">
        <v>1679</v>
      </c>
      <c r="Q48" s="3623"/>
      <c r="R48" s="3624"/>
      <c r="S48" s="3625"/>
    </row>
    <row r="49" spans="1:19" s="293" customFormat="1" ht="11.25" customHeight="1">
      <c r="E49" s="2345" t="s">
        <v>1754</v>
      </c>
      <c r="H49" s="3572"/>
      <c r="K49" s="1007" t="s">
        <v>2172</v>
      </c>
      <c r="L49" s="3492"/>
      <c r="M49" s="3672"/>
      <c r="O49" s="2348" t="s">
        <v>1931</v>
      </c>
      <c r="Q49" s="3623"/>
      <c r="R49" s="3624"/>
      <c r="S49" s="3625"/>
    </row>
    <row r="50" spans="1:19" s="293" customFormat="1" ht="11.25" customHeight="1">
      <c r="D50" s="331"/>
      <c r="E50" s="2345" t="s">
        <v>3893</v>
      </c>
      <c r="H50" s="3667"/>
      <c r="I50" s="3673"/>
      <c r="J50" s="3674"/>
      <c r="K50" s="2356" t="s">
        <v>1936</v>
      </c>
      <c r="L50" s="3626"/>
      <c r="M50" s="3585"/>
      <c r="N50" s="3473"/>
      <c r="O50" s="3473"/>
      <c r="P50" s="3473"/>
      <c r="Q50" s="3585"/>
      <c r="R50" s="3585"/>
      <c r="S50" s="3586"/>
    </row>
    <row r="51" spans="1:19" ht="6.75" customHeight="1"/>
    <row r="52" spans="1:19" s="293" customFormat="1" ht="13.35" customHeight="1">
      <c r="A52" s="295" t="s">
        <v>722</v>
      </c>
      <c r="B52" s="295" t="s">
        <v>634</v>
      </c>
      <c r="F52" s="295"/>
      <c r="G52" s="2356"/>
      <c r="H52" s="2356"/>
      <c r="I52" s="2356"/>
      <c r="J52" s="2353"/>
      <c r="K52" s="1194" t="s">
        <v>3892</v>
      </c>
      <c r="L52" s="2353"/>
      <c r="M52" s="2353"/>
      <c r="N52" s="2353"/>
      <c r="O52" s="2353"/>
      <c r="P52" s="2353"/>
      <c r="Q52" s="2353"/>
      <c r="R52" s="2353"/>
      <c r="S52" s="2353"/>
    </row>
    <row r="53" spans="1:19" s="293" customFormat="1" ht="3" customHeight="1">
      <c r="A53" s="295"/>
      <c r="B53" s="295"/>
      <c r="F53" s="295"/>
      <c r="G53" s="2356"/>
      <c r="H53" s="3678"/>
      <c r="I53" s="3678"/>
      <c r="J53" s="3678"/>
      <c r="K53" s="2350"/>
      <c r="L53" s="3678"/>
      <c r="M53" s="3678"/>
      <c r="N53" s="2350"/>
      <c r="O53" s="3676"/>
      <c r="P53" s="3676"/>
      <c r="Q53" s="2356"/>
      <c r="R53" s="3676"/>
      <c r="S53" s="3676"/>
    </row>
    <row r="54" spans="1:19" s="293" customFormat="1" ht="11.25" customHeight="1">
      <c r="B54" s="295" t="s">
        <v>1935</v>
      </c>
      <c r="C54" s="295" t="s">
        <v>277</v>
      </c>
      <c r="H54" s="3656" t="s">
        <v>6988</v>
      </c>
      <c r="I54" s="3657"/>
      <c r="J54" s="3657"/>
      <c r="K54" s="3657"/>
      <c r="L54" s="3657"/>
      <c r="M54" s="3657"/>
      <c r="N54" s="3658"/>
      <c r="O54" s="2348" t="s">
        <v>1941</v>
      </c>
      <c r="P54" s="2348"/>
      <c r="Q54" s="3656" t="s">
        <v>6992</v>
      </c>
      <c r="R54" s="3657"/>
      <c r="S54" s="3658"/>
    </row>
    <row r="55" spans="1:19" s="293" customFormat="1" ht="11.25" customHeight="1">
      <c r="D55" s="331"/>
      <c r="E55" s="2345" t="s">
        <v>999</v>
      </c>
      <c r="F55" s="305"/>
      <c r="H55" s="3485" t="s">
        <v>6989</v>
      </c>
      <c r="I55" s="3659"/>
      <c r="J55" s="3659"/>
      <c r="K55" s="3660"/>
      <c r="L55" s="3659"/>
      <c r="M55" s="3659"/>
      <c r="N55" s="3661"/>
      <c r="O55" s="2348" t="s">
        <v>1704</v>
      </c>
      <c r="Q55" s="3506" t="s">
        <v>6991</v>
      </c>
      <c r="R55" s="3570"/>
      <c r="S55" s="3571"/>
    </row>
    <row r="56" spans="1:19" s="293" customFormat="1" ht="11.25" customHeight="1">
      <c r="D56" s="331"/>
      <c r="E56" s="2345" t="s">
        <v>600</v>
      </c>
      <c r="H56" s="3485" t="s">
        <v>180</v>
      </c>
      <c r="I56" s="3660"/>
      <c r="J56" s="3574"/>
      <c r="K56" s="2362" t="s">
        <v>2624</v>
      </c>
      <c r="L56" s="3485"/>
      <c r="M56" s="3659"/>
      <c r="N56" s="3574"/>
      <c r="O56" s="2348" t="s">
        <v>1679</v>
      </c>
      <c r="Q56" s="3623">
        <v>3342816820</v>
      </c>
      <c r="R56" s="3624"/>
      <c r="S56" s="3625"/>
    </row>
    <row r="57" spans="1:19" s="293" customFormat="1" ht="11.25" customHeight="1">
      <c r="E57" s="2345" t="s">
        <v>1754</v>
      </c>
      <c r="H57" s="3572" t="s">
        <v>818</v>
      </c>
      <c r="K57" s="1007" t="s">
        <v>2172</v>
      </c>
      <c r="L57" s="3492">
        <v>361176972</v>
      </c>
      <c r="M57" s="3672"/>
      <c r="O57" s="2348" t="s">
        <v>1931</v>
      </c>
      <c r="Q57" s="3623"/>
      <c r="R57" s="3624"/>
      <c r="S57" s="3625"/>
    </row>
    <row r="58" spans="1:19" s="293" customFormat="1" ht="11.25" customHeight="1">
      <c r="D58" s="331"/>
      <c r="E58" s="2345" t="s">
        <v>3893</v>
      </c>
      <c r="H58" s="3667">
        <v>3342816820</v>
      </c>
      <c r="I58" s="3673"/>
      <c r="J58" s="3674"/>
      <c r="K58" s="2356" t="s">
        <v>1936</v>
      </c>
      <c r="L58" s="3626" t="s">
        <v>6990</v>
      </c>
      <c r="M58" s="3585"/>
      <c r="N58" s="3473"/>
      <c r="O58" s="3473"/>
      <c r="P58" s="3473"/>
      <c r="Q58" s="3585"/>
      <c r="R58" s="3585"/>
      <c r="S58" s="3586"/>
    </row>
    <row r="59" spans="1:19" s="293" customFormat="1" ht="6.6" customHeight="1">
      <c r="D59" s="331"/>
      <c r="E59" s="2353"/>
      <c r="F59" s="2353"/>
      <c r="G59" s="2348"/>
      <c r="H59" s="3675"/>
      <c r="I59" s="3675"/>
      <c r="J59" s="3675"/>
      <c r="K59" s="2356"/>
      <c r="L59" s="3675"/>
      <c r="M59" s="3675"/>
      <c r="N59" s="2350"/>
      <c r="O59" s="3676"/>
      <c r="P59" s="3676"/>
      <c r="Q59" s="2356"/>
      <c r="R59" s="3676"/>
      <c r="S59" s="3676"/>
    </row>
    <row r="60" spans="1:19" s="293" customFormat="1" ht="11.25" customHeight="1">
      <c r="B60" s="295" t="s">
        <v>1937</v>
      </c>
      <c r="C60" s="295" t="s">
        <v>278</v>
      </c>
      <c r="H60" s="3656"/>
      <c r="I60" s="3657"/>
      <c r="J60" s="3657"/>
      <c r="K60" s="3657"/>
      <c r="L60" s="3657"/>
      <c r="M60" s="3657"/>
      <c r="N60" s="3658"/>
      <c r="O60" s="2348" t="s">
        <v>1941</v>
      </c>
      <c r="P60" s="2348"/>
      <c r="Q60" s="3656"/>
      <c r="R60" s="3657"/>
      <c r="S60" s="3658"/>
    </row>
    <row r="61" spans="1:19" s="293" customFormat="1" ht="11.25" customHeight="1">
      <c r="D61" s="331"/>
      <c r="E61" s="2345" t="s">
        <v>999</v>
      </c>
      <c r="F61" s="305"/>
      <c r="H61" s="3485"/>
      <c r="I61" s="3659"/>
      <c r="J61" s="3659"/>
      <c r="K61" s="3660"/>
      <c r="L61" s="3659"/>
      <c r="M61" s="3659"/>
      <c r="N61" s="3661"/>
      <c r="O61" s="2348" t="s">
        <v>1704</v>
      </c>
      <c r="Q61" s="3506"/>
      <c r="R61" s="3570"/>
      <c r="S61" s="3571"/>
    </row>
    <row r="62" spans="1:19" s="293" customFormat="1" ht="11.25" customHeight="1">
      <c r="D62" s="331"/>
      <c r="E62" s="2345" t="s">
        <v>600</v>
      </c>
      <c r="H62" s="3485"/>
      <c r="I62" s="3660"/>
      <c r="J62" s="3574"/>
      <c r="K62" s="2362" t="s">
        <v>2624</v>
      </c>
      <c r="L62" s="3485"/>
      <c r="M62" s="3659"/>
      <c r="N62" s="3574"/>
      <c r="O62" s="2348" t="s">
        <v>1679</v>
      </c>
      <c r="Q62" s="3623"/>
      <c r="R62" s="3624"/>
      <c r="S62" s="3625"/>
    </row>
    <row r="63" spans="1:19" s="293" customFormat="1" ht="11.25" customHeight="1">
      <c r="E63" s="2345" t="s">
        <v>1754</v>
      </c>
      <c r="H63" s="3572"/>
      <c r="K63" s="1007" t="s">
        <v>2172</v>
      </c>
      <c r="L63" s="3492"/>
      <c r="M63" s="3672"/>
      <c r="O63" s="2348" t="s">
        <v>1931</v>
      </c>
      <c r="Q63" s="3623"/>
      <c r="R63" s="3624"/>
      <c r="S63" s="3625"/>
    </row>
    <row r="64" spans="1:19" s="293" customFormat="1" ht="11.25" customHeight="1">
      <c r="D64" s="331"/>
      <c r="E64" s="2345" t="s">
        <v>3893</v>
      </c>
      <c r="H64" s="3667"/>
      <c r="I64" s="3673"/>
      <c r="J64" s="3674"/>
      <c r="K64" s="2356" t="s">
        <v>1936</v>
      </c>
      <c r="L64" s="3626"/>
      <c r="M64" s="3585"/>
      <c r="N64" s="3473"/>
      <c r="O64" s="3473"/>
      <c r="P64" s="3473"/>
      <c r="Q64" s="3585"/>
      <c r="R64" s="3585"/>
      <c r="S64" s="3586"/>
    </row>
    <row r="65" spans="1:19" s="293" customFormat="1" ht="6.6" customHeight="1">
      <c r="D65" s="331"/>
      <c r="E65" s="2353"/>
      <c r="F65" s="2353"/>
      <c r="G65" s="2348"/>
      <c r="H65" s="3675"/>
      <c r="I65" s="3675"/>
      <c r="J65" s="3675"/>
      <c r="K65" s="2356"/>
      <c r="L65" s="3675"/>
      <c r="M65" s="3675"/>
      <c r="N65" s="2350"/>
      <c r="O65" s="3676"/>
      <c r="P65" s="3676"/>
      <c r="Q65" s="2356"/>
      <c r="R65" s="3676"/>
      <c r="S65" s="3676"/>
    </row>
    <row r="66" spans="1:19" s="293" customFormat="1" ht="11.25" customHeight="1">
      <c r="B66" s="295" t="s">
        <v>731</v>
      </c>
      <c r="C66" s="295" t="s">
        <v>1496</v>
      </c>
      <c r="H66" s="3656"/>
      <c r="I66" s="3657"/>
      <c r="J66" s="3657"/>
      <c r="K66" s="3657"/>
      <c r="L66" s="3657"/>
      <c r="M66" s="3657"/>
      <c r="N66" s="3658"/>
      <c r="O66" s="2348" t="s">
        <v>1941</v>
      </c>
      <c r="P66" s="2348"/>
      <c r="Q66" s="3656"/>
      <c r="R66" s="3657"/>
      <c r="S66" s="3658"/>
    </row>
    <row r="67" spans="1:19" s="293" customFormat="1" ht="11.25" customHeight="1">
      <c r="D67" s="331"/>
      <c r="E67" s="2345" t="s">
        <v>999</v>
      </c>
      <c r="F67" s="305"/>
      <c r="H67" s="3485"/>
      <c r="I67" s="3659"/>
      <c r="J67" s="3659"/>
      <c r="K67" s="3660"/>
      <c r="L67" s="3659"/>
      <c r="M67" s="3659"/>
      <c r="N67" s="3661"/>
      <c r="O67" s="2348" t="s">
        <v>1704</v>
      </c>
      <c r="Q67" s="3506"/>
      <c r="R67" s="3570"/>
      <c r="S67" s="3571"/>
    </row>
    <row r="68" spans="1:19" s="293" customFormat="1" ht="11.25" customHeight="1">
      <c r="D68" s="331"/>
      <c r="E68" s="2345" t="s">
        <v>600</v>
      </c>
      <c r="H68" s="3485"/>
      <c r="I68" s="3660"/>
      <c r="J68" s="3574"/>
      <c r="K68" s="2362" t="s">
        <v>2624</v>
      </c>
      <c r="L68" s="3485"/>
      <c r="M68" s="3659"/>
      <c r="N68" s="3574"/>
      <c r="O68" s="2348" t="s">
        <v>1679</v>
      </c>
      <c r="Q68" s="3623"/>
      <c r="R68" s="3624"/>
      <c r="S68" s="3625"/>
    </row>
    <row r="69" spans="1:19" s="293" customFormat="1" ht="11.25" customHeight="1">
      <c r="E69" s="2345" t="s">
        <v>1754</v>
      </c>
      <c r="H69" s="3572"/>
      <c r="K69" s="1007" t="s">
        <v>2172</v>
      </c>
      <c r="L69" s="3492"/>
      <c r="M69" s="3672"/>
      <c r="O69" s="2348" t="s">
        <v>1931</v>
      </c>
      <c r="Q69" s="3623"/>
      <c r="R69" s="3624"/>
      <c r="S69" s="3625"/>
    </row>
    <row r="70" spans="1:19" s="293" customFormat="1" ht="11.25" customHeight="1">
      <c r="D70" s="331"/>
      <c r="E70" s="2345" t="s">
        <v>3893</v>
      </c>
      <c r="H70" s="3667"/>
      <c r="I70" s="3673"/>
      <c r="J70" s="3674"/>
      <c r="K70" s="2356" t="s">
        <v>1936</v>
      </c>
      <c r="L70" s="3626"/>
      <c r="M70" s="3585"/>
      <c r="N70" s="3473"/>
      <c r="O70" s="3473"/>
      <c r="P70" s="3473"/>
      <c r="Q70" s="3585"/>
      <c r="R70" s="3585"/>
      <c r="S70" s="3586"/>
    </row>
    <row r="71" spans="1:19" ht="6.6" customHeight="1">
      <c r="H71" s="3675"/>
      <c r="I71" s="3675"/>
      <c r="J71" s="3675"/>
      <c r="K71" s="2356"/>
      <c r="L71" s="3675"/>
      <c r="M71" s="3675"/>
      <c r="N71" s="2350"/>
      <c r="O71" s="3676"/>
      <c r="P71" s="3676"/>
      <c r="Q71" s="2356"/>
      <c r="R71" s="3676"/>
      <c r="S71" s="3676"/>
    </row>
    <row r="72" spans="1:19" s="293" customFormat="1" ht="11.25" customHeight="1">
      <c r="B72" s="295" t="s">
        <v>2064</v>
      </c>
      <c r="C72" s="295" t="s">
        <v>279</v>
      </c>
      <c r="H72" s="3656"/>
      <c r="I72" s="3657"/>
      <c r="J72" s="3657"/>
      <c r="K72" s="3657"/>
      <c r="L72" s="3657"/>
      <c r="M72" s="3657"/>
      <c r="N72" s="3658"/>
      <c r="O72" s="2348" t="s">
        <v>1941</v>
      </c>
      <c r="P72" s="2348"/>
      <c r="Q72" s="3656"/>
      <c r="R72" s="3657"/>
      <c r="S72" s="3658"/>
    </row>
    <row r="73" spans="1:19" s="293" customFormat="1" ht="11.25" customHeight="1">
      <c r="D73" s="331"/>
      <c r="E73" s="2345" t="s">
        <v>999</v>
      </c>
      <c r="F73" s="305"/>
      <c r="H73" s="3485"/>
      <c r="I73" s="3659"/>
      <c r="J73" s="3659"/>
      <c r="K73" s="3660"/>
      <c r="L73" s="3659"/>
      <c r="M73" s="3659"/>
      <c r="N73" s="3661"/>
      <c r="O73" s="2348" t="s">
        <v>1704</v>
      </c>
      <c r="Q73" s="3506"/>
      <c r="R73" s="3570"/>
      <c r="S73" s="3571"/>
    </row>
    <row r="74" spans="1:19" s="293" customFormat="1" ht="11.25" customHeight="1">
      <c r="D74" s="331"/>
      <c r="E74" s="2345" t="s">
        <v>600</v>
      </c>
      <c r="H74" s="3485"/>
      <c r="I74" s="3660"/>
      <c r="J74" s="3574"/>
      <c r="K74" s="2362" t="s">
        <v>2624</v>
      </c>
      <c r="L74" s="3485"/>
      <c r="M74" s="3659"/>
      <c r="N74" s="3574"/>
      <c r="O74" s="2348" t="s">
        <v>1679</v>
      </c>
      <c r="Q74" s="3623"/>
      <c r="R74" s="3624"/>
      <c r="S74" s="3625"/>
    </row>
    <row r="75" spans="1:19" s="293" customFormat="1" ht="11.25" customHeight="1">
      <c r="E75" s="2345" t="s">
        <v>1754</v>
      </c>
      <c r="H75" s="3572"/>
      <c r="K75" s="1007" t="s">
        <v>2172</v>
      </c>
      <c r="L75" s="3492"/>
      <c r="M75" s="3672"/>
      <c r="O75" s="2348" t="s">
        <v>1931</v>
      </c>
      <c r="Q75" s="3623"/>
      <c r="R75" s="3624"/>
      <c r="S75" s="3625"/>
    </row>
    <row r="76" spans="1:19" s="293" customFormat="1" ht="11.25" customHeight="1">
      <c r="D76" s="331"/>
      <c r="E76" s="2345" t="s">
        <v>3893</v>
      </c>
      <c r="H76" s="3667"/>
      <c r="I76" s="3673"/>
      <c r="J76" s="3674"/>
      <c r="K76" s="2356" t="s">
        <v>1936</v>
      </c>
      <c r="L76" s="3626"/>
      <c r="M76" s="3585"/>
      <c r="N76" s="3473"/>
      <c r="O76" s="3473"/>
      <c r="P76" s="3473"/>
      <c r="Q76" s="3585"/>
      <c r="R76" s="3585"/>
      <c r="S76" s="3586"/>
    </row>
    <row r="77" spans="1:19" ht="6.75" customHeight="1"/>
    <row r="78" spans="1:19" s="2345" customFormat="1" ht="13.35" customHeight="1">
      <c r="A78" s="298" t="s">
        <v>724</v>
      </c>
      <c r="B78" s="298" t="s">
        <v>280</v>
      </c>
      <c r="D78" s="298"/>
      <c r="E78" s="2348"/>
      <c r="F78" s="2347"/>
      <c r="G78" s="2347"/>
      <c r="H78" s="2347"/>
      <c r="I78" s="2347"/>
      <c r="J78" s="2347"/>
      <c r="K78" s="1194" t="s">
        <v>3892</v>
      </c>
      <c r="L78" s="2347"/>
      <c r="M78" s="2347"/>
    </row>
    <row r="79" spans="1:19" s="2345" customFormat="1" ht="3" customHeight="1">
      <c r="A79" s="298"/>
      <c r="B79" s="298"/>
      <c r="D79" s="298"/>
      <c r="E79" s="2348"/>
      <c r="F79" s="2347"/>
      <c r="G79" s="2347"/>
      <c r="H79" s="3678"/>
      <c r="I79" s="3678"/>
      <c r="J79" s="3678"/>
      <c r="K79" s="2350"/>
      <c r="L79" s="3678"/>
      <c r="M79" s="3678"/>
      <c r="N79" s="2350"/>
      <c r="O79" s="3676"/>
      <c r="P79" s="3676"/>
      <c r="Q79" s="2356"/>
      <c r="R79" s="3676"/>
      <c r="S79" s="3676"/>
    </row>
    <row r="80" spans="1:19" s="293" customFormat="1" ht="11.25" customHeight="1">
      <c r="B80" s="295" t="s">
        <v>1935</v>
      </c>
      <c r="C80" s="295" t="s">
        <v>281</v>
      </c>
      <c r="H80" s="3656"/>
      <c r="I80" s="3657"/>
      <c r="J80" s="3657"/>
      <c r="K80" s="3657"/>
      <c r="L80" s="3657"/>
      <c r="M80" s="3657"/>
      <c r="N80" s="3658"/>
      <c r="O80" s="2348" t="s">
        <v>1941</v>
      </c>
      <c r="P80" s="2348"/>
      <c r="Q80" s="3656"/>
      <c r="R80" s="3657"/>
      <c r="S80" s="3658"/>
    </row>
    <row r="81" spans="2:19" s="293" customFormat="1" ht="11.25" customHeight="1">
      <c r="D81" s="331"/>
      <c r="E81" s="2345" t="s">
        <v>999</v>
      </c>
      <c r="F81" s="305"/>
      <c r="H81" s="3485"/>
      <c r="I81" s="3659"/>
      <c r="J81" s="3659"/>
      <c r="K81" s="3660"/>
      <c r="L81" s="3659"/>
      <c r="M81" s="3659"/>
      <c r="N81" s="3661"/>
      <c r="O81" s="2348" t="s">
        <v>1704</v>
      </c>
      <c r="Q81" s="3506"/>
      <c r="R81" s="3570"/>
      <c r="S81" s="3571"/>
    </row>
    <row r="82" spans="2:19" s="293" customFormat="1" ht="11.25" customHeight="1">
      <c r="D82" s="331"/>
      <c r="E82" s="2345" t="s">
        <v>600</v>
      </c>
      <c r="H82" s="3485"/>
      <c r="I82" s="3660"/>
      <c r="J82" s="3574"/>
      <c r="K82" s="2362" t="s">
        <v>2624</v>
      </c>
      <c r="L82" s="3485"/>
      <c r="M82" s="3659"/>
      <c r="N82" s="3574"/>
      <c r="O82" s="2348" t="s">
        <v>1679</v>
      </c>
      <c r="Q82" s="3623"/>
      <c r="R82" s="3624"/>
      <c r="S82" s="3625"/>
    </row>
    <row r="83" spans="2:19" s="293" customFormat="1" ht="11.25" customHeight="1">
      <c r="E83" s="2345" t="s">
        <v>1754</v>
      </c>
      <c r="H83" s="3572"/>
      <c r="K83" s="1007" t="s">
        <v>2172</v>
      </c>
      <c r="L83" s="3492"/>
      <c r="M83" s="3672"/>
      <c r="O83" s="2348" t="s">
        <v>1931</v>
      </c>
      <c r="Q83" s="3623"/>
      <c r="R83" s="3624"/>
      <c r="S83" s="3625"/>
    </row>
    <row r="84" spans="2:19" s="293" customFormat="1" ht="11.25" customHeight="1">
      <c r="D84" s="331"/>
      <c r="E84" s="2345" t="s">
        <v>3893</v>
      </c>
      <c r="H84" s="3667"/>
      <c r="I84" s="3673"/>
      <c r="J84" s="3674"/>
      <c r="K84" s="2356" t="s">
        <v>1936</v>
      </c>
      <c r="L84" s="3626"/>
      <c r="M84" s="3585"/>
      <c r="N84" s="3473"/>
      <c r="O84" s="3473"/>
      <c r="P84" s="3473"/>
      <c r="Q84" s="3585"/>
      <c r="R84" s="3585"/>
      <c r="S84" s="3586"/>
    </row>
    <row r="85" spans="2:19" ht="6.6" customHeight="1">
      <c r="H85" s="3675"/>
      <c r="I85" s="3675"/>
      <c r="J85" s="3675"/>
      <c r="K85" s="2356"/>
      <c r="L85" s="3675"/>
      <c r="M85" s="3675"/>
      <c r="N85" s="2350"/>
      <c r="O85" s="3676"/>
      <c r="P85" s="3676"/>
      <c r="Q85" s="2356"/>
      <c r="R85" s="3676"/>
      <c r="S85" s="3676"/>
    </row>
    <row r="86" spans="2:19" s="293" customFormat="1" ht="11.25" customHeight="1">
      <c r="B86" s="295" t="s">
        <v>1937</v>
      </c>
      <c r="C86" s="295" t="s">
        <v>282</v>
      </c>
      <c r="H86" s="3656" t="s">
        <v>7010</v>
      </c>
      <c r="I86" s="3657"/>
      <c r="J86" s="3657"/>
      <c r="K86" s="3657"/>
      <c r="L86" s="3657"/>
      <c r="M86" s="3657"/>
      <c r="N86" s="3658"/>
      <c r="O86" s="2348" t="s">
        <v>1941</v>
      </c>
      <c r="P86" s="2348"/>
      <c r="Q86" s="3656" t="s">
        <v>7012</v>
      </c>
      <c r="R86" s="3657"/>
      <c r="S86" s="3658"/>
    </row>
    <row r="87" spans="2:19" s="293" customFormat="1" ht="11.25" customHeight="1">
      <c r="D87" s="331"/>
      <c r="E87" s="2345" t="s">
        <v>999</v>
      </c>
      <c r="F87" s="305"/>
      <c r="H87" s="3485" t="s">
        <v>7004</v>
      </c>
      <c r="I87" s="3659"/>
      <c r="J87" s="3659"/>
      <c r="K87" s="3660"/>
      <c r="L87" s="3659"/>
      <c r="M87" s="3659"/>
      <c r="N87" s="3661"/>
      <c r="O87" s="2348" t="s">
        <v>1704</v>
      </c>
      <c r="Q87" s="3506" t="s">
        <v>7013</v>
      </c>
      <c r="R87" s="3570"/>
      <c r="S87" s="3571"/>
    </row>
    <row r="88" spans="2:19" s="293" customFormat="1" ht="11.25" customHeight="1">
      <c r="D88" s="331"/>
      <c r="E88" s="2345" t="s">
        <v>600</v>
      </c>
      <c r="H88" s="3485" t="s">
        <v>2461</v>
      </c>
      <c r="I88" s="3660"/>
      <c r="J88" s="3574"/>
      <c r="K88" s="2362" t="s">
        <v>2624</v>
      </c>
      <c r="L88" s="3485" t="s">
        <v>7014</v>
      </c>
      <c r="M88" s="3659"/>
      <c r="N88" s="3574"/>
      <c r="O88" s="2348" t="s">
        <v>1679</v>
      </c>
      <c r="Q88" s="3623">
        <v>5734432021</v>
      </c>
      <c r="R88" s="3624"/>
      <c r="S88" s="3625"/>
    </row>
    <row r="89" spans="2:19" s="293" customFormat="1" ht="11.25" customHeight="1">
      <c r="E89" s="2345" t="s">
        <v>1754</v>
      </c>
      <c r="H89" s="3572" t="s">
        <v>1314</v>
      </c>
      <c r="K89" s="1007" t="s">
        <v>2172</v>
      </c>
      <c r="L89" s="3492">
        <v>652034905</v>
      </c>
      <c r="M89" s="3672"/>
      <c r="O89" s="2348" t="s">
        <v>1931</v>
      </c>
      <c r="Q89" s="3623"/>
      <c r="R89" s="3624"/>
      <c r="S89" s="3625"/>
    </row>
    <row r="90" spans="2:19" s="293" customFormat="1" ht="11.25" customHeight="1">
      <c r="D90" s="331"/>
      <c r="E90" s="2345" t="s">
        <v>3893</v>
      </c>
      <c r="H90" s="3667">
        <v>5734432021</v>
      </c>
      <c r="I90" s="3673"/>
      <c r="J90" s="3674"/>
      <c r="K90" s="2356" t="s">
        <v>1936</v>
      </c>
      <c r="L90" s="3626" t="s">
        <v>7011</v>
      </c>
      <c r="M90" s="3585"/>
      <c r="N90" s="3473"/>
      <c r="O90" s="3473"/>
      <c r="P90" s="3473"/>
      <c r="Q90" s="3585"/>
      <c r="R90" s="3585"/>
      <c r="S90" s="3586"/>
    </row>
    <row r="91" spans="2:19" ht="6.6" customHeight="1">
      <c r="H91" s="3675"/>
      <c r="I91" s="3675"/>
      <c r="J91" s="3675"/>
      <c r="K91" s="2356"/>
      <c r="L91" s="3675"/>
      <c r="M91" s="3675"/>
      <c r="N91" s="2350"/>
      <c r="O91" s="3676"/>
      <c r="P91" s="3676"/>
      <c r="Q91" s="2356"/>
      <c r="R91" s="3676"/>
      <c r="S91" s="3676"/>
    </row>
    <row r="92" spans="2:19" s="293" customFormat="1" ht="11.25" customHeight="1">
      <c r="B92" s="295" t="s">
        <v>731</v>
      </c>
      <c r="C92" s="295" t="s">
        <v>283</v>
      </c>
      <c r="F92" s="311"/>
      <c r="H92" s="3656" t="s">
        <v>7019</v>
      </c>
      <c r="I92" s="3657"/>
      <c r="J92" s="3657"/>
      <c r="K92" s="3657"/>
      <c r="L92" s="3657"/>
      <c r="M92" s="3657"/>
      <c r="N92" s="3658"/>
      <c r="O92" s="2348" t="s">
        <v>1941</v>
      </c>
      <c r="P92" s="2348"/>
      <c r="Q92" s="3656" t="s">
        <v>7015</v>
      </c>
      <c r="R92" s="3657"/>
      <c r="S92" s="3658"/>
    </row>
    <row r="93" spans="2:19" s="293" customFormat="1" ht="11.25" customHeight="1">
      <c r="D93" s="331"/>
      <c r="E93" s="2345" t="s">
        <v>999</v>
      </c>
      <c r="F93" s="305"/>
      <c r="H93" s="3485" t="s">
        <v>7020</v>
      </c>
      <c r="I93" s="3659"/>
      <c r="J93" s="3659"/>
      <c r="K93" s="3660"/>
      <c r="L93" s="3659"/>
      <c r="M93" s="3659"/>
      <c r="N93" s="3661"/>
      <c r="O93" s="2348" t="s">
        <v>1704</v>
      </c>
      <c r="Q93" s="3506" t="s">
        <v>7016</v>
      </c>
      <c r="R93" s="3570"/>
      <c r="S93" s="3571"/>
    </row>
    <row r="94" spans="2:19" s="293" customFormat="1" ht="11.25" customHeight="1">
      <c r="D94" s="331"/>
      <c r="E94" s="2345" t="s">
        <v>600</v>
      </c>
      <c r="H94" s="3485" t="s">
        <v>1179</v>
      </c>
      <c r="I94" s="3660"/>
      <c r="J94" s="3574"/>
      <c r="K94" s="2362" t="s">
        <v>2624</v>
      </c>
      <c r="L94" s="3485" t="s">
        <v>7018</v>
      </c>
      <c r="M94" s="3659"/>
      <c r="N94" s="3574"/>
      <c r="O94" s="2348" t="s">
        <v>1679</v>
      </c>
      <c r="Q94" s="3623">
        <v>5734432021</v>
      </c>
      <c r="R94" s="3624"/>
      <c r="S94" s="3625"/>
    </row>
    <row r="95" spans="2:19" s="293" customFormat="1" ht="11.25" customHeight="1">
      <c r="D95" s="331"/>
      <c r="E95" s="2345" t="s">
        <v>1754</v>
      </c>
      <c r="H95" s="3572" t="s">
        <v>828</v>
      </c>
      <c r="K95" s="1007" t="s">
        <v>2172</v>
      </c>
      <c r="L95" s="3492">
        <v>303272212</v>
      </c>
      <c r="M95" s="3672"/>
      <c r="O95" s="2348" t="s">
        <v>1931</v>
      </c>
      <c r="Q95" s="3623"/>
      <c r="R95" s="3624"/>
      <c r="S95" s="3625"/>
    </row>
    <row r="96" spans="2:19" s="293" customFormat="1" ht="11.25" customHeight="1">
      <c r="D96" s="331"/>
      <c r="E96" s="2345" t="s">
        <v>3893</v>
      </c>
      <c r="H96" s="3667">
        <v>5734432021</v>
      </c>
      <c r="I96" s="3673"/>
      <c r="J96" s="3674"/>
      <c r="K96" s="2356" t="s">
        <v>1936</v>
      </c>
      <c r="L96" s="3626" t="s">
        <v>7017</v>
      </c>
      <c r="M96" s="3585"/>
      <c r="N96" s="3473"/>
      <c r="O96" s="3473"/>
      <c r="P96" s="3473"/>
      <c r="Q96" s="3585"/>
      <c r="R96" s="3585"/>
      <c r="S96" s="3586"/>
    </row>
    <row r="97" spans="2:19" ht="6.6" customHeight="1">
      <c r="H97" s="3675"/>
      <c r="I97" s="3675"/>
      <c r="J97" s="3675"/>
      <c r="K97" s="2356"/>
      <c r="L97" s="3675"/>
      <c r="M97" s="3675"/>
      <c r="N97" s="2350"/>
      <c r="O97" s="3676"/>
      <c r="P97" s="3676"/>
      <c r="Q97" s="2356"/>
      <c r="R97" s="3676"/>
      <c r="S97" s="3676"/>
    </row>
    <row r="98" spans="2:19" s="293" customFormat="1" ht="11.25" customHeight="1">
      <c r="B98" s="295" t="s">
        <v>2064</v>
      </c>
      <c r="C98" s="295" t="s">
        <v>284</v>
      </c>
      <c r="H98" s="3656" t="s">
        <v>7021</v>
      </c>
      <c r="I98" s="3657"/>
      <c r="J98" s="3657"/>
      <c r="K98" s="3657"/>
      <c r="L98" s="3657"/>
      <c r="M98" s="3657"/>
      <c r="N98" s="3658"/>
      <c r="O98" s="2348" t="s">
        <v>1941</v>
      </c>
      <c r="P98" s="2348"/>
      <c r="Q98" s="3656" t="s">
        <v>7024</v>
      </c>
      <c r="R98" s="3657"/>
      <c r="S98" s="3658"/>
    </row>
    <row r="99" spans="2:19" s="293" customFormat="1" ht="11.25" customHeight="1">
      <c r="D99" s="331"/>
      <c r="E99" s="2345" t="s">
        <v>999</v>
      </c>
      <c r="F99" s="305"/>
      <c r="H99" s="3485" t="s">
        <v>7022</v>
      </c>
      <c r="I99" s="3659"/>
      <c r="J99" s="3659"/>
      <c r="K99" s="3660"/>
      <c r="L99" s="3659"/>
      <c r="M99" s="3659"/>
      <c r="N99" s="3661"/>
      <c r="O99" s="2348" t="s">
        <v>1704</v>
      </c>
      <c r="Q99" s="3506" t="s">
        <v>7025</v>
      </c>
      <c r="R99" s="3570"/>
      <c r="S99" s="3571"/>
    </row>
    <row r="100" spans="2:19" s="293" customFormat="1" ht="11.25" customHeight="1">
      <c r="D100" s="331"/>
      <c r="E100" s="2345" t="s">
        <v>600</v>
      </c>
      <c r="H100" s="3485" t="s">
        <v>1654</v>
      </c>
      <c r="I100" s="3660"/>
      <c r="J100" s="3574"/>
      <c r="K100" s="2362" t="s">
        <v>2624</v>
      </c>
      <c r="L100" s="3485" t="s">
        <v>7023</v>
      </c>
      <c r="M100" s="3659"/>
      <c r="N100" s="3574"/>
      <c r="O100" s="2348" t="s">
        <v>1679</v>
      </c>
      <c r="Q100" s="3623">
        <v>2296718260</v>
      </c>
      <c r="R100" s="3624"/>
      <c r="S100" s="3625"/>
    </row>
    <row r="101" spans="2:19" s="293" customFormat="1" ht="11.25" customHeight="1">
      <c r="D101" s="331"/>
      <c r="E101" s="2345" t="s">
        <v>1754</v>
      </c>
      <c r="H101" s="3572" t="s">
        <v>828</v>
      </c>
      <c r="K101" s="1007" t="s">
        <v>2172</v>
      </c>
      <c r="L101" s="3492">
        <v>316015601</v>
      </c>
      <c r="M101" s="3672"/>
      <c r="O101" s="2348" t="s">
        <v>1931</v>
      </c>
      <c r="Q101" s="3623">
        <v>2298349704</v>
      </c>
      <c r="R101" s="3624"/>
      <c r="S101" s="3625"/>
    </row>
    <row r="102" spans="2:19" ht="11.25" customHeight="1">
      <c r="E102" s="2345" t="s">
        <v>3893</v>
      </c>
      <c r="F102" s="293"/>
      <c r="G102" s="293"/>
      <c r="H102" s="3667">
        <v>2292427562</v>
      </c>
      <c r="I102" s="3673"/>
      <c r="J102" s="3674"/>
      <c r="K102" s="2356" t="s">
        <v>1936</v>
      </c>
      <c r="L102" s="3626" t="s">
        <v>7026</v>
      </c>
      <c r="M102" s="3585"/>
      <c r="N102" s="3473"/>
      <c r="O102" s="3473"/>
      <c r="P102" s="3473"/>
      <c r="Q102" s="3585"/>
      <c r="R102" s="3585"/>
      <c r="S102" s="3586"/>
    </row>
    <row r="103" spans="2:19" ht="6" customHeight="1">
      <c r="E103" s="2345"/>
      <c r="F103" s="293"/>
      <c r="G103" s="2353"/>
      <c r="H103" s="3675"/>
      <c r="I103" s="3675"/>
      <c r="J103" s="3675"/>
      <c r="K103" s="2356"/>
      <c r="L103" s="3675"/>
      <c r="M103" s="3675"/>
      <c r="N103" s="2350"/>
      <c r="O103" s="3676"/>
      <c r="P103" s="3676"/>
      <c r="Q103" s="2356"/>
      <c r="R103" s="3676"/>
      <c r="S103" s="3676"/>
    </row>
    <row r="104" spans="2:19" s="293" customFormat="1" ht="11.25" customHeight="1">
      <c r="B104" s="295" t="s">
        <v>1692</v>
      </c>
      <c r="C104" s="295" t="s">
        <v>285</v>
      </c>
      <c r="H104" s="3656" t="s">
        <v>7027</v>
      </c>
      <c r="I104" s="3657"/>
      <c r="J104" s="3657"/>
      <c r="K104" s="3657"/>
      <c r="L104" s="3657"/>
      <c r="M104" s="3657"/>
      <c r="N104" s="3658"/>
      <c r="O104" s="2348" t="s">
        <v>1941</v>
      </c>
      <c r="P104" s="2348"/>
      <c r="Q104" s="3656" t="s">
        <v>7029</v>
      </c>
      <c r="R104" s="3657"/>
      <c r="S104" s="3658"/>
    </row>
    <row r="105" spans="2:19" s="293" customFormat="1" ht="11.25" customHeight="1">
      <c r="D105" s="331"/>
      <c r="E105" s="2345" t="s">
        <v>999</v>
      </c>
      <c r="F105" s="305"/>
      <c r="H105" s="3485" t="s">
        <v>7028</v>
      </c>
      <c r="I105" s="3659"/>
      <c r="J105" s="3659"/>
      <c r="K105" s="3660"/>
      <c r="L105" s="3659"/>
      <c r="M105" s="3659"/>
      <c r="N105" s="3661"/>
      <c r="O105" s="2348" t="s">
        <v>1704</v>
      </c>
      <c r="Q105" s="3506" t="s">
        <v>1803</v>
      </c>
      <c r="R105" s="3570"/>
      <c r="S105" s="3571"/>
    </row>
    <row r="106" spans="2:19" s="293" customFormat="1" ht="11.25" customHeight="1">
      <c r="D106" s="331"/>
      <c r="E106" s="2345" t="s">
        <v>600</v>
      </c>
      <c r="H106" s="3485" t="s">
        <v>2461</v>
      </c>
      <c r="I106" s="3660"/>
      <c r="J106" s="3574"/>
      <c r="K106" s="2362" t="s">
        <v>2624</v>
      </c>
      <c r="L106" s="3485"/>
      <c r="M106" s="3659"/>
      <c r="N106" s="3574"/>
      <c r="O106" s="2348" t="s">
        <v>1679</v>
      </c>
      <c r="Q106" s="3623">
        <v>5738741040</v>
      </c>
      <c r="R106" s="3624"/>
      <c r="S106" s="3625"/>
    </row>
    <row r="107" spans="2:19" s="293" customFormat="1" ht="11.25" customHeight="1">
      <c r="D107" s="331"/>
      <c r="E107" s="2345" t="s">
        <v>1754</v>
      </c>
      <c r="H107" s="3572" t="s">
        <v>1314</v>
      </c>
      <c r="K107" s="1007" t="s">
        <v>2172</v>
      </c>
      <c r="L107" s="3492">
        <v>652034256</v>
      </c>
      <c r="M107" s="3672"/>
      <c r="O107" s="2348" t="s">
        <v>1931</v>
      </c>
      <c r="Q107" s="3623"/>
      <c r="R107" s="3624"/>
      <c r="S107" s="3625"/>
    </row>
    <row r="108" spans="2:19" ht="11.25" customHeight="1">
      <c r="E108" s="2345" t="s">
        <v>3893</v>
      </c>
      <c r="F108" s="293"/>
      <c r="G108" s="293"/>
      <c r="H108" s="3667">
        <v>5738741040</v>
      </c>
      <c r="I108" s="3673"/>
      <c r="J108" s="3674"/>
      <c r="K108" s="2356" t="s">
        <v>1936</v>
      </c>
      <c r="L108" s="3626"/>
      <c r="M108" s="3585"/>
      <c r="N108" s="3473"/>
      <c r="O108" s="3473"/>
      <c r="P108" s="3473"/>
      <c r="Q108" s="3585"/>
      <c r="R108" s="3585"/>
      <c r="S108" s="3586"/>
    </row>
    <row r="109" spans="2:19" ht="6.6" customHeight="1">
      <c r="E109" s="2345"/>
      <c r="F109" s="293"/>
      <c r="G109" s="2353"/>
      <c r="H109" s="3675"/>
      <c r="I109" s="3675"/>
      <c r="J109" s="3675"/>
      <c r="K109" s="2356"/>
      <c r="L109" s="3675"/>
      <c r="M109" s="3675"/>
      <c r="N109" s="2350"/>
      <c r="O109" s="3676"/>
      <c r="P109" s="3676"/>
      <c r="Q109" s="2356"/>
      <c r="R109" s="3676"/>
      <c r="S109" s="3676"/>
    </row>
    <row r="110" spans="2:19" s="293" customFormat="1" ht="11.25" customHeight="1">
      <c r="B110" s="295" t="s">
        <v>1693</v>
      </c>
      <c r="C110" s="295" t="s">
        <v>286</v>
      </c>
      <c r="H110" s="3656" t="s">
        <v>7089</v>
      </c>
      <c r="I110" s="3657"/>
      <c r="J110" s="3657"/>
      <c r="K110" s="3657"/>
      <c r="L110" s="3657"/>
      <c r="M110" s="3657"/>
      <c r="N110" s="3658"/>
      <c r="O110" s="2348" t="s">
        <v>1941</v>
      </c>
      <c r="P110" s="2348"/>
      <c r="Q110" s="3656" t="s">
        <v>7092</v>
      </c>
      <c r="R110" s="3657"/>
      <c r="S110" s="3658"/>
    </row>
    <row r="111" spans="2:19" s="293" customFormat="1" ht="11.25" customHeight="1">
      <c r="D111" s="331"/>
      <c r="E111" s="2345" t="s">
        <v>999</v>
      </c>
      <c r="F111" s="305"/>
      <c r="H111" s="3485" t="s">
        <v>7090</v>
      </c>
      <c r="I111" s="3659"/>
      <c r="J111" s="3659"/>
      <c r="K111" s="3660"/>
      <c r="L111" s="3659"/>
      <c r="M111" s="3659"/>
      <c r="N111" s="3661"/>
      <c r="O111" s="2348" t="s">
        <v>1704</v>
      </c>
      <c r="Q111" s="3506" t="s">
        <v>6991</v>
      </c>
      <c r="R111" s="3570"/>
      <c r="S111" s="3571"/>
    </row>
    <row r="112" spans="2:19" s="293" customFormat="1" ht="11.25" customHeight="1">
      <c r="D112" s="331"/>
      <c r="E112" s="2345" t="s">
        <v>600</v>
      </c>
      <c r="H112" s="3485" t="s">
        <v>7091</v>
      </c>
      <c r="I112" s="3660"/>
      <c r="J112" s="3574"/>
      <c r="K112" s="2362" t="s">
        <v>2624</v>
      </c>
      <c r="L112" s="3485"/>
      <c r="M112" s="3659"/>
      <c r="N112" s="3574"/>
      <c r="O112" s="2348" t="s">
        <v>1679</v>
      </c>
      <c r="Q112" s="3623">
        <v>8164721442</v>
      </c>
      <c r="R112" s="3624"/>
      <c r="S112" s="3625"/>
    </row>
    <row r="113" spans="1:22" s="293" customFormat="1" ht="11.25" customHeight="1">
      <c r="D113" s="335"/>
      <c r="E113" s="2345" t="s">
        <v>1754</v>
      </c>
      <c r="H113" s="3572" t="s">
        <v>1314</v>
      </c>
      <c r="K113" s="1007" t="s">
        <v>2172</v>
      </c>
      <c r="L113" s="3492">
        <v>641081404</v>
      </c>
      <c r="M113" s="3672"/>
      <c r="O113" s="2348" t="s">
        <v>1931</v>
      </c>
      <c r="Q113" s="3623"/>
      <c r="R113" s="3624"/>
      <c r="S113" s="3625"/>
    </row>
    <row r="114" spans="1:22" s="293" customFormat="1" ht="11.25" customHeight="1">
      <c r="D114" s="335"/>
      <c r="E114" s="2345" t="s">
        <v>3893</v>
      </c>
      <c r="H114" s="3667">
        <v>8164721448</v>
      </c>
      <c r="I114" s="3673"/>
      <c r="J114" s="3674"/>
      <c r="K114" s="2356" t="s">
        <v>1936</v>
      </c>
      <c r="L114" s="3626" t="s">
        <v>7093</v>
      </c>
      <c r="M114" s="3585"/>
      <c r="N114" s="3473"/>
      <c r="O114" s="3473"/>
      <c r="P114" s="3473"/>
      <c r="Q114" s="3585"/>
      <c r="R114" s="3585"/>
      <c r="S114" s="3586"/>
    </row>
    <row r="115" spans="1:22" ht="3" customHeight="1"/>
    <row r="116" spans="1:22" s="293" customFormat="1" ht="12" customHeight="1">
      <c r="A116" s="295" t="s">
        <v>1748</v>
      </c>
      <c r="B116" s="295" t="s">
        <v>2535</v>
      </c>
      <c r="F116" s="295"/>
      <c r="G116" s="2356"/>
      <c r="H116" s="2356"/>
      <c r="I116" s="2356"/>
      <c r="J116" s="2356"/>
      <c r="K116" s="2356"/>
      <c r="L116" s="2356"/>
      <c r="M116" s="2356"/>
      <c r="N116" s="2356"/>
      <c r="O116" s="2356"/>
      <c r="P116" s="2356"/>
      <c r="Q116" s="2362"/>
    </row>
    <row r="117" spans="1:22" s="293" customFormat="1" ht="11.25" customHeight="1">
      <c r="B117" s="295" t="s">
        <v>1935</v>
      </c>
      <c r="C117" s="295" t="s">
        <v>3439</v>
      </c>
      <c r="H117" s="3656" t="s">
        <v>7094</v>
      </c>
      <c r="I117" s="3679"/>
      <c r="J117" s="3680"/>
      <c r="K117" s="2356" t="s">
        <v>2409</v>
      </c>
      <c r="L117" s="3656" t="s">
        <v>7096</v>
      </c>
      <c r="M117" s="3657"/>
      <c r="N117" s="3658"/>
      <c r="O117" s="2345" t="s">
        <v>3440</v>
      </c>
      <c r="Q117" s="3681"/>
      <c r="R117" s="3682"/>
      <c r="S117" s="3683"/>
    </row>
    <row r="118" spans="1:22" s="293" customFormat="1" ht="11.25" customHeight="1">
      <c r="D118" s="331"/>
      <c r="E118" s="2345" t="s">
        <v>999</v>
      </c>
      <c r="F118" s="305"/>
      <c r="H118" s="3577" t="s">
        <v>7097</v>
      </c>
      <c r="I118" s="3684"/>
      <c r="J118" s="3685"/>
      <c r="K118" s="3578"/>
      <c r="L118" s="3684"/>
      <c r="M118" s="3684"/>
      <c r="N118" s="3686"/>
      <c r="O118" s="2345" t="s">
        <v>600</v>
      </c>
      <c r="Q118" s="3687" t="s">
        <v>157</v>
      </c>
      <c r="R118" s="3581"/>
      <c r="S118" s="3582"/>
    </row>
    <row r="119" spans="1:22" s="293" customFormat="1" ht="11.25" customHeight="1">
      <c r="D119" s="331"/>
      <c r="E119" s="2345" t="s">
        <v>1754</v>
      </c>
      <c r="H119" s="3688" t="s">
        <v>828</v>
      </c>
      <c r="I119" s="1007" t="s">
        <v>2172</v>
      </c>
      <c r="J119" s="3573">
        <v>319060000</v>
      </c>
      <c r="K119" s="3574"/>
      <c r="L119" s="2356" t="s">
        <v>1936</v>
      </c>
      <c r="M119" s="3472"/>
      <c r="N119" s="3473"/>
      <c r="O119" s="3473"/>
      <c r="P119" s="3473"/>
      <c r="Q119" s="3585"/>
      <c r="R119" s="3585"/>
      <c r="S119" s="3586"/>
    </row>
    <row r="120" spans="1:22" ht="12" customHeight="1">
      <c r="B120" s="295" t="s">
        <v>1937</v>
      </c>
      <c r="C120" s="295" t="s">
        <v>4432</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689" t="s">
        <v>2443</v>
      </c>
      <c r="G121" s="3690" t="s">
        <v>3356</v>
      </c>
      <c r="H121" s="3691"/>
      <c r="I121" s="3691"/>
      <c r="J121" s="3691"/>
      <c r="K121" s="3691"/>
      <c r="L121" s="3691"/>
      <c r="M121" s="3691"/>
      <c r="N121" s="3691"/>
      <c r="O121" s="3691"/>
      <c r="P121" s="3691"/>
      <c r="Q121" s="3691"/>
      <c r="R121" s="3691"/>
      <c r="S121" s="3692"/>
    </row>
    <row r="122" spans="1:22" s="293" customFormat="1" ht="25.5" customHeight="1" thickBot="1">
      <c r="B122" s="487"/>
      <c r="C122" s="1042" t="s">
        <v>1938</v>
      </c>
      <c r="D122" s="2442" t="s">
        <v>2736</v>
      </c>
      <c r="E122" s="2442"/>
      <c r="F122" s="3693" t="s">
        <v>2887</v>
      </c>
      <c r="G122" s="2872"/>
      <c r="H122" s="3694"/>
      <c r="I122" s="3694"/>
      <c r="J122" s="3694"/>
      <c r="K122" s="3694"/>
      <c r="L122" s="3694"/>
      <c r="M122" s="3694"/>
      <c r="N122" s="3694"/>
      <c r="O122" s="3694"/>
      <c r="P122" s="3694"/>
      <c r="Q122" s="3694"/>
      <c r="R122" s="3694"/>
      <c r="S122" s="3695"/>
      <c r="U122" s="2433" t="s">
        <v>1983</v>
      </c>
      <c r="V122" s="2433"/>
    </row>
    <row r="123" spans="1:22" s="293" customFormat="1" ht="25.5" customHeight="1" thickBot="1">
      <c r="B123" s="487"/>
      <c r="C123" s="580" t="s">
        <v>1940</v>
      </c>
      <c r="D123" s="2420" t="s">
        <v>2797</v>
      </c>
      <c r="E123" s="2423"/>
      <c r="F123" s="3693" t="s">
        <v>2887</v>
      </c>
      <c r="G123" s="2738"/>
      <c r="H123" s="2738"/>
      <c r="I123" s="2738"/>
      <c r="J123" s="2738"/>
      <c r="K123" s="2738"/>
      <c r="L123" s="2738"/>
      <c r="M123" s="2738"/>
      <c r="N123" s="2738"/>
      <c r="O123" s="2738"/>
      <c r="P123" s="2738"/>
      <c r="Q123" s="2738"/>
      <c r="R123" s="2738"/>
      <c r="S123" s="2739"/>
      <c r="U123" s="2433"/>
      <c r="V123" s="2433"/>
    </row>
    <row r="124" spans="1:22" s="293" customFormat="1" ht="25.5" customHeight="1" thickBot="1">
      <c r="B124" s="487"/>
      <c r="C124" s="580" t="s">
        <v>2467</v>
      </c>
      <c r="D124" s="2420" t="s">
        <v>2776</v>
      </c>
      <c r="E124" s="2423"/>
      <c r="F124" s="3693" t="s">
        <v>2887</v>
      </c>
      <c r="G124" s="2738"/>
      <c r="H124" s="2738"/>
      <c r="I124" s="2738"/>
      <c r="J124" s="2738"/>
      <c r="K124" s="2738"/>
      <c r="L124" s="2738"/>
      <c r="M124" s="2738"/>
      <c r="N124" s="2738"/>
      <c r="O124" s="2738"/>
      <c r="P124" s="2738"/>
      <c r="Q124" s="2738"/>
      <c r="R124" s="2738"/>
      <c r="S124" s="2739"/>
      <c r="U124" s="2433"/>
      <c r="V124" s="2433"/>
    </row>
    <row r="125" spans="1:22" s="293" customFormat="1" ht="25.5" customHeight="1" thickBot="1">
      <c r="B125" s="487"/>
      <c r="C125" s="580" t="s">
        <v>1198</v>
      </c>
      <c r="D125" s="2420" t="s">
        <v>2737</v>
      </c>
      <c r="E125" s="2423"/>
      <c r="F125" s="3693" t="s">
        <v>2887</v>
      </c>
      <c r="G125" s="2738"/>
      <c r="H125" s="2738"/>
      <c r="I125" s="2738"/>
      <c r="J125" s="2738"/>
      <c r="K125" s="2738"/>
      <c r="L125" s="2738"/>
      <c r="M125" s="2738"/>
      <c r="N125" s="2738"/>
      <c r="O125" s="2738"/>
      <c r="P125" s="2738"/>
      <c r="Q125" s="2738"/>
      <c r="R125" s="2738"/>
      <c r="S125" s="2739"/>
      <c r="U125" s="2433"/>
      <c r="V125" s="2433"/>
    </row>
    <row r="126" spans="1:22" s="293" customFormat="1" ht="25.5" customHeight="1" thickBot="1">
      <c r="B126" s="487"/>
      <c r="C126" s="580" t="s">
        <v>1199</v>
      </c>
      <c r="D126" s="2420" t="s">
        <v>3347</v>
      </c>
      <c r="E126" s="2423"/>
      <c r="F126" s="3693" t="s">
        <v>2887</v>
      </c>
      <c r="G126" s="2738"/>
      <c r="H126" s="2738"/>
      <c r="I126" s="2738"/>
      <c r="J126" s="2738"/>
      <c r="K126" s="2738"/>
      <c r="L126" s="2738"/>
      <c r="M126" s="2738"/>
      <c r="N126" s="2738"/>
      <c r="O126" s="2738"/>
      <c r="P126" s="2738"/>
      <c r="Q126" s="2738"/>
      <c r="R126" s="2738"/>
      <c r="S126" s="2739"/>
      <c r="U126" s="2433"/>
      <c r="V126" s="2433"/>
    </row>
    <row r="127" spans="1:22" s="293" customFormat="1" ht="25.5" customHeight="1" thickBot="1">
      <c r="B127" s="487"/>
      <c r="C127" s="580" t="s">
        <v>1833</v>
      </c>
      <c r="D127" s="2420" t="s">
        <v>3348</v>
      </c>
      <c r="E127" s="2423"/>
      <c r="F127" s="3693" t="s">
        <v>2884</v>
      </c>
      <c r="G127" s="2738" t="s">
        <v>7030</v>
      </c>
      <c r="H127" s="2738"/>
      <c r="I127" s="2738"/>
      <c r="J127" s="2738"/>
      <c r="K127" s="2738"/>
      <c r="L127" s="2738"/>
      <c r="M127" s="2738"/>
      <c r="N127" s="2738"/>
      <c r="O127" s="2738"/>
      <c r="P127" s="2738"/>
      <c r="Q127" s="2738"/>
      <c r="R127" s="2738"/>
      <c r="S127" s="2739"/>
      <c r="U127" s="2433"/>
      <c r="V127" s="2433"/>
    </row>
    <row r="128" spans="1:22" s="293" customFormat="1" ht="25.5" customHeight="1" thickBot="1">
      <c r="B128" s="487"/>
      <c r="C128" s="580" t="s">
        <v>492</v>
      </c>
      <c r="D128" s="2420" t="s">
        <v>2738</v>
      </c>
      <c r="E128" s="2423"/>
      <c r="F128" s="3693" t="s">
        <v>2887</v>
      </c>
      <c r="G128" s="2738"/>
      <c r="H128" s="2738"/>
      <c r="I128" s="2738"/>
      <c r="J128" s="2738"/>
      <c r="K128" s="2738"/>
      <c r="L128" s="2738"/>
      <c r="M128" s="2738"/>
      <c r="N128" s="2738"/>
      <c r="O128" s="2738"/>
      <c r="P128" s="2738"/>
      <c r="Q128" s="2738"/>
      <c r="R128" s="2738"/>
      <c r="S128" s="2739"/>
    </row>
    <row r="129" spans="1:22" s="293" customFormat="1" ht="25.5" customHeight="1" thickBot="1">
      <c r="B129" s="487"/>
      <c r="C129" s="580" t="s">
        <v>493</v>
      </c>
      <c r="D129" s="2420" t="s">
        <v>4446</v>
      </c>
      <c r="E129" s="2423"/>
      <c r="F129" s="3693" t="s">
        <v>2887</v>
      </c>
      <c r="G129" s="2738"/>
      <c r="H129" s="2738"/>
      <c r="I129" s="2738"/>
      <c r="J129" s="2738"/>
      <c r="K129" s="2738"/>
      <c r="L129" s="2738"/>
      <c r="M129" s="2738"/>
      <c r="N129" s="2738"/>
      <c r="O129" s="2738"/>
      <c r="P129" s="2738"/>
      <c r="Q129" s="2738"/>
      <c r="R129" s="2738"/>
      <c r="S129" s="2739"/>
    </row>
    <row r="130" spans="1:22" s="293" customFormat="1" ht="25.5" customHeight="1" thickBot="1">
      <c r="B130" s="487"/>
      <c r="C130" s="580" t="s">
        <v>4445</v>
      </c>
      <c r="D130" s="3696" t="s">
        <v>7032</v>
      </c>
      <c r="E130" s="3697"/>
      <c r="F130" s="3693" t="s">
        <v>2884</v>
      </c>
      <c r="G130" s="2735" t="s">
        <v>7031</v>
      </c>
      <c r="H130" s="2735"/>
      <c r="I130" s="2735"/>
      <c r="J130" s="2735"/>
      <c r="K130" s="2735"/>
      <c r="L130" s="2735"/>
      <c r="M130" s="2735"/>
      <c r="N130" s="2735"/>
      <c r="O130" s="2735"/>
      <c r="P130" s="2735"/>
      <c r="Q130" s="2735"/>
      <c r="R130" s="2735"/>
      <c r="S130" s="2736"/>
    </row>
    <row r="131" spans="1:22" s="293" customFormat="1" ht="13.35" customHeight="1">
      <c r="A131" s="295" t="s">
        <v>1748</v>
      </c>
      <c r="B131" s="295" t="s">
        <v>2745</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4433</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3537</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8" t="s">
        <v>2802</v>
      </c>
      <c r="O138" s="2408"/>
      <c r="P138" s="2408"/>
      <c r="Q138" s="2408"/>
      <c r="R138" s="2408"/>
      <c r="S138" s="2477"/>
    </row>
    <row r="139" spans="1:22" s="293" customFormat="1" ht="24" customHeight="1">
      <c r="A139" s="2443" t="s">
        <v>3327</v>
      </c>
      <c r="B139" s="2444"/>
      <c r="C139" s="2444"/>
      <c r="D139" s="2445"/>
      <c r="E139" s="3698"/>
      <c r="F139" s="3694"/>
      <c r="G139" s="3694"/>
      <c r="H139" s="3694"/>
      <c r="I139" s="3699" t="s">
        <v>2887</v>
      </c>
      <c r="J139" s="3700" t="s">
        <v>2887</v>
      </c>
      <c r="K139" s="3701" t="s">
        <v>7001</v>
      </c>
      <c r="L139" s="3702">
        <v>1E-4</v>
      </c>
      <c r="M139" s="3703" t="s">
        <v>2887</v>
      </c>
      <c r="N139" s="3704"/>
      <c r="O139" s="3694"/>
      <c r="P139" s="3694"/>
      <c r="Q139" s="3694"/>
      <c r="R139" s="3694"/>
      <c r="S139" s="3695"/>
    </row>
    <row r="140" spans="1:22" s="293" customFormat="1" ht="24" customHeight="1">
      <c r="A140" s="2446" t="s">
        <v>3328</v>
      </c>
      <c r="B140" s="2447"/>
      <c r="C140" s="2447"/>
      <c r="D140" s="2448"/>
      <c r="E140" s="2737"/>
      <c r="F140" s="2738"/>
      <c r="G140" s="2738"/>
      <c r="H140" s="2738"/>
      <c r="I140" s="3705" t="s">
        <v>4377</v>
      </c>
      <c r="J140" s="3706" t="s">
        <v>4377</v>
      </c>
      <c r="K140" s="3707"/>
      <c r="L140" s="3708"/>
      <c r="M140" s="3709" t="s">
        <v>4377</v>
      </c>
      <c r="N140" s="3710"/>
      <c r="O140" s="2738"/>
      <c r="P140" s="2738"/>
      <c r="Q140" s="2738"/>
      <c r="R140" s="2738"/>
      <c r="S140" s="2739"/>
      <c r="U140" s="2433" t="s">
        <v>1983</v>
      </c>
      <c r="V140" s="2433"/>
    </row>
    <row r="141" spans="1:22" s="293" customFormat="1" ht="24" customHeight="1">
      <c r="A141" s="2446" t="s">
        <v>3329</v>
      </c>
      <c r="B141" s="2447"/>
      <c r="C141" s="2447"/>
      <c r="D141" s="2448"/>
      <c r="E141" s="2737"/>
      <c r="F141" s="2738"/>
      <c r="G141" s="2738"/>
      <c r="H141" s="2738"/>
      <c r="I141" s="3705" t="s">
        <v>4377</v>
      </c>
      <c r="J141" s="3706" t="s">
        <v>4377</v>
      </c>
      <c r="K141" s="3707"/>
      <c r="L141" s="3708"/>
      <c r="M141" s="3709" t="s">
        <v>4377</v>
      </c>
      <c r="N141" s="3710"/>
      <c r="O141" s="2738"/>
      <c r="P141" s="2738"/>
      <c r="Q141" s="2738"/>
      <c r="R141" s="2738"/>
      <c r="S141" s="2739"/>
      <c r="U141" s="2433"/>
      <c r="V141" s="2433"/>
    </row>
    <row r="142" spans="1:22" s="293" customFormat="1" ht="24" customHeight="1">
      <c r="A142" s="2446" t="s">
        <v>3330</v>
      </c>
      <c r="B142" s="2447"/>
      <c r="C142" s="2447"/>
      <c r="D142" s="2448"/>
      <c r="E142" s="2737"/>
      <c r="F142" s="2738"/>
      <c r="G142" s="2738"/>
      <c r="H142" s="2738"/>
      <c r="I142" s="3705" t="s">
        <v>2887</v>
      </c>
      <c r="J142" s="3706" t="s">
        <v>2887</v>
      </c>
      <c r="K142" s="3707" t="s">
        <v>7001</v>
      </c>
      <c r="L142" s="3708">
        <v>0.9899</v>
      </c>
      <c r="M142" s="3709" t="s">
        <v>2887</v>
      </c>
      <c r="N142" s="3710"/>
      <c r="O142" s="2738"/>
      <c r="P142" s="2738"/>
      <c r="Q142" s="2738"/>
      <c r="R142" s="2738"/>
      <c r="S142" s="2739"/>
      <c r="U142" s="2433"/>
      <c r="V142" s="2433"/>
    </row>
    <row r="143" spans="1:22" s="293" customFormat="1" ht="24" customHeight="1">
      <c r="A143" s="2446" t="s">
        <v>3331</v>
      </c>
      <c r="B143" s="2447"/>
      <c r="C143" s="2447"/>
      <c r="D143" s="2448"/>
      <c r="E143" s="2737"/>
      <c r="F143" s="2738"/>
      <c r="G143" s="2738"/>
      <c r="H143" s="2738"/>
      <c r="I143" s="3705" t="s">
        <v>2887</v>
      </c>
      <c r="J143" s="3706" t="s">
        <v>2887</v>
      </c>
      <c r="K143" s="3707" t="s">
        <v>7001</v>
      </c>
      <c r="L143" s="3708">
        <v>0.01</v>
      </c>
      <c r="M143" s="3709" t="s">
        <v>2887</v>
      </c>
      <c r="N143" s="3710"/>
      <c r="O143" s="2738"/>
      <c r="P143" s="2738"/>
      <c r="Q143" s="2738"/>
      <c r="R143" s="2738"/>
      <c r="S143" s="2739"/>
      <c r="U143" s="2433"/>
      <c r="V143" s="2433"/>
    </row>
    <row r="144" spans="1:22" s="293" customFormat="1" ht="24" customHeight="1">
      <c r="A144" s="2446" t="s">
        <v>2791</v>
      </c>
      <c r="B144" s="2447"/>
      <c r="C144" s="2447"/>
      <c r="D144" s="2448"/>
      <c r="E144" s="2737"/>
      <c r="F144" s="2738"/>
      <c r="G144" s="2738"/>
      <c r="H144" s="2738"/>
      <c r="I144" s="3705" t="s">
        <v>4377</v>
      </c>
      <c r="J144" s="3706" t="s">
        <v>4377</v>
      </c>
      <c r="K144" s="3707"/>
      <c r="L144" s="3708"/>
      <c r="M144" s="3709" t="s">
        <v>4377</v>
      </c>
      <c r="N144" s="3710"/>
      <c r="O144" s="2738"/>
      <c r="P144" s="2738"/>
      <c r="Q144" s="2738"/>
      <c r="R144" s="2738"/>
      <c r="S144" s="2739"/>
      <c r="U144" s="2433"/>
      <c r="V144" s="2433"/>
    </row>
    <row r="145" spans="1:24" s="293" customFormat="1" ht="24" customHeight="1">
      <c r="A145" s="2446" t="s">
        <v>635</v>
      </c>
      <c r="B145" s="2447"/>
      <c r="C145" s="2447"/>
      <c r="D145" s="2448"/>
      <c r="E145" s="2737"/>
      <c r="F145" s="2738"/>
      <c r="G145" s="2738"/>
      <c r="H145" s="2738"/>
      <c r="I145" s="3705" t="s">
        <v>2887</v>
      </c>
      <c r="J145" s="3706" t="s">
        <v>2887</v>
      </c>
      <c r="K145" s="3707" t="s">
        <v>7001</v>
      </c>
      <c r="L145" s="3708"/>
      <c r="M145" s="3709" t="s">
        <v>2887</v>
      </c>
      <c r="N145" s="3710"/>
      <c r="O145" s="2738"/>
      <c r="P145" s="2738"/>
      <c r="Q145" s="2738"/>
      <c r="R145" s="2738"/>
      <c r="S145" s="2739"/>
      <c r="U145" s="2433"/>
      <c r="V145" s="2433"/>
    </row>
    <row r="146" spans="1:24" s="293" customFormat="1" ht="24" customHeight="1">
      <c r="A146" s="2446" t="s">
        <v>2792</v>
      </c>
      <c r="B146" s="2447"/>
      <c r="C146" s="2447"/>
      <c r="D146" s="2448"/>
      <c r="E146" s="2737"/>
      <c r="F146" s="2738"/>
      <c r="G146" s="2738"/>
      <c r="H146" s="2738"/>
      <c r="I146" s="3705" t="s">
        <v>4377</v>
      </c>
      <c r="J146" s="3706" t="s">
        <v>4377</v>
      </c>
      <c r="K146" s="3707"/>
      <c r="L146" s="3708"/>
      <c r="M146" s="3709" t="s">
        <v>4377</v>
      </c>
      <c r="N146" s="3710"/>
      <c r="O146" s="2738"/>
      <c r="P146" s="2738"/>
      <c r="Q146" s="2738"/>
      <c r="R146" s="2738"/>
      <c r="S146" s="2739"/>
    </row>
    <row r="147" spans="1:24" s="293" customFormat="1" ht="24" customHeight="1">
      <c r="A147" s="2446" t="s">
        <v>2793</v>
      </c>
      <c r="B147" s="2447"/>
      <c r="C147" s="2447"/>
      <c r="D147" s="2448"/>
      <c r="E147" s="2737"/>
      <c r="F147" s="2738"/>
      <c r="G147" s="2738"/>
      <c r="H147" s="2738"/>
      <c r="I147" s="3705" t="s">
        <v>4377</v>
      </c>
      <c r="J147" s="3706" t="s">
        <v>4377</v>
      </c>
      <c r="K147" s="3707"/>
      <c r="L147" s="3708"/>
      <c r="M147" s="3709" t="s">
        <v>4377</v>
      </c>
      <c r="N147" s="3710"/>
      <c r="O147" s="2738"/>
      <c r="P147" s="2738"/>
      <c r="Q147" s="2738"/>
      <c r="R147" s="2738"/>
      <c r="S147" s="2739"/>
    </row>
    <row r="148" spans="1:24" s="293" customFormat="1" ht="24" customHeight="1">
      <c r="A148" s="2446" t="s">
        <v>2795</v>
      </c>
      <c r="B148" s="2447"/>
      <c r="C148" s="2447"/>
      <c r="D148" s="2448"/>
      <c r="E148" s="2737"/>
      <c r="F148" s="2738"/>
      <c r="G148" s="2738"/>
      <c r="H148" s="2738"/>
      <c r="I148" s="3705" t="s">
        <v>4377</v>
      </c>
      <c r="J148" s="3706" t="s">
        <v>4377</v>
      </c>
      <c r="K148" s="3707"/>
      <c r="L148" s="3708"/>
      <c r="M148" s="3709" t="s">
        <v>4377</v>
      </c>
      <c r="N148" s="3710"/>
      <c r="O148" s="2738"/>
      <c r="P148" s="2738"/>
      <c r="Q148" s="2738"/>
      <c r="R148" s="2738"/>
      <c r="S148" s="2739"/>
    </row>
    <row r="149" spans="1:24" s="293" customFormat="1" ht="24" customHeight="1">
      <c r="A149" s="2446" t="s">
        <v>2794</v>
      </c>
      <c r="B149" s="2447"/>
      <c r="C149" s="2447"/>
      <c r="D149" s="2448"/>
      <c r="E149" s="2737"/>
      <c r="F149" s="2738"/>
      <c r="G149" s="2738"/>
      <c r="H149" s="2738"/>
      <c r="I149" s="3705" t="s">
        <v>4377</v>
      </c>
      <c r="J149" s="3706" t="s">
        <v>4377</v>
      </c>
      <c r="K149" s="3707"/>
      <c r="L149" s="3708"/>
      <c r="M149" s="3709" t="s">
        <v>4377</v>
      </c>
      <c r="N149" s="3710"/>
      <c r="O149" s="2738"/>
      <c r="P149" s="2738"/>
      <c r="Q149" s="2738"/>
      <c r="R149" s="2738"/>
      <c r="S149" s="2739"/>
    </row>
    <row r="150" spans="1:24" s="293" customFormat="1" ht="24" customHeight="1">
      <c r="A150" s="2446" t="s">
        <v>1497</v>
      </c>
      <c r="B150" s="2447"/>
      <c r="C150" s="2447"/>
      <c r="D150" s="2448"/>
      <c r="E150" s="2737"/>
      <c r="F150" s="2738"/>
      <c r="G150" s="2738"/>
      <c r="H150" s="2738"/>
      <c r="I150" s="3705" t="s">
        <v>2887</v>
      </c>
      <c r="J150" s="3706" t="s">
        <v>2887</v>
      </c>
      <c r="K150" s="3707" t="s">
        <v>7001</v>
      </c>
      <c r="L150" s="3708"/>
      <c r="M150" s="3709" t="s">
        <v>2887</v>
      </c>
      <c r="N150" s="3710"/>
      <c r="O150" s="2738"/>
      <c r="P150" s="2738"/>
      <c r="Q150" s="2738"/>
      <c r="R150" s="2738"/>
      <c r="S150" s="2739"/>
    </row>
    <row r="151" spans="1:24" s="293" customFormat="1" ht="24" customHeight="1">
      <c r="A151" s="2478" t="s">
        <v>2796</v>
      </c>
      <c r="B151" s="2479"/>
      <c r="C151" s="2479"/>
      <c r="D151" s="2480"/>
      <c r="E151" s="2734"/>
      <c r="F151" s="2735"/>
      <c r="G151" s="2735"/>
      <c r="H151" s="2735"/>
      <c r="I151" s="3711" t="s">
        <v>2887</v>
      </c>
      <c r="J151" s="3712" t="s">
        <v>2887</v>
      </c>
      <c r="K151" s="3713" t="s">
        <v>7001</v>
      </c>
      <c r="L151" s="3714"/>
      <c r="M151" s="3715" t="s">
        <v>2887</v>
      </c>
      <c r="N151" s="3716"/>
      <c r="O151" s="2735"/>
      <c r="P151" s="2735"/>
      <c r="Q151" s="2735"/>
      <c r="R151" s="2735"/>
      <c r="S151" s="2736"/>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3717"/>
      <c r="B154" s="3718"/>
      <c r="C154" s="3718"/>
      <c r="D154" s="3718"/>
      <c r="E154" s="3718"/>
      <c r="F154" s="3718"/>
      <c r="G154" s="3718"/>
      <c r="H154" s="3718"/>
      <c r="I154" s="3718"/>
      <c r="J154" s="3718"/>
      <c r="K154" s="3718"/>
      <c r="L154" s="3718"/>
      <c r="M154" s="3719"/>
      <c r="N154" s="3720"/>
      <c r="O154" s="3721"/>
      <c r="P154" s="3721"/>
      <c r="Q154" s="3721"/>
      <c r="R154" s="3721"/>
      <c r="S154" s="3722"/>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3"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4" t="s">
        <v>818</v>
      </c>
    </row>
    <row r="161" spans="1:16" s="293" customFormat="1" ht="12" customHeight="1">
      <c r="A161" s="331"/>
      <c r="B161" s="311"/>
      <c r="C161" s="311"/>
      <c r="D161" s="311"/>
      <c r="E161" s="311"/>
      <c r="F161" s="311"/>
      <c r="G161" s="311"/>
      <c r="H161" s="311"/>
      <c r="I161" s="311"/>
      <c r="J161" s="311"/>
      <c r="K161" s="311"/>
      <c r="L161" s="311"/>
      <c r="M161" s="311"/>
      <c r="N161" s="311"/>
      <c r="O161" s="311"/>
      <c r="P161" s="3724" t="s">
        <v>819</v>
      </c>
    </row>
    <row r="162" spans="1:16" s="293" customFormat="1" ht="12" customHeight="1">
      <c r="A162" s="331"/>
      <c r="B162" s="311"/>
      <c r="C162" s="311"/>
      <c r="D162" s="311"/>
      <c r="E162" s="311"/>
      <c r="F162" s="311"/>
      <c r="G162" s="311"/>
      <c r="H162" s="311"/>
      <c r="I162" s="311"/>
      <c r="J162" s="311"/>
      <c r="K162" s="311"/>
      <c r="L162" s="311"/>
      <c r="M162" s="311"/>
      <c r="N162" s="311"/>
      <c r="O162" s="311"/>
      <c r="P162" s="3724" t="s">
        <v>820</v>
      </c>
    </row>
    <row r="163" spans="1:16" s="293" customFormat="1" ht="12" customHeight="1">
      <c r="A163" s="471"/>
      <c r="B163" s="311"/>
      <c r="C163" s="311"/>
      <c r="D163" s="311"/>
      <c r="E163" s="311"/>
      <c r="F163" s="311"/>
      <c r="G163" s="311"/>
      <c r="H163" s="311"/>
      <c r="I163" s="311"/>
      <c r="J163" s="311"/>
      <c r="K163" s="311"/>
      <c r="L163" s="311"/>
      <c r="M163" s="311"/>
      <c r="N163" s="311"/>
      <c r="O163" s="311"/>
      <c r="P163" s="3724" t="s">
        <v>821</v>
      </c>
    </row>
    <row r="164" spans="1:16" s="293" customFormat="1" ht="12" customHeight="1">
      <c r="B164" s="311"/>
      <c r="C164" s="311"/>
      <c r="D164" s="311"/>
      <c r="E164" s="311"/>
      <c r="F164" s="311"/>
      <c r="G164" s="311"/>
      <c r="H164" s="311"/>
      <c r="I164" s="311"/>
      <c r="J164" s="311"/>
      <c r="K164" s="311"/>
      <c r="L164" s="311"/>
      <c r="M164" s="311"/>
      <c r="N164" s="311"/>
      <c r="O164" s="311"/>
      <c r="P164" s="3724" t="s">
        <v>822</v>
      </c>
    </row>
    <row r="165" spans="1:16" s="293" customFormat="1" ht="12" customHeight="1">
      <c r="B165" s="311"/>
      <c r="C165" s="311"/>
      <c r="D165" s="311"/>
      <c r="E165" s="311"/>
      <c r="F165" s="311"/>
      <c r="G165" s="311"/>
      <c r="H165" s="311"/>
      <c r="I165" s="311"/>
      <c r="J165" s="311"/>
      <c r="K165" s="311"/>
      <c r="L165" s="311"/>
      <c r="M165" s="311"/>
      <c r="N165" s="311"/>
      <c r="O165" s="311"/>
      <c r="P165" s="3724" t="s">
        <v>823</v>
      </c>
    </row>
    <row r="166" spans="1:16" s="293" customFormat="1" ht="12" customHeight="1">
      <c r="B166" s="311"/>
      <c r="C166" s="311"/>
      <c r="D166" s="311"/>
      <c r="E166" s="311"/>
      <c r="F166" s="311"/>
      <c r="G166" s="311"/>
      <c r="H166" s="311"/>
      <c r="I166" s="311"/>
      <c r="J166" s="311"/>
      <c r="K166" s="311"/>
      <c r="L166" s="311"/>
      <c r="M166" s="311"/>
      <c r="N166" s="311"/>
      <c r="O166" s="311"/>
      <c r="P166" s="3724" t="s">
        <v>824</v>
      </c>
    </row>
    <row r="167" spans="1:16" s="293" customFormat="1" ht="12" customHeight="1">
      <c r="B167" s="311"/>
      <c r="C167" s="311"/>
      <c r="D167" s="311"/>
      <c r="E167" s="311"/>
      <c r="F167" s="311"/>
      <c r="G167" s="311"/>
      <c r="H167" s="311"/>
      <c r="I167" s="311"/>
      <c r="J167" s="311"/>
      <c r="K167" s="311"/>
      <c r="L167" s="311"/>
      <c r="M167" s="311"/>
      <c r="N167" s="311"/>
      <c r="O167" s="311"/>
      <c r="P167" s="3724" t="s">
        <v>825</v>
      </c>
    </row>
    <row r="168" spans="1:16" ht="12" customHeight="1">
      <c r="P168" s="3724" t="s">
        <v>826</v>
      </c>
    </row>
    <row r="169" spans="1:16" ht="12" customHeight="1">
      <c r="A169" s="319"/>
      <c r="P169" s="3724" t="s">
        <v>827</v>
      </c>
    </row>
    <row r="170" spans="1:16" ht="12" customHeight="1">
      <c r="P170" s="3724" t="s">
        <v>828</v>
      </c>
    </row>
    <row r="171" spans="1:16" ht="12" customHeight="1">
      <c r="P171" s="3724" t="s">
        <v>829</v>
      </c>
    </row>
    <row r="172" spans="1:16" ht="12" customHeight="1">
      <c r="P172" s="3724" t="s">
        <v>830</v>
      </c>
    </row>
    <row r="173" spans="1:16" ht="12" customHeight="1">
      <c r="P173" s="3724" t="s">
        <v>831</v>
      </c>
    </row>
    <row r="174" spans="1:16" ht="12" customHeight="1">
      <c r="P174" s="3724" t="s">
        <v>832</v>
      </c>
    </row>
    <row r="175" spans="1:16" ht="12" customHeight="1">
      <c r="P175" s="3724" t="s">
        <v>833</v>
      </c>
    </row>
    <row r="176" spans="1:16" ht="12" customHeight="1">
      <c r="P176" s="3724" t="s">
        <v>834</v>
      </c>
    </row>
    <row r="177" spans="16:16" ht="12" customHeight="1">
      <c r="P177" s="3724" t="s">
        <v>835</v>
      </c>
    </row>
    <row r="178" spans="16:16" ht="12" customHeight="1">
      <c r="P178" s="3724" t="s">
        <v>836</v>
      </c>
    </row>
    <row r="179" spans="16:16" ht="12" customHeight="1">
      <c r="P179" s="3724" t="s">
        <v>837</v>
      </c>
    </row>
    <row r="180" spans="16:16" ht="12" customHeight="1">
      <c r="P180" s="3724" t="s">
        <v>838</v>
      </c>
    </row>
    <row r="181" spans="16:16" ht="12" customHeight="1">
      <c r="P181" s="3724" t="s">
        <v>839</v>
      </c>
    </row>
    <row r="182" spans="16:16" ht="12" customHeight="1">
      <c r="P182" s="3724" t="s">
        <v>840</v>
      </c>
    </row>
    <row r="183" spans="16:16" ht="12" customHeight="1">
      <c r="P183" s="3724" t="s">
        <v>841</v>
      </c>
    </row>
    <row r="184" spans="16:16" ht="12" customHeight="1">
      <c r="P184" s="3724" t="s">
        <v>842</v>
      </c>
    </row>
    <row r="185" spans="16:16" ht="12" customHeight="1">
      <c r="P185" s="3724" t="s">
        <v>1314</v>
      </c>
    </row>
    <row r="186" spans="16:16" ht="12" customHeight="1">
      <c r="P186" s="3724" t="s">
        <v>1315</v>
      </c>
    </row>
    <row r="187" spans="16:16" ht="12" customHeight="1">
      <c r="P187" s="3724" t="s">
        <v>1316</v>
      </c>
    </row>
    <row r="188" spans="16:16" ht="12" customHeight="1">
      <c r="P188" s="3724" t="s">
        <v>1317</v>
      </c>
    </row>
    <row r="189" spans="16:16" ht="12" customHeight="1">
      <c r="P189" s="3724" t="s">
        <v>1318</v>
      </c>
    </row>
    <row r="190" spans="16:16">
      <c r="P190" s="3724" t="s">
        <v>1319</v>
      </c>
    </row>
    <row r="191" spans="16:16" ht="12" customHeight="1">
      <c r="P191" s="3724" t="s">
        <v>1320</v>
      </c>
    </row>
    <row r="192" spans="16:16" ht="12" customHeight="1">
      <c r="P192" s="3724" t="s">
        <v>1321</v>
      </c>
    </row>
    <row r="193" spans="16:16" ht="12" customHeight="1">
      <c r="P193" s="3724" t="s">
        <v>1322</v>
      </c>
    </row>
    <row r="194" spans="16:16" ht="12" customHeight="1">
      <c r="P194" s="3724" t="s">
        <v>1323</v>
      </c>
    </row>
    <row r="195" spans="16:16" ht="12" customHeight="1">
      <c r="P195" s="3724" t="s">
        <v>1324</v>
      </c>
    </row>
    <row r="196" spans="16:16" ht="12" customHeight="1">
      <c r="P196" s="3724" t="s">
        <v>1325</v>
      </c>
    </row>
    <row r="197" spans="16:16" ht="12" customHeight="1">
      <c r="P197" s="3724" t="s">
        <v>1326</v>
      </c>
    </row>
    <row r="198" spans="16:16" ht="12" customHeight="1">
      <c r="P198" s="3724" t="s">
        <v>1327</v>
      </c>
    </row>
    <row r="199" spans="16:16" ht="12" customHeight="1">
      <c r="P199" s="3724" t="s">
        <v>1328</v>
      </c>
    </row>
    <row r="200" spans="16:16" ht="12" customHeight="1">
      <c r="P200" s="3724" t="s">
        <v>1329</v>
      </c>
    </row>
    <row r="201" spans="16:16" ht="12" customHeight="1">
      <c r="P201" s="3724" t="s">
        <v>1330</v>
      </c>
    </row>
    <row r="202" spans="16:16" ht="12" customHeight="1">
      <c r="P202" s="3724" t="s">
        <v>1331</v>
      </c>
    </row>
    <row r="203" spans="16:16" ht="12" customHeight="1">
      <c r="P203" s="3724" t="s">
        <v>1332</v>
      </c>
    </row>
    <row r="204" spans="16:16" ht="12" customHeight="1">
      <c r="P204" s="3724" t="s">
        <v>1333</v>
      </c>
    </row>
    <row r="205" spans="16:16" ht="12" customHeight="1">
      <c r="P205" s="3724" t="s">
        <v>1334</v>
      </c>
    </row>
    <row r="206" spans="16:16" ht="12" customHeight="1">
      <c r="P206" s="3724" t="s">
        <v>1335</v>
      </c>
    </row>
    <row r="207" spans="16:16" ht="12" customHeight="1">
      <c r="P207" s="3724" t="s">
        <v>1336</v>
      </c>
    </row>
    <row r="208" spans="16:16" ht="12" customHeight="1">
      <c r="P208" s="3724" t="s">
        <v>1337</v>
      </c>
    </row>
    <row r="209" spans="16:16" ht="12" customHeight="1">
      <c r="P209" s="3724" t="s">
        <v>1338</v>
      </c>
    </row>
    <row r="210" spans="16:16" ht="12" customHeight="1">
      <c r="P210" s="3724" t="s">
        <v>1339</v>
      </c>
    </row>
  </sheetData>
  <sheetProtection algorithmName="SHA-512" hashValue="U5nN7c2ouVGiZzppVMQ1Vz7DdiYrBuBVq10W2GvmiA3IOXHyY3u9CbZzuTZOvUgDTpOZnbOa5P7QG58fO0A8xQ==" saltValue="93cPzKZh3oTMxg5irISgd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activeCell="A16"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2020-067 Boxwood Heights, Columbus, Muscogee County</v>
      </c>
      <c r="B1" s="2435"/>
      <c r="C1" s="2435"/>
      <c r="D1" s="2435"/>
      <c r="E1" s="2435"/>
      <c r="F1" s="2435"/>
      <c r="G1" s="2435"/>
      <c r="H1" s="2435"/>
      <c r="I1" s="2435"/>
      <c r="J1" s="2435"/>
      <c r="K1" s="2435"/>
      <c r="L1" s="2435"/>
      <c r="M1" s="2435"/>
      <c r="N1" s="2435"/>
      <c r="O1" s="2435"/>
      <c r="P1" s="2435"/>
      <c r="Q1" s="2436"/>
      <c r="S1" s="2483" t="str">
        <f>$A$1</f>
        <v>PART THREE - SOURCES OF FUNDS  -  2020-067 Boxwood Heights, Columbus, Muscogee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3"/>
      <c r="E3" s="2353"/>
      <c r="F3" s="2353"/>
      <c r="G3" s="2353"/>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3"/>
      <c r="E4" s="2353"/>
      <c r="F4" s="2353"/>
      <c r="G4" s="2353"/>
      <c r="S4" s="2484" t="s">
        <v>2606</v>
      </c>
      <c r="T4" s="2484"/>
    </row>
    <row r="5" spans="1:20" s="268" customFormat="1" ht="16.5" customHeight="1">
      <c r="A5" s="471"/>
      <c r="B5" s="3627" t="s">
        <v>2884</v>
      </c>
      <c r="C5" s="2348" t="s">
        <v>2347</v>
      </c>
      <c r="D5" s="293"/>
      <c r="E5" s="3627"/>
      <c r="F5" s="2348" t="s">
        <v>3540</v>
      </c>
      <c r="G5" s="293"/>
      <c r="H5" s="3725"/>
      <c r="I5" s="2767"/>
      <c r="L5" s="3627"/>
      <c r="M5" s="2348" t="s">
        <v>1504</v>
      </c>
      <c r="O5" s="3497"/>
      <c r="P5" s="2513" t="s">
        <v>4488</v>
      </c>
      <c r="Q5" s="2513"/>
      <c r="S5" s="3726"/>
      <c r="T5" s="3727"/>
    </row>
    <row r="6" spans="1:20" s="268" customFormat="1" ht="16.5" customHeight="1">
      <c r="A6" s="471"/>
      <c r="B6" s="3510"/>
      <c r="C6" s="2348" t="s">
        <v>4427</v>
      </c>
      <c r="D6" s="293"/>
      <c r="E6" s="3565"/>
      <c r="F6" s="2348" t="s">
        <v>3541</v>
      </c>
      <c r="H6" s="3728"/>
      <c r="I6" s="3729"/>
      <c r="L6" s="3510"/>
      <c r="M6" s="2348" t="s">
        <v>534</v>
      </c>
      <c r="P6" s="2513"/>
      <c r="Q6" s="2513"/>
      <c r="S6" s="3730"/>
      <c r="T6" s="3731"/>
    </row>
    <row r="7" spans="1:20" s="268" customFormat="1" ht="16.5" customHeight="1">
      <c r="A7" s="293"/>
      <c r="B7" s="3510"/>
      <c r="C7" s="2348" t="s">
        <v>535</v>
      </c>
      <c r="F7" s="293" t="s">
        <v>4426</v>
      </c>
      <c r="H7" s="3732" t="s">
        <v>3334</v>
      </c>
      <c r="I7" s="3733"/>
      <c r="J7" s="3734"/>
      <c r="L7" s="3510"/>
      <c r="M7" s="2345" t="s">
        <v>3455</v>
      </c>
      <c r="P7" s="1556"/>
      <c r="Q7" s="1556"/>
      <c r="S7" s="3730"/>
      <c r="T7" s="3731"/>
    </row>
    <row r="8" spans="1:20" s="268" customFormat="1" ht="16.5" customHeight="1">
      <c r="A8" s="471"/>
      <c r="B8" s="3510"/>
      <c r="C8" s="2348" t="s">
        <v>2533</v>
      </c>
      <c r="E8" s="3627"/>
      <c r="F8" s="2345" t="s">
        <v>2541</v>
      </c>
      <c r="L8" s="3510"/>
      <c r="M8" s="2345" t="s">
        <v>4428</v>
      </c>
      <c r="S8" s="3735"/>
      <c r="T8" s="3736"/>
    </row>
    <row r="9" spans="1:20" s="268" customFormat="1" ht="16.5" customHeight="1">
      <c r="A9" s="471"/>
      <c r="B9" s="3510"/>
      <c r="C9" s="2348" t="s">
        <v>2534</v>
      </c>
      <c r="E9" s="3510"/>
      <c r="F9" s="2345" t="s">
        <v>3539</v>
      </c>
      <c r="H9" s="3737" t="s">
        <v>3649</v>
      </c>
      <c r="I9" s="3738"/>
      <c r="J9" s="3734"/>
      <c r="L9" s="3510"/>
      <c r="M9" s="2348" t="s">
        <v>3504</v>
      </c>
      <c r="S9" s="3726"/>
      <c r="T9" s="3727"/>
    </row>
    <row r="10" spans="1:20" s="268" customFormat="1" ht="16.5" customHeight="1">
      <c r="A10" s="471"/>
      <c r="B10" s="3510"/>
      <c r="C10" s="2345" t="s">
        <v>3508</v>
      </c>
      <c r="E10" s="3739"/>
      <c r="F10" s="3740" t="s">
        <v>4220</v>
      </c>
      <c r="G10" s="3592"/>
      <c r="H10" s="3592"/>
      <c r="I10" s="3592"/>
      <c r="J10" s="3607"/>
      <c r="L10" s="3510"/>
      <c r="M10" s="293" t="s">
        <v>2542</v>
      </c>
      <c r="S10" s="3730"/>
      <c r="T10" s="3731"/>
    </row>
    <row r="11" spans="1:20" s="268" customFormat="1" ht="16.5" customHeight="1">
      <c r="A11" s="471"/>
      <c r="B11" s="3510"/>
      <c r="C11" s="293" t="s">
        <v>3660</v>
      </c>
      <c r="F11" s="3741" t="s">
        <v>4222</v>
      </c>
      <c r="G11" s="3742"/>
      <c r="H11" s="3742"/>
      <c r="I11" s="3742"/>
      <c r="J11" s="3743"/>
      <c r="L11" s="3510"/>
      <c r="M11" s="293" t="s">
        <v>3542</v>
      </c>
      <c r="S11" s="3730"/>
      <c r="T11" s="3731"/>
    </row>
    <row r="12" spans="1:20" s="268" customFormat="1" ht="16.5" customHeight="1">
      <c r="A12" s="471"/>
      <c r="B12" s="3510"/>
      <c r="C12" s="293" t="s">
        <v>2540</v>
      </c>
      <c r="E12" s="3744"/>
      <c r="F12" s="3740" t="s">
        <v>4221</v>
      </c>
      <c r="G12" s="3592"/>
      <c r="H12" s="3592"/>
      <c r="I12" s="3592"/>
      <c r="J12" s="3607"/>
      <c r="L12" s="3510"/>
      <c r="M12" s="293" t="s">
        <v>2704</v>
      </c>
      <c r="S12" s="3730"/>
      <c r="T12" s="3731"/>
    </row>
    <row r="13" spans="1:20" s="268" customFormat="1" ht="16.5" customHeight="1">
      <c r="A13" s="471"/>
      <c r="B13" s="3510"/>
      <c r="C13" s="293" t="s">
        <v>3538</v>
      </c>
      <c r="F13" s="3741" t="s">
        <v>4223</v>
      </c>
      <c r="G13" s="3742"/>
      <c r="H13" s="3742"/>
      <c r="I13" s="3742"/>
      <c r="J13" s="3743"/>
      <c r="L13" s="3510"/>
      <c r="M13" s="2345" t="s">
        <v>3659</v>
      </c>
      <c r="S13" s="3735"/>
      <c r="T13" s="3736"/>
    </row>
    <row r="14" spans="1:20" s="268" customFormat="1" ht="16.5" customHeight="1">
      <c r="A14" s="471"/>
      <c r="B14" s="3565"/>
      <c r="C14" s="2348" t="s">
        <v>1757</v>
      </c>
      <c r="E14" s="3497"/>
      <c r="F14" s="2348" t="s">
        <v>4425</v>
      </c>
      <c r="I14" s="3745"/>
      <c r="J14" s="3746"/>
      <c r="L14" s="3565"/>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2285</v>
      </c>
      <c r="C17" s="293"/>
      <c r="D17" s="2353"/>
      <c r="E17" s="293"/>
      <c r="F17" s="293"/>
      <c r="G17" s="293"/>
      <c r="H17" s="268"/>
      <c r="L17" s="293"/>
      <c r="M17" s="2353"/>
      <c r="N17" s="2481"/>
      <c r="O17" s="2481"/>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1823</v>
      </c>
      <c r="C19" s="293"/>
      <c r="D19" s="293"/>
      <c r="E19" s="293"/>
      <c r="F19" s="293"/>
      <c r="G19" s="293"/>
      <c r="H19" s="2482" t="s">
        <v>1271</v>
      </c>
      <c r="I19" s="2482"/>
      <c r="J19" s="2482"/>
      <c r="K19" s="2482"/>
      <c r="L19" s="2409" t="s">
        <v>4388</v>
      </c>
      <c r="M19" s="2409"/>
      <c r="N19" s="2409" t="s">
        <v>1475</v>
      </c>
      <c r="O19" s="2409"/>
      <c r="P19" s="2409" t="s">
        <v>1597</v>
      </c>
      <c r="Q19" s="2409"/>
      <c r="S19" s="2484" t="s">
        <v>2606</v>
      </c>
      <c r="T19" s="2484"/>
    </row>
    <row r="20" spans="1:20" s="268" customFormat="1" ht="15.75" customHeight="1">
      <c r="A20" s="293"/>
      <c r="B20" s="2488" t="s">
        <v>1558</v>
      </c>
      <c r="C20" s="2489"/>
      <c r="D20" s="2489"/>
      <c r="E20" s="2359"/>
      <c r="F20" s="2359"/>
      <c r="G20" s="2359"/>
      <c r="H20" s="3747" t="s">
        <v>7033</v>
      </c>
      <c r="I20" s="3748"/>
      <c r="J20" s="3748"/>
      <c r="K20" s="3749"/>
      <c r="L20" s="3750">
        <v>6714167</v>
      </c>
      <c r="M20" s="3751"/>
      <c r="N20" s="3752">
        <v>5.5E-2</v>
      </c>
      <c r="O20" s="3753"/>
      <c r="P20" s="3754">
        <v>18</v>
      </c>
      <c r="Q20" s="3755"/>
      <c r="S20" s="3726"/>
      <c r="T20" s="3727"/>
    </row>
    <row r="21" spans="1:20" s="268" customFormat="1" ht="15.75" customHeight="1">
      <c r="A21" s="293"/>
      <c r="B21" s="2490" t="s">
        <v>1559</v>
      </c>
      <c r="C21" s="2491"/>
      <c r="D21" s="2491"/>
      <c r="E21" s="2353"/>
      <c r="F21" s="2353"/>
      <c r="G21" s="2353"/>
      <c r="H21" s="3756"/>
      <c r="I21" s="3757"/>
      <c r="J21" s="3757"/>
      <c r="K21" s="3758"/>
      <c r="L21" s="3759"/>
      <c r="M21" s="3760"/>
      <c r="N21" s="3761"/>
      <c r="O21" s="3762"/>
      <c r="P21" s="3763"/>
      <c r="Q21" s="3764"/>
      <c r="S21" s="3730"/>
      <c r="T21" s="3731"/>
    </row>
    <row r="22" spans="1:20" s="268" customFormat="1" ht="15.75" customHeight="1">
      <c r="A22" s="293"/>
      <c r="B22" s="2495" t="s">
        <v>1560</v>
      </c>
      <c r="C22" s="2496"/>
      <c r="D22" s="2496"/>
      <c r="E22" s="2361"/>
      <c r="F22" s="2361"/>
      <c r="G22" s="2361"/>
      <c r="H22" s="3765"/>
      <c r="I22" s="3766"/>
      <c r="J22" s="3766"/>
      <c r="K22" s="3767"/>
      <c r="L22" s="3768"/>
      <c r="M22" s="3769"/>
      <c r="N22" s="3770"/>
      <c r="O22" s="3771"/>
      <c r="P22" s="3772"/>
      <c r="Q22" s="3773"/>
      <c r="S22" s="3730"/>
      <c r="T22" s="3731"/>
    </row>
    <row r="23" spans="1:20" s="268" customFormat="1" ht="15.75" customHeight="1">
      <c r="A23" s="293"/>
      <c r="B23" s="2488" t="s">
        <v>2158</v>
      </c>
      <c r="C23" s="2489"/>
      <c r="D23" s="2489"/>
      <c r="E23" s="2353"/>
      <c r="F23" s="2353"/>
      <c r="G23" s="2353"/>
      <c r="H23" s="3774"/>
      <c r="I23" s="3775"/>
      <c r="J23" s="3775"/>
      <c r="K23" s="3776"/>
      <c r="L23" s="3777"/>
      <c r="M23" s="3778"/>
      <c r="N23" s="2492"/>
      <c r="O23" s="2493"/>
      <c r="P23" s="2494"/>
      <c r="Q23" s="2494"/>
      <c r="S23" s="3730"/>
      <c r="T23" s="3731"/>
    </row>
    <row r="24" spans="1:20" s="268" customFormat="1" ht="15.75" customHeight="1">
      <c r="A24" s="293"/>
      <c r="B24" s="2490" t="s">
        <v>781</v>
      </c>
      <c r="C24" s="2491"/>
      <c r="D24" s="2491"/>
      <c r="E24" s="2353"/>
      <c r="H24" s="3756"/>
      <c r="I24" s="3757"/>
      <c r="J24" s="3757"/>
      <c r="K24" s="3758"/>
      <c r="L24" s="3759"/>
      <c r="M24" s="3760"/>
      <c r="N24" s="2492"/>
      <c r="O24" s="2493"/>
      <c r="P24" s="2494"/>
      <c r="Q24" s="2494"/>
      <c r="S24" s="3730"/>
      <c r="T24" s="3731"/>
    </row>
    <row r="25" spans="1:20" s="268" customFormat="1" ht="15.75" customHeight="1">
      <c r="A25" s="293"/>
      <c r="B25" s="2490" t="s">
        <v>623</v>
      </c>
      <c r="C25" s="2491"/>
      <c r="D25" s="2491"/>
      <c r="E25" s="2353"/>
      <c r="H25" s="3756"/>
      <c r="I25" s="3757"/>
      <c r="J25" s="3757"/>
      <c r="K25" s="3758"/>
      <c r="L25" s="3759"/>
      <c r="M25" s="3760"/>
      <c r="N25" s="2492"/>
      <c r="O25" s="2493"/>
      <c r="P25" s="2494"/>
      <c r="Q25" s="2494"/>
      <c r="S25" s="3730"/>
      <c r="T25" s="3731"/>
    </row>
    <row r="26" spans="1:20" s="268" customFormat="1" ht="15.75" customHeight="1">
      <c r="A26" s="293"/>
      <c r="B26" s="2490" t="s">
        <v>782</v>
      </c>
      <c r="C26" s="2491"/>
      <c r="D26" s="2491"/>
      <c r="E26" s="2353"/>
      <c r="H26" s="3756" t="s">
        <v>7003</v>
      </c>
      <c r="I26" s="3757"/>
      <c r="J26" s="3757"/>
      <c r="K26" s="3758"/>
      <c r="L26" s="3759">
        <v>1331034</v>
      </c>
      <c r="M26" s="3760"/>
      <c r="N26" s="293"/>
      <c r="Q26" s="293"/>
      <c r="S26" s="3735"/>
      <c r="T26" s="3736"/>
    </row>
    <row r="27" spans="1:20" s="268" customFormat="1" ht="15.75" customHeight="1">
      <c r="A27" s="293"/>
      <c r="B27" s="2490" t="s">
        <v>783</v>
      </c>
      <c r="C27" s="2491"/>
      <c r="D27" s="2491"/>
      <c r="E27" s="2353"/>
      <c r="H27" s="3756" t="s">
        <v>7003</v>
      </c>
      <c r="I27" s="3757"/>
      <c r="J27" s="3757"/>
      <c r="K27" s="3758"/>
      <c r="L27" s="3759">
        <v>656948</v>
      </c>
      <c r="M27" s="3760"/>
      <c r="N27" s="293"/>
      <c r="Q27" s="293"/>
      <c r="S27" s="3726"/>
      <c r="T27" s="3727"/>
    </row>
    <row r="28" spans="1:20" s="268" customFormat="1" ht="15.75" customHeight="1">
      <c r="A28" s="293"/>
      <c r="B28" s="2352" t="s">
        <v>237</v>
      </c>
      <c r="C28" s="2353"/>
      <c r="D28" s="3779" t="s">
        <v>7034</v>
      </c>
      <c r="E28" s="3779"/>
      <c r="F28" s="3779"/>
      <c r="G28" s="3779"/>
      <c r="H28" s="3756"/>
      <c r="I28" s="3757"/>
      <c r="J28" s="3757"/>
      <c r="K28" s="3758"/>
      <c r="L28" s="3759">
        <v>110</v>
      </c>
      <c r="M28" s="3760"/>
      <c r="N28" s="293"/>
      <c r="Q28" s="293"/>
      <c r="S28" s="3730"/>
      <c r="T28" s="3731"/>
    </row>
    <row r="29" spans="1:20" s="268" customFormat="1" ht="15.75" customHeight="1">
      <c r="A29" s="293"/>
      <c r="B29" s="2352" t="s">
        <v>237</v>
      </c>
      <c r="C29" s="2353"/>
      <c r="D29" s="3780"/>
      <c r="E29" s="3780"/>
      <c r="F29" s="3780"/>
      <c r="G29" s="3780"/>
      <c r="H29" s="3756"/>
      <c r="I29" s="3757"/>
      <c r="J29" s="3757"/>
      <c r="K29" s="3758"/>
      <c r="L29" s="3759"/>
      <c r="M29" s="3760"/>
      <c r="N29" s="293"/>
      <c r="S29" s="3730"/>
      <c r="T29" s="3731"/>
    </row>
    <row r="30" spans="1:20" s="268" customFormat="1" ht="15.75" customHeight="1">
      <c r="A30" s="293"/>
      <c r="B30" s="2360" t="s">
        <v>237</v>
      </c>
      <c r="C30" s="2361"/>
      <c r="D30" s="3781"/>
      <c r="E30" s="3781"/>
      <c r="F30" s="3781"/>
      <c r="G30" s="3781"/>
      <c r="H30" s="3765"/>
      <c r="I30" s="3766"/>
      <c r="J30" s="3766"/>
      <c r="K30" s="3767"/>
      <c r="L30" s="3768"/>
      <c r="M30" s="3769"/>
      <c r="N30" s="293"/>
      <c r="S30" s="3730"/>
      <c r="T30" s="3731"/>
    </row>
    <row r="31" spans="1:20" s="268" customFormat="1" ht="16.5" customHeight="1">
      <c r="A31" s="293"/>
      <c r="B31" s="2347" t="s">
        <v>1272</v>
      </c>
      <c r="C31" s="293"/>
      <c r="D31" s="293"/>
      <c r="E31" s="293"/>
      <c r="F31" s="293"/>
      <c r="G31" s="293"/>
      <c r="H31" s="293"/>
      <c r="I31" s="293"/>
      <c r="L31" s="2497">
        <f>SUM(L20:L30)</f>
        <v>8702259</v>
      </c>
      <c r="M31" s="2498"/>
      <c r="N31" s="311"/>
      <c r="S31" s="3730"/>
      <c r="T31" s="3731"/>
    </row>
    <row r="32" spans="1:20" s="268" customFormat="1" ht="16.5" customHeight="1">
      <c r="A32" s="293"/>
      <c r="B32" s="2348" t="s">
        <v>1273</v>
      </c>
      <c r="C32" s="293"/>
      <c r="D32" s="293"/>
      <c r="E32" s="293"/>
      <c r="F32" s="293"/>
      <c r="G32" s="293"/>
      <c r="H32" s="293"/>
      <c r="I32" s="293"/>
      <c r="L32" s="378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8702259</v>
      </c>
      <c r="M32" s="3783"/>
      <c r="N32" s="820"/>
      <c r="S32" s="3730"/>
      <c r="T32" s="3731"/>
    </row>
    <row r="33" spans="1:20" s="268" customFormat="1" ht="16.5" customHeight="1">
      <c r="A33" s="293"/>
      <c r="B33" s="2345" t="s">
        <v>2106</v>
      </c>
      <c r="C33" s="293"/>
      <c r="D33" s="293"/>
      <c r="E33" s="293"/>
      <c r="F33" s="293"/>
      <c r="G33" s="293"/>
      <c r="H33" s="293"/>
      <c r="I33" s="293"/>
      <c r="L33" s="2499">
        <f>L31-L32</f>
        <v>0</v>
      </c>
      <c r="M33" s="2500"/>
      <c r="N33" s="820"/>
      <c r="S33" s="3735"/>
      <c r="T33" s="3736"/>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4"/>
      <c r="I36" s="2494"/>
      <c r="K36" s="364" t="s">
        <v>2050</v>
      </c>
      <c r="L36" s="2356" t="s">
        <v>1269</v>
      </c>
      <c r="M36" s="2356" t="s">
        <v>1274</v>
      </c>
      <c r="P36" s="2501" t="s">
        <v>32</v>
      </c>
      <c r="Q36" s="2501"/>
      <c r="S36" s="338"/>
    </row>
    <row r="37" spans="1:20" s="268" customFormat="1" ht="13.35" customHeight="1">
      <c r="A37" s="293"/>
      <c r="B37" s="2363" t="s">
        <v>1823</v>
      </c>
      <c r="C37" s="2361"/>
      <c r="D37" s="2361"/>
      <c r="E37" s="2419" t="s">
        <v>1271</v>
      </c>
      <c r="F37" s="2419"/>
      <c r="G37" s="2419"/>
      <c r="H37" s="2419"/>
      <c r="I37" s="2409" t="s">
        <v>4387</v>
      </c>
      <c r="J37" s="2409"/>
      <c r="K37" s="2350" t="s">
        <v>1760</v>
      </c>
      <c r="L37" s="2350" t="s">
        <v>2157</v>
      </c>
      <c r="M37" s="2350" t="s">
        <v>2157</v>
      </c>
      <c r="N37" s="2409" t="s">
        <v>72</v>
      </c>
      <c r="O37" s="2409"/>
      <c r="P37" s="3784"/>
      <c r="Q37" s="3784"/>
      <c r="S37" s="2484" t="s">
        <v>2606</v>
      </c>
      <c r="T37" s="2484"/>
    </row>
    <row r="38" spans="1:20" s="268" customFormat="1" ht="15.75" customHeight="1">
      <c r="A38" s="293"/>
      <c r="B38" s="2488" t="s">
        <v>2546</v>
      </c>
      <c r="C38" s="2489"/>
      <c r="D38" s="2489"/>
      <c r="E38" s="3747"/>
      <c r="F38" s="3748"/>
      <c r="G38" s="3748"/>
      <c r="H38" s="3749"/>
      <c r="I38" s="3785"/>
      <c r="J38" s="3786"/>
      <c r="K38" s="3787"/>
      <c r="L38" s="3564"/>
      <c r="M38" s="3564"/>
      <c r="N38" s="3788"/>
      <c r="O38" s="3788"/>
      <c r="P38" s="3789" t="str">
        <f>IF(OR(I38&lt;=0,I38=""),"",IF(N38="Cash Flow",0,IF(N38="Amortizing",-PMT(K38/12,M38*12,I38,0,0)*12,"")))</f>
        <v/>
      </c>
      <c r="Q38" s="3789"/>
      <c r="S38" s="3726"/>
      <c r="T38" s="3727"/>
    </row>
    <row r="39" spans="1:20" s="268" customFormat="1" ht="15.75" customHeight="1">
      <c r="A39" s="293"/>
      <c r="B39" s="2490" t="s">
        <v>2547</v>
      </c>
      <c r="C39" s="2491"/>
      <c r="D39" s="2491"/>
      <c r="E39" s="3756"/>
      <c r="F39" s="3757"/>
      <c r="G39" s="3757"/>
      <c r="H39" s="3758"/>
      <c r="I39" s="3790"/>
      <c r="J39" s="3791"/>
      <c r="K39" s="3792"/>
      <c r="L39" s="3510"/>
      <c r="M39" s="3510"/>
      <c r="N39" s="3793"/>
      <c r="O39" s="3793"/>
      <c r="P39" s="3794" t="str">
        <f>IF(OR(I39&lt;=0,I39=""),"",IF(N39="Cash Flow",0,IF(N39="Amortizing",-PMT(K39/12,M39*12,I39,0,0)*12,"")))</f>
        <v/>
      </c>
      <c r="Q39" s="3794"/>
      <c r="S39" s="3730"/>
      <c r="T39" s="3731"/>
    </row>
    <row r="40" spans="1:20" s="268" customFormat="1" ht="15.75" customHeight="1">
      <c r="A40" s="293"/>
      <c r="B40" s="2490" t="s">
        <v>2548</v>
      </c>
      <c r="C40" s="2491"/>
      <c r="D40" s="2491"/>
      <c r="E40" s="3756"/>
      <c r="F40" s="3757"/>
      <c r="G40" s="3757"/>
      <c r="H40" s="3758"/>
      <c r="I40" s="3790"/>
      <c r="J40" s="3791"/>
      <c r="K40" s="3792"/>
      <c r="L40" s="3510"/>
      <c r="M40" s="3510"/>
      <c r="N40" s="3793"/>
      <c r="O40" s="3793"/>
      <c r="P40" s="3794" t="str">
        <f>IF(OR(I40&lt;=0,I40=""),"",IF(N40="Cash Flow",0,IF(N40="Amortizing",-PMT(K40/12,M40*12,I40,0,0)*12,"")))</f>
        <v/>
      </c>
      <c r="Q40" s="3794"/>
      <c r="S40" s="3730"/>
      <c r="T40" s="3731"/>
    </row>
    <row r="41" spans="1:20" s="268" customFormat="1" ht="15.75" customHeight="1">
      <c r="A41" s="293"/>
      <c r="B41" s="2352" t="s">
        <v>723</v>
      </c>
      <c r="C41" s="3795"/>
      <c r="D41" s="3796"/>
      <c r="E41" s="3756"/>
      <c r="F41" s="3757"/>
      <c r="G41" s="3757"/>
      <c r="H41" s="3758"/>
      <c r="I41" s="3797"/>
      <c r="J41" s="3798"/>
      <c r="K41" s="3799"/>
      <c r="L41" s="3565"/>
      <c r="M41" s="3565"/>
      <c r="N41" s="3800"/>
      <c r="O41" s="3800"/>
      <c r="P41" s="3801" t="str">
        <f>IF(OR(I41&lt;=0,I41=""),"",IF(N41="Cash Flow",0,IF(N41="Amortizing",-PMT(K41/12,M41*12,I41,0,0)*12,"")))</f>
        <v/>
      </c>
      <c r="Q41" s="3801"/>
      <c r="S41" s="3730"/>
      <c r="T41" s="3731"/>
    </row>
    <row r="42" spans="1:20" s="268" customFormat="1" ht="15.75" customHeight="1">
      <c r="A42" s="293"/>
      <c r="B42" s="2352" t="s">
        <v>4553</v>
      </c>
      <c r="C42" s="2353"/>
      <c r="D42" s="2354"/>
      <c r="E42" s="3756"/>
      <c r="F42" s="3757"/>
      <c r="G42" s="3757"/>
      <c r="H42" s="3758"/>
      <c r="I42" s="3790"/>
      <c r="J42" s="3791"/>
      <c r="K42" s="451"/>
      <c r="L42" s="2355"/>
      <c r="M42" s="2355"/>
      <c r="N42" s="2509"/>
      <c r="O42" s="2509"/>
      <c r="P42" s="2508"/>
      <c r="Q42" s="2508"/>
      <c r="S42" s="3730"/>
      <c r="T42" s="3731"/>
    </row>
    <row r="43" spans="1:20" s="268" customFormat="1" ht="15.75" customHeight="1">
      <c r="A43" s="293"/>
      <c r="B43" s="2360" t="s">
        <v>223</v>
      </c>
      <c r="C43" s="2361"/>
      <c r="D43" s="365">
        <f>IF(OR(I43="",I43=0,'Part IV-A-Uses of Funds'!$G$118="",'Part IV-A-Uses of Funds'!$G$118=0),"",I43/'Part IV-A-Uses of Funds'!$G$118)</f>
        <v>1.5939166666666667E-2</v>
      </c>
      <c r="E43" s="3765" t="s">
        <v>6988</v>
      </c>
      <c r="F43" s="3766"/>
      <c r="G43" s="3766"/>
      <c r="H43" s="3767"/>
      <c r="I43" s="3802">
        <v>19127</v>
      </c>
      <c r="J43" s="3803"/>
      <c r="K43" s="3804">
        <v>0</v>
      </c>
      <c r="L43" s="3497">
        <v>15</v>
      </c>
      <c r="M43" s="3497"/>
      <c r="N43" s="3805" t="s">
        <v>1142</v>
      </c>
      <c r="O43" s="3806"/>
      <c r="P43" s="3807">
        <f>IF(OR(I43&lt;=0,I43=""),"",IF(N43="Cash Flow",0,IF(N43="Amortizing",-PMT(K43/12,M43*12,I43,0,0)*12,"")))</f>
        <v>0</v>
      </c>
      <c r="Q43" s="3808"/>
      <c r="S43" s="3730"/>
      <c r="T43" s="3731"/>
    </row>
    <row r="44" spans="1:20" s="268" customFormat="1" ht="3" customHeight="1">
      <c r="A44" s="293"/>
      <c r="B44" s="293"/>
      <c r="C44" s="293"/>
      <c r="D44" s="293"/>
      <c r="E44" s="293"/>
      <c r="F44" s="293"/>
      <c r="G44" s="293"/>
      <c r="H44" s="293"/>
      <c r="I44" s="3809"/>
      <c r="J44" s="3810"/>
      <c r="K44" s="3811"/>
      <c r="L44" s="2356"/>
      <c r="M44" s="2356"/>
      <c r="N44" s="3812"/>
      <c r="O44" s="3812"/>
      <c r="P44" s="2356"/>
      <c r="Q44" s="2356"/>
      <c r="S44" s="3730"/>
      <c r="T44" s="3731"/>
    </row>
    <row r="45" spans="1:20" s="268" customFormat="1" ht="14.25" customHeight="1">
      <c r="A45" s="293"/>
      <c r="B45" s="1020" t="s">
        <v>3831</v>
      </c>
      <c r="C45" s="2353"/>
      <c r="E45" s="268" t="s">
        <v>3770</v>
      </c>
      <c r="F45" s="2504">
        <f>IF(OR($I$43="",$I$43=0,'Part VII-Pro Forma'!$S$34=0,'Part VII-Pro Forma'!$S$34=""),"",VLOOKUP($L$43,'Part VII-Pro Forma'!$Q$20:$S$39,3))</f>
        <v>726705.65545932378</v>
      </c>
      <c r="G45" s="2505"/>
      <c r="H45" s="582" t="s">
        <v>3830</v>
      </c>
      <c r="I45" s="2504">
        <f>IF(OR($I$43="",$I$43=0,'Part VII-Pro Forma'!$R$34=0,'Part VII-Pro Forma'!$R$34=""),"",VLOOKUP($L$43,'Part VII-Pro Forma'!$Q$20:$S$34,2))</f>
        <v>19127</v>
      </c>
      <c r="J45" s="2505"/>
      <c r="K45" s="582" t="s">
        <v>3832</v>
      </c>
      <c r="L45" s="2502">
        <f>IF(OR($F$45 = 0,$F$45 =""),"",$I$45/$F$45)</f>
        <v>2.6320147443892578E-2</v>
      </c>
      <c r="M45" s="2503"/>
      <c r="N45" s="3813" t="s">
        <v>4395</v>
      </c>
      <c r="O45" s="3814"/>
      <c r="P45" s="2506">
        <f>IF(OR($I$60=0,$I$58&gt;$I$59),0,ABS($I$58-$I$59))</f>
        <v>0</v>
      </c>
      <c r="Q45" s="2507"/>
      <c r="S45" s="3730"/>
      <c r="T45" s="3731"/>
    </row>
    <row r="46" spans="1:20" s="268" customFormat="1" ht="3" customHeight="1">
      <c r="A46" s="293"/>
      <c r="B46" s="293"/>
      <c r="C46" s="293"/>
      <c r="D46" s="293"/>
      <c r="E46" s="293"/>
      <c r="F46" s="293"/>
      <c r="G46" s="293"/>
      <c r="H46" s="293"/>
      <c r="I46" s="3815"/>
      <c r="J46" s="3816"/>
      <c r="K46" s="3811"/>
      <c r="L46" s="2356"/>
      <c r="M46" s="2356"/>
      <c r="N46" s="3812"/>
      <c r="O46" s="3812"/>
      <c r="P46" s="2356"/>
      <c r="Q46" s="2356"/>
      <c r="S46" s="3735"/>
      <c r="T46" s="3736"/>
    </row>
    <row r="47" spans="1:20" s="268" customFormat="1" ht="15.75" customHeight="1">
      <c r="A47" s="293"/>
      <c r="B47" s="2515" t="s">
        <v>2158</v>
      </c>
      <c r="C47" s="2516"/>
      <c r="D47" s="2517"/>
      <c r="E47" s="3747"/>
      <c r="F47" s="3748"/>
      <c r="G47" s="3748"/>
      <c r="H47" s="3749"/>
      <c r="I47" s="3817"/>
      <c r="J47" s="3818"/>
      <c r="K47" s="366"/>
      <c r="L47" s="366"/>
      <c r="M47" s="366"/>
      <c r="N47" s="366"/>
      <c r="O47" s="366"/>
      <c r="P47" s="397" t="s">
        <v>502</v>
      </c>
      <c r="Q47" s="366"/>
      <c r="S47" s="3726"/>
      <c r="T47" s="3727"/>
    </row>
    <row r="48" spans="1:20" s="268" customFormat="1" ht="15.75" customHeight="1">
      <c r="A48" s="293"/>
      <c r="B48" s="2490" t="s">
        <v>781</v>
      </c>
      <c r="C48" s="2491"/>
      <c r="D48" s="2512"/>
      <c r="E48" s="3756"/>
      <c r="F48" s="3757"/>
      <c r="G48" s="3757"/>
      <c r="H48" s="3758"/>
      <c r="I48" s="3790"/>
      <c r="J48" s="3791"/>
      <c r="L48" s="2518" t="s">
        <v>503</v>
      </c>
      <c r="M48" s="2518"/>
      <c r="N48" s="2519" t="s">
        <v>504</v>
      </c>
      <c r="O48" s="2519"/>
      <c r="P48" s="398" t="s">
        <v>2493</v>
      </c>
      <c r="Q48" s="366"/>
      <c r="S48" s="3730"/>
      <c r="T48" s="3731"/>
    </row>
    <row r="49" spans="1:23" s="268" customFormat="1" ht="15.75" customHeight="1">
      <c r="A49" s="293"/>
      <c r="B49" s="2490" t="s">
        <v>782</v>
      </c>
      <c r="C49" s="2491"/>
      <c r="D49" s="2512"/>
      <c r="E49" s="3756" t="s">
        <v>7035</v>
      </c>
      <c r="F49" s="3757"/>
      <c r="G49" s="3757"/>
      <c r="H49" s="3758"/>
      <c r="I49" s="3790">
        <v>6655168</v>
      </c>
      <c r="J49" s="3790"/>
      <c r="L49" s="2510">
        <f>'Part IV-A-Uses of Funds'!$J$184*10*'Part IV-A-Uses of Funds'!$N$175</f>
        <v>6723750</v>
      </c>
      <c r="M49" s="2510"/>
      <c r="N49" s="2511">
        <f>I49-L49</f>
        <v>-68582</v>
      </c>
      <c r="O49" s="2511"/>
      <c r="P49" s="399">
        <f>I49/I59</f>
        <v>0.66824705700078812</v>
      </c>
      <c r="Q49" s="366"/>
      <c r="S49" s="3730"/>
      <c r="T49" s="3731"/>
    </row>
    <row r="50" spans="1:23" s="268" customFormat="1" ht="15.75" customHeight="1">
      <c r="A50" s="293"/>
      <c r="B50" s="2490" t="s">
        <v>783</v>
      </c>
      <c r="C50" s="2491"/>
      <c r="D50" s="2512"/>
      <c r="E50" s="3756" t="s">
        <v>7003</v>
      </c>
      <c r="F50" s="3757"/>
      <c r="G50" s="3757"/>
      <c r="H50" s="3758"/>
      <c r="I50" s="3790">
        <v>3284738</v>
      </c>
      <c r="J50" s="3790"/>
      <c r="L50" s="2510">
        <f>'Part IV-A-Uses of Funds'!$J$184*10*'Part IV-A-Uses of Funds'!$Q$175</f>
        <v>3217500</v>
      </c>
      <c r="M50" s="2510"/>
      <c r="N50" s="2511">
        <f>I50-L50</f>
        <v>67238</v>
      </c>
      <c r="O50" s="2511"/>
      <c r="P50" s="399">
        <f>I50/I59</f>
        <v>0.32982135109416544</v>
      </c>
      <c r="Q50" s="366"/>
      <c r="S50" s="3730"/>
      <c r="T50" s="3731"/>
    </row>
    <row r="51" spans="1:23" s="268" customFormat="1" ht="15.75" customHeight="1">
      <c r="A51" s="293"/>
      <c r="B51" s="2490" t="s">
        <v>1383</v>
      </c>
      <c r="C51" s="2491"/>
      <c r="D51" s="2512"/>
      <c r="E51" s="3756"/>
      <c r="F51" s="3757"/>
      <c r="G51" s="3757"/>
      <c r="H51" s="3758"/>
      <c r="I51" s="3790"/>
      <c r="J51" s="3790"/>
      <c r="P51" s="400">
        <f>SUM(P49:P50)</f>
        <v>0.99806840809495356</v>
      </c>
      <c r="Q51" s="366"/>
      <c r="S51" s="3735"/>
      <c r="T51" s="3736"/>
    </row>
    <row r="52" spans="1:23" s="268" customFormat="1" ht="15.75" customHeight="1">
      <c r="A52" s="293"/>
      <c r="B52" s="2352" t="s">
        <v>517</v>
      </c>
      <c r="C52" s="2353"/>
      <c r="D52" s="2354"/>
      <c r="E52" s="3756"/>
      <c r="F52" s="3757"/>
      <c r="G52" s="3757"/>
      <c r="H52" s="3758"/>
      <c r="I52" s="3790"/>
      <c r="J52" s="3790"/>
      <c r="K52" s="293"/>
      <c r="Q52" s="366"/>
      <c r="S52" s="3730"/>
      <c r="T52" s="3731"/>
    </row>
    <row r="53" spans="1:23" s="268" customFormat="1" ht="15.75" customHeight="1">
      <c r="A53" s="293"/>
      <c r="B53" s="2352" t="s">
        <v>1821</v>
      </c>
      <c r="C53" s="2353"/>
      <c r="D53" s="2354"/>
      <c r="E53" s="3756"/>
      <c r="F53" s="3757"/>
      <c r="G53" s="3757"/>
      <c r="H53" s="3758"/>
      <c r="I53" s="3790"/>
      <c r="J53" s="3790"/>
      <c r="N53" s="367"/>
      <c r="O53" s="367"/>
      <c r="P53" s="367"/>
      <c r="Q53" s="366"/>
      <c r="S53" s="3730"/>
      <c r="T53" s="3731"/>
    </row>
    <row r="54" spans="1:23" s="268" customFormat="1" ht="15.75" customHeight="1">
      <c r="A54" s="293"/>
      <c r="B54" s="2352" t="s">
        <v>1822</v>
      </c>
      <c r="C54" s="2353"/>
      <c r="D54" s="2354"/>
      <c r="E54" s="3756"/>
      <c r="F54" s="3757"/>
      <c r="G54" s="3757"/>
      <c r="H54" s="3758"/>
      <c r="I54" s="3790"/>
      <c r="J54" s="3790"/>
      <c r="M54" s="367"/>
      <c r="N54" s="367"/>
      <c r="O54" s="367"/>
      <c r="P54" s="367"/>
      <c r="Q54" s="366"/>
      <c r="S54" s="3730"/>
      <c r="T54" s="3731"/>
    </row>
    <row r="55" spans="1:23" s="268" customFormat="1" ht="15.75" customHeight="1">
      <c r="A55" s="293"/>
      <c r="B55" s="2352" t="s">
        <v>723</v>
      </c>
      <c r="C55" s="3779" t="s">
        <v>7034</v>
      </c>
      <c r="D55" s="3779"/>
      <c r="E55" s="3756"/>
      <c r="F55" s="3757"/>
      <c r="G55" s="3757"/>
      <c r="H55" s="3758"/>
      <c r="I55" s="3790">
        <v>110</v>
      </c>
      <c r="J55" s="3790"/>
      <c r="M55" s="367"/>
      <c r="N55" s="367"/>
      <c r="O55" s="367"/>
      <c r="P55" s="367"/>
      <c r="Q55" s="366"/>
      <c r="S55" s="3730"/>
      <c r="T55" s="3731"/>
    </row>
    <row r="56" spans="1:23" s="268" customFormat="1" ht="15.75" customHeight="1">
      <c r="A56" s="293"/>
      <c r="B56" s="2352" t="s">
        <v>723</v>
      </c>
      <c r="C56" s="3780"/>
      <c r="D56" s="3780"/>
      <c r="E56" s="3756"/>
      <c r="F56" s="3757"/>
      <c r="G56" s="3757"/>
      <c r="H56" s="3758"/>
      <c r="I56" s="3790"/>
      <c r="J56" s="3790"/>
      <c r="K56" s="293"/>
      <c r="L56" s="368"/>
      <c r="M56" s="367"/>
      <c r="N56" s="367"/>
      <c r="O56" s="367"/>
      <c r="P56" s="367"/>
      <c r="Q56" s="366"/>
      <c r="S56" s="3730"/>
      <c r="T56" s="3731"/>
    </row>
    <row r="57" spans="1:23" s="268" customFormat="1" ht="15.75" customHeight="1">
      <c r="A57" s="293"/>
      <c r="B57" s="2360" t="s">
        <v>723</v>
      </c>
      <c r="C57" s="3781"/>
      <c r="D57" s="3781"/>
      <c r="E57" s="3765"/>
      <c r="F57" s="3766"/>
      <c r="G57" s="3766"/>
      <c r="H57" s="3767"/>
      <c r="I57" s="3819"/>
      <c r="J57" s="3819"/>
      <c r="K57" s="293"/>
      <c r="L57" s="368"/>
      <c r="M57" s="367"/>
      <c r="N57" s="367"/>
      <c r="O57" s="367"/>
      <c r="P57" s="367"/>
      <c r="Q57" s="366"/>
      <c r="S57" s="3730"/>
      <c r="T57" s="3731"/>
    </row>
    <row r="58" spans="1:23" s="268" customFormat="1" ht="14.25" customHeight="1">
      <c r="A58" s="293"/>
      <c r="B58" s="2348" t="s">
        <v>2159</v>
      </c>
      <c r="C58" s="293"/>
      <c r="D58" s="293"/>
      <c r="E58" s="293"/>
      <c r="F58" s="293"/>
      <c r="G58" s="293"/>
      <c r="I58" s="2520">
        <f>SUM(I38:J43)+SUM(I47:J57)</f>
        <v>9959143</v>
      </c>
      <c r="J58" s="2521"/>
      <c r="K58" s="293"/>
      <c r="L58" s="368"/>
      <c r="M58" s="367"/>
      <c r="N58" s="367"/>
      <c r="O58" s="367"/>
      <c r="P58" s="367"/>
      <c r="Q58" s="366"/>
      <c r="S58" s="3730"/>
      <c r="T58" s="3731"/>
    </row>
    <row r="59" spans="1:23" s="268" customFormat="1" ht="14.25" customHeight="1" thickBot="1">
      <c r="A59" s="293"/>
      <c r="B59" s="2348" t="s">
        <v>2160</v>
      </c>
      <c r="C59" s="293"/>
      <c r="D59" s="293"/>
      <c r="E59" s="293"/>
      <c r="F59" s="293"/>
      <c r="G59" s="293"/>
      <c r="I59" s="2522">
        <f>'Part IV-A-Uses of Funds'!$G$132</f>
        <v>9959143</v>
      </c>
      <c r="J59" s="2523"/>
      <c r="K59" s="293"/>
      <c r="L59" s="368"/>
      <c r="M59" s="367"/>
      <c r="N59" s="367"/>
      <c r="O59" s="367"/>
      <c r="P59" s="367"/>
      <c r="Q59" s="366"/>
      <c r="S59" s="3730"/>
      <c r="T59" s="3731"/>
    </row>
    <row r="60" spans="1:23" s="268" customFormat="1" ht="14.25" customHeight="1" thickBot="1">
      <c r="A60" s="293"/>
      <c r="B60" s="2345" t="s">
        <v>1493</v>
      </c>
      <c r="C60" s="293"/>
      <c r="D60" s="293"/>
      <c r="E60" s="293"/>
      <c r="F60" s="293"/>
      <c r="G60" s="293"/>
      <c r="I60" s="2524">
        <f>I58-I59</f>
        <v>0</v>
      </c>
      <c r="J60" s="2525"/>
      <c r="K60" s="293"/>
      <c r="L60" s="368"/>
      <c r="M60" s="367"/>
      <c r="N60" s="367"/>
      <c r="O60" s="367"/>
      <c r="P60" s="367"/>
      <c r="Q60" s="366"/>
      <c r="S60" s="3735"/>
      <c r="T60" s="3736"/>
    </row>
    <row r="61" spans="1:23" s="268" customFormat="1" ht="13.35" customHeight="1">
      <c r="A61" s="293" t="s">
        <v>4554</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20" t="s">
        <v>7099</v>
      </c>
      <c r="B64" s="3820"/>
      <c r="C64" s="3820"/>
      <c r="D64" s="3820"/>
      <c r="E64" s="3820"/>
      <c r="F64" s="3820"/>
      <c r="G64" s="3820"/>
      <c r="H64" s="3820"/>
      <c r="I64" s="3820"/>
      <c r="J64" s="3820"/>
      <c r="K64" s="3820"/>
      <c r="L64" s="3820"/>
      <c r="M64" s="3821"/>
      <c r="N64" s="3821"/>
      <c r="O64" s="3821"/>
      <c r="P64" s="3821"/>
      <c r="Q64" s="3821"/>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Cjgg8uPjcJchlwrRA4ogi1dtMzAZqs9HqMAMDPegvBX0568wgVP/ElbAPaz8JtOoJ2QipP/3vsm5LC8TFYa3dQ==" saltValue="l6t6K5zRj1lEU0hMwXuz0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2020-067 Boxwood Heights, Columbus, Muscogee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2020-067 Boxwood Heights, Columbus, Muscogee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0">
        <v>5000</v>
      </c>
      <c r="H8" s="3751"/>
      <c r="J8" s="3750">
        <v>5000</v>
      </c>
      <c r="K8" s="3751"/>
      <c r="L8" s="2365"/>
      <c r="M8" s="3750"/>
      <c r="N8" s="3751"/>
      <c r="P8" s="3750"/>
      <c r="Q8" s="3751"/>
      <c r="S8" s="3750"/>
      <c r="T8" s="3751"/>
      <c r="V8" s="3822"/>
      <c r="W8" s="3823"/>
      <c r="X8" s="3824"/>
    </row>
    <row r="9" spans="1:24" s="293" customFormat="1" ht="12.6" customHeight="1">
      <c r="B9" s="293" t="s">
        <v>448</v>
      </c>
      <c r="G9" s="3759">
        <v>10000</v>
      </c>
      <c r="H9" s="3760"/>
      <c r="J9" s="3759">
        <v>10000</v>
      </c>
      <c r="K9" s="3760"/>
      <c r="L9" s="2365"/>
      <c r="M9" s="3759"/>
      <c r="N9" s="3760"/>
      <c r="P9" s="3759"/>
      <c r="Q9" s="3760"/>
      <c r="S9" s="3759"/>
      <c r="T9" s="3760"/>
      <c r="V9" s="3822"/>
      <c r="W9" s="3823"/>
      <c r="X9" s="3824"/>
    </row>
    <row r="10" spans="1:24" s="293" customFormat="1" ht="12.6" customHeight="1">
      <c r="B10" s="293" t="s">
        <v>477</v>
      </c>
      <c r="G10" s="3759">
        <v>7500</v>
      </c>
      <c r="H10" s="3760"/>
      <c r="J10" s="3759">
        <v>7500</v>
      </c>
      <c r="K10" s="3760"/>
      <c r="L10" s="2365"/>
      <c r="M10" s="3759"/>
      <c r="N10" s="3760"/>
      <c r="P10" s="3759"/>
      <c r="Q10" s="3760"/>
      <c r="S10" s="3759"/>
      <c r="T10" s="3760"/>
      <c r="V10" s="3822"/>
      <c r="W10" s="3823"/>
      <c r="X10" s="3824"/>
    </row>
    <row r="11" spans="1:24" s="293" customFormat="1" ht="12.6" customHeight="1">
      <c r="B11" s="293" t="s">
        <v>478</v>
      </c>
      <c r="G11" s="3759">
        <v>10000</v>
      </c>
      <c r="H11" s="3760"/>
      <c r="J11" s="3759">
        <v>10000</v>
      </c>
      <c r="K11" s="3760"/>
      <c r="L11" s="2365"/>
      <c r="M11" s="3759"/>
      <c r="N11" s="3760"/>
      <c r="P11" s="3759"/>
      <c r="Q11" s="3760"/>
      <c r="S11" s="3759"/>
      <c r="T11" s="3760"/>
      <c r="V11" s="3822"/>
      <c r="W11" s="3823"/>
      <c r="X11" s="3824"/>
    </row>
    <row r="12" spans="1:24" s="293" customFormat="1" ht="12.6" customHeight="1">
      <c r="B12" s="293" t="s">
        <v>2434</v>
      </c>
      <c r="G12" s="3759">
        <v>15000</v>
      </c>
      <c r="H12" s="3760"/>
      <c r="J12" s="3759">
        <v>15000</v>
      </c>
      <c r="K12" s="3760"/>
      <c r="L12" s="2365"/>
      <c r="M12" s="3759"/>
      <c r="N12" s="3760"/>
      <c r="P12" s="3759"/>
      <c r="Q12" s="3760"/>
      <c r="S12" s="3759"/>
      <c r="T12" s="3760"/>
      <c r="V12" s="3822"/>
      <c r="W12" s="3823"/>
      <c r="X12" s="3824"/>
    </row>
    <row r="13" spans="1:24" s="293" customFormat="1" ht="12.6" customHeight="1">
      <c r="B13" s="293" t="s">
        <v>186</v>
      </c>
      <c r="G13" s="3759"/>
      <c r="H13" s="3760"/>
      <c r="J13" s="3759"/>
      <c r="K13" s="3760"/>
      <c r="L13" s="2365"/>
      <c r="M13" s="3759"/>
      <c r="N13" s="3760"/>
      <c r="P13" s="3759"/>
      <c r="Q13" s="3760"/>
      <c r="S13" s="3759"/>
      <c r="T13" s="3760"/>
      <c r="V13" s="3822"/>
      <c r="W13" s="3823"/>
      <c r="X13" s="3824"/>
    </row>
    <row r="14" spans="1:24" s="293" customFormat="1" ht="12.6" customHeight="1">
      <c r="A14" s="370" t="str">
        <f>IF(AND(G14&gt;0,OR(C14="",C14="&lt;Enter detailed description here; use Comments section if needed&gt;")),"X","")</f>
        <v/>
      </c>
      <c r="B14" s="293" t="s">
        <v>723</v>
      </c>
      <c r="C14" s="3825" t="s">
        <v>3531</v>
      </c>
      <c r="D14" s="3825"/>
      <c r="E14" s="3825"/>
      <c r="F14" s="3826"/>
      <c r="G14" s="3759"/>
      <c r="H14" s="3760"/>
      <c r="J14" s="3759"/>
      <c r="K14" s="3760"/>
      <c r="L14" s="2365"/>
      <c r="M14" s="3759"/>
      <c r="N14" s="3760"/>
      <c r="P14" s="3759"/>
      <c r="Q14" s="3760"/>
      <c r="S14" s="3759"/>
      <c r="T14" s="3760"/>
      <c r="U14" s="369" t="str">
        <f>IF(AND(G14&gt;0,OR(C14="",C14="&lt;Enter detailed description here; use Comments section if needed&gt;")),"NO DESCRIPTION PROVIDED - please enter detailed description in Other box at left; use Comments section below if needed.","")</f>
        <v/>
      </c>
      <c r="V14" s="3827"/>
      <c r="W14" s="3823"/>
      <c r="X14" s="3824"/>
    </row>
    <row r="15" spans="1:24" s="293" customFormat="1" ht="12.6" customHeight="1">
      <c r="A15" s="370" t="str">
        <f>IF(AND(G15&gt;0,OR(C15="",C15="&lt;Enter detailed description here; use Comments section if needed&gt;")),"X","")</f>
        <v/>
      </c>
      <c r="B15" s="293" t="s">
        <v>723</v>
      </c>
      <c r="C15" s="3825" t="s">
        <v>3531</v>
      </c>
      <c r="D15" s="3825"/>
      <c r="E15" s="3825"/>
      <c r="F15" s="3826"/>
      <c r="G15" s="3759"/>
      <c r="H15" s="3760"/>
      <c r="J15" s="3759"/>
      <c r="K15" s="3760"/>
      <c r="L15" s="2365"/>
      <c r="M15" s="3759"/>
      <c r="N15" s="3760"/>
      <c r="P15" s="3759"/>
      <c r="Q15" s="3760"/>
      <c r="S15" s="3759"/>
      <c r="T15" s="3760"/>
      <c r="U15" s="369" t="str">
        <f>IF(AND(G15&gt;0,OR(C15="",C15="&lt;Enter detailed description here; use Comments section if needed&gt;")),"NO DESCRIPTION PROVIDED - please enter detailed description in Other box at left; use Comments section below if needed.","")</f>
        <v/>
      </c>
      <c r="V15" s="3827"/>
      <c r="W15" s="3823"/>
      <c r="X15" s="3824"/>
    </row>
    <row r="16" spans="1:24" s="293" customFormat="1" ht="12.6" customHeight="1" thickBot="1">
      <c r="A16" s="370" t="str">
        <f>IF(AND(G16&gt;0,OR(C16="",C16="&lt;Enter detailed description here; use Comments section if needed&gt;")),"X","")</f>
        <v/>
      </c>
      <c r="B16" s="293" t="s">
        <v>723</v>
      </c>
      <c r="C16" s="3825" t="s">
        <v>3531</v>
      </c>
      <c r="D16" s="3825"/>
      <c r="E16" s="3825"/>
      <c r="F16" s="3826"/>
      <c r="G16" s="3828"/>
      <c r="H16" s="3829"/>
      <c r="J16" s="3828"/>
      <c r="K16" s="3829"/>
      <c r="L16" s="2365"/>
      <c r="M16" s="3828"/>
      <c r="N16" s="3829"/>
      <c r="P16" s="3828"/>
      <c r="Q16" s="3829"/>
      <c r="S16" s="3828"/>
      <c r="T16" s="3829"/>
      <c r="U16" s="369" t="str">
        <f>IF(AND(G16&gt;0,OR(C16="",C16="&lt;Enter detailed description here; use Comments section if needed&gt;")),"NO DESCRIPTION PROVIDED - please enter detailed description in Other box at left; use Comments section below if needed.","")</f>
        <v/>
      </c>
      <c r="V16" s="3827"/>
      <c r="W16" s="3830"/>
      <c r="X16" s="3831"/>
    </row>
    <row r="17" spans="2:24" s="293" customFormat="1" ht="12.6" customHeight="1" thickTop="1">
      <c r="F17" s="344" t="s">
        <v>187</v>
      </c>
      <c r="G17" s="2565">
        <f>SUM(G8:H16)</f>
        <v>47500</v>
      </c>
      <c r="H17" s="2566"/>
      <c r="J17" s="2565">
        <f>SUM(J8:K16)</f>
        <v>47500</v>
      </c>
      <c r="K17" s="2567"/>
      <c r="L17" s="2365"/>
      <c r="M17" s="2565">
        <f>SUM(M8:N16)</f>
        <v>0</v>
      </c>
      <c r="N17" s="2566"/>
      <c r="P17" s="2565">
        <f>SUM(P8:Q16)</f>
        <v>0</v>
      </c>
      <c r="Q17" s="2566"/>
      <c r="S17" s="2565">
        <f>SUM(S8:T16)</f>
        <v>0</v>
      </c>
      <c r="T17" s="2566"/>
      <c r="V17" s="3832">
        <f>SUM(V8:V16)</f>
        <v>0</v>
      </c>
      <c r="W17" s="3833"/>
      <c r="X17" s="3834"/>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3543</v>
      </c>
      <c r="F19" s="452">
        <f>IF('Part I-Project Information'!$O$37="","",G19/'Part I-Project Information'!$O$37)</f>
        <v>151869.15887850468</v>
      </c>
      <c r="G19" s="3750">
        <v>650000</v>
      </c>
      <c r="H19" s="3751"/>
      <c r="J19" s="346"/>
      <c r="K19" s="343"/>
      <c r="L19" s="346"/>
      <c r="M19" s="346"/>
      <c r="N19" s="343"/>
      <c r="P19" s="346"/>
      <c r="Q19" s="343"/>
      <c r="S19" s="3750">
        <v>650000</v>
      </c>
      <c r="T19" s="3751"/>
      <c r="V19" s="3822"/>
      <c r="W19" s="3823"/>
      <c r="X19" s="3824"/>
    </row>
    <row r="20" spans="2:24" s="293" customFormat="1" ht="12.6" customHeight="1">
      <c r="B20" s="293" t="s">
        <v>1097</v>
      </c>
      <c r="G20" s="3759"/>
      <c r="H20" s="3760"/>
      <c r="J20" s="346"/>
      <c r="K20" s="343"/>
      <c r="L20" s="346"/>
      <c r="M20" s="346"/>
      <c r="N20" s="343"/>
      <c r="P20" s="346"/>
      <c r="Q20" s="343"/>
      <c r="S20" s="3759"/>
      <c r="T20" s="3760"/>
      <c r="V20" s="3822"/>
      <c r="W20" s="3823"/>
      <c r="X20" s="3824"/>
    </row>
    <row r="21" spans="2:24" s="293" customFormat="1" ht="12.6" customHeight="1">
      <c r="B21" s="293" t="s">
        <v>449</v>
      </c>
      <c r="G21" s="3759"/>
      <c r="H21" s="3760"/>
      <c r="J21" s="346"/>
      <c r="K21" s="343"/>
      <c r="L21" s="346"/>
      <c r="M21" s="3750"/>
      <c r="N21" s="3751"/>
      <c r="P21" s="346"/>
      <c r="Q21" s="343"/>
      <c r="S21" s="3759"/>
      <c r="T21" s="3760"/>
      <c r="V21" s="3822"/>
      <c r="W21" s="3823"/>
      <c r="X21" s="3824"/>
    </row>
    <row r="22" spans="2:24" s="293" customFormat="1" ht="12.6" customHeight="1" thickBot="1">
      <c r="B22" s="293" t="s">
        <v>422</v>
      </c>
      <c r="G22" s="3828"/>
      <c r="H22" s="3829"/>
      <c r="J22" s="346"/>
      <c r="K22" s="343"/>
      <c r="L22" s="346"/>
      <c r="M22" s="3828"/>
      <c r="N22" s="3829"/>
      <c r="P22" s="346"/>
      <c r="Q22" s="343"/>
      <c r="S22" s="3828"/>
      <c r="T22" s="3829"/>
      <c r="V22" s="3822"/>
      <c r="W22" s="3830"/>
      <c r="X22" s="3831"/>
    </row>
    <row r="23" spans="2:24" s="293" customFormat="1" ht="12.6" customHeight="1" thickTop="1">
      <c r="F23" s="344" t="s">
        <v>187</v>
      </c>
      <c r="G23" s="2565">
        <f>SUM(G19:H22)</f>
        <v>650000</v>
      </c>
      <c r="H23" s="2566"/>
      <c r="J23" s="346"/>
      <c r="K23" s="343"/>
      <c r="L23" s="346"/>
      <c r="M23" s="2565">
        <f>SUM(M21:N22)</f>
        <v>0</v>
      </c>
      <c r="N23" s="2566"/>
      <c r="P23" s="346"/>
      <c r="Q23" s="343"/>
      <c r="S23" s="2565">
        <f>SUM(S19:T22)</f>
        <v>650000</v>
      </c>
      <c r="T23" s="2566"/>
      <c r="V23" s="3832">
        <f>SUM(V19:V22)</f>
        <v>0</v>
      </c>
      <c r="W23" s="3833"/>
      <c r="X23" s="3834"/>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303738.31775700935</v>
      </c>
      <c r="G25" s="3750">
        <v>1300000</v>
      </c>
      <c r="H25" s="3751"/>
      <c r="J25" s="3750">
        <v>1235000</v>
      </c>
      <c r="K25" s="3751"/>
      <c r="L25" s="2365"/>
      <c r="M25" s="3835"/>
      <c r="N25" s="3836"/>
      <c r="P25" s="3835"/>
      <c r="Q25" s="3836"/>
      <c r="S25" s="3750">
        <v>65000</v>
      </c>
      <c r="T25" s="3751"/>
      <c r="V25" s="3822"/>
      <c r="W25" s="3823"/>
      <c r="X25" s="3824"/>
    </row>
    <row r="26" spans="2:24" s="293" customFormat="1" ht="12.6" customHeight="1" thickBot="1">
      <c r="B26" s="293" t="s">
        <v>1100</v>
      </c>
      <c r="G26" s="3828"/>
      <c r="H26" s="3829"/>
      <c r="J26" s="3828"/>
      <c r="K26" s="3829"/>
      <c r="L26" s="347"/>
      <c r="M26" s="2568"/>
      <c r="N26" s="2568"/>
      <c r="P26" s="2568"/>
      <c r="Q26" s="2568"/>
      <c r="S26" s="3828"/>
      <c r="T26" s="3829"/>
      <c r="V26" s="3822"/>
      <c r="W26" s="3830"/>
      <c r="X26" s="3831"/>
    </row>
    <row r="27" spans="2:24" s="293" customFormat="1" ht="12.6" customHeight="1" thickTop="1">
      <c r="F27" s="344" t="s">
        <v>187</v>
      </c>
      <c r="G27" s="2565">
        <f>SUM(G25:H26)</f>
        <v>1300000</v>
      </c>
      <c r="H27" s="2566"/>
      <c r="J27" s="2565">
        <f>SUM(J25:K26)</f>
        <v>1235000</v>
      </c>
      <c r="K27" s="2566"/>
      <c r="L27" s="346"/>
      <c r="M27" s="2565">
        <f>M25</f>
        <v>0</v>
      </c>
      <c r="N27" s="2566"/>
      <c r="P27" s="2565">
        <f>P25</f>
        <v>0</v>
      </c>
      <c r="Q27" s="2566"/>
      <c r="S27" s="2565">
        <f>SUM(S25:T26)</f>
        <v>65000</v>
      </c>
      <c r="T27" s="2566"/>
      <c r="V27" s="3832">
        <f>SUM(V25:V26)</f>
        <v>0</v>
      </c>
      <c r="W27" s="3833"/>
      <c r="X27" s="3834"/>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0">
        <v>4334400</v>
      </c>
      <c r="H29" s="3751"/>
      <c r="J29" s="3750">
        <v>4334400</v>
      </c>
      <c r="K29" s="3751"/>
      <c r="L29" s="2365"/>
      <c r="M29" s="3750"/>
      <c r="N29" s="3751"/>
      <c r="P29" s="3750"/>
      <c r="Q29" s="3751"/>
      <c r="S29" s="3750"/>
      <c r="T29" s="3751"/>
      <c r="V29" s="3822"/>
      <c r="W29" s="3823"/>
      <c r="X29" s="3824"/>
    </row>
    <row r="30" spans="2:24" s="293" customFormat="1" ht="12.6" customHeight="1">
      <c r="B30" s="293" t="s">
        <v>1103</v>
      </c>
      <c r="G30" s="3759"/>
      <c r="H30" s="3760"/>
      <c r="J30" s="3759"/>
      <c r="K30" s="3760"/>
      <c r="L30" s="2365"/>
      <c r="M30" s="3759"/>
      <c r="N30" s="3760"/>
      <c r="P30" s="3759"/>
      <c r="Q30" s="3760"/>
      <c r="S30" s="3759"/>
      <c r="T30" s="3760"/>
      <c r="V30" s="3822"/>
      <c r="W30" s="3823"/>
      <c r="X30" s="3824"/>
    </row>
    <row r="31" spans="2:24" s="293" customFormat="1" ht="12.6" customHeight="1">
      <c r="B31" s="293" t="s">
        <v>2688</v>
      </c>
      <c r="G31" s="3759"/>
      <c r="H31" s="3760"/>
      <c r="J31" s="3759"/>
      <c r="K31" s="3760"/>
      <c r="L31" s="2365"/>
      <c r="M31" s="3759"/>
      <c r="N31" s="3760"/>
      <c r="P31" s="3759"/>
      <c r="Q31" s="3760"/>
      <c r="S31" s="3759"/>
      <c r="T31" s="3760"/>
      <c r="V31" s="3822"/>
      <c r="W31" s="3823"/>
      <c r="X31" s="3824"/>
    </row>
    <row r="32" spans="2:24" ht="12.6" customHeight="1" thickBot="1">
      <c r="B32" s="293" t="s">
        <v>2687</v>
      </c>
      <c r="G32" s="3828"/>
      <c r="H32" s="3829"/>
      <c r="I32" s="293"/>
      <c r="J32" s="3828"/>
      <c r="K32" s="3829"/>
      <c r="L32" s="2365"/>
      <c r="M32" s="3828"/>
      <c r="N32" s="3829"/>
      <c r="O32" s="293"/>
      <c r="P32" s="3828"/>
      <c r="Q32" s="3829"/>
      <c r="R32" s="293"/>
      <c r="S32" s="3828"/>
      <c r="T32" s="3829"/>
      <c r="V32" s="3822"/>
      <c r="W32" s="3830"/>
      <c r="X32" s="3831"/>
    </row>
    <row r="33" spans="1:24" s="293" customFormat="1" ht="12.6" customHeight="1" thickTop="1">
      <c r="C33" s="2570"/>
      <c r="D33" s="2570"/>
      <c r="E33" s="2369"/>
      <c r="F33" s="344" t="s">
        <v>187</v>
      </c>
      <c r="G33" s="2565">
        <f>SUM(G29:H32)</f>
        <v>4334400</v>
      </c>
      <c r="H33" s="2566"/>
      <c r="J33" s="2565">
        <f>SUM(J29:K32)</f>
        <v>4334400</v>
      </c>
      <c r="K33" s="2566"/>
      <c r="L33" s="2365"/>
      <c r="M33" s="2565">
        <f>SUM(M29:N32)</f>
        <v>0</v>
      </c>
      <c r="N33" s="2566"/>
      <c r="P33" s="2565">
        <f>SUM(P29:Q32)</f>
        <v>0</v>
      </c>
      <c r="Q33" s="2566"/>
      <c r="S33" s="2565">
        <f>SUM(S29:T32)</f>
        <v>0</v>
      </c>
      <c r="T33" s="2566"/>
      <c r="V33" s="3832">
        <f>SUM(V29:V32)</f>
        <v>0</v>
      </c>
      <c r="W33" s="3833"/>
      <c r="X33" s="3834"/>
    </row>
    <row r="34" spans="1:24" s="293" customFormat="1" ht="12" customHeight="1">
      <c r="B34" s="295" t="s">
        <v>2283</v>
      </c>
      <c r="D34" s="2569" t="s">
        <v>3547</v>
      </c>
      <c r="E34" s="256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338064</v>
      </c>
      <c r="F35" s="934">
        <f>IF(($G$27+$G$33)=0,0,G35/($G$27+$G$33))</f>
        <v>0.06</v>
      </c>
      <c r="G35" s="3750">
        <v>338064</v>
      </c>
      <c r="H35" s="3751"/>
      <c r="I35" s="311"/>
      <c r="J35" s="3750">
        <v>338064</v>
      </c>
      <c r="K35" s="3751"/>
      <c r="L35" s="2365"/>
      <c r="M35" s="3750"/>
      <c r="N35" s="3751"/>
      <c r="P35" s="3750"/>
      <c r="Q35" s="3751"/>
      <c r="S35" s="3750"/>
      <c r="T35" s="3751"/>
      <c r="V35" s="3822"/>
      <c r="W35" s="3823"/>
      <c r="X35" s="3824"/>
    </row>
    <row r="36" spans="1:24" s="293" customFormat="1" ht="12.6" customHeight="1">
      <c r="B36" s="293" t="s">
        <v>2650</v>
      </c>
      <c r="D36" s="936">
        <f>'DCA Underwriting Assumptions'!$R$78</f>
        <v>0.02</v>
      </c>
      <c r="E36" s="937">
        <f>D36*(G27+G33)</f>
        <v>112688</v>
      </c>
      <c r="F36" s="934">
        <f>IF(($G$27+$G$33)=0,0,G36/($G$27+$G$33))</f>
        <v>0.02</v>
      </c>
      <c r="G36" s="3759">
        <v>112688</v>
      </c>
      <c r="H36" s="3760"/>
      <c r="I36" s="311"/>
      <c r="J36" s="3759">
        <v>112688</v>
      </c>
      <c r="K36" s="3760"/>
      <c r="L36" s="2365"/>
      <c r="M36" s="3759"/>
      <c r="N36" s="3760"/>
      <c r="P36" s="3759"/>
      <c r="Q36" s="3760"/>
      <c r="S36" s="3759"/>
      <c r="T36" s="3760"/>
      <c r="V36" s="3822"/>
      <c r="W36" s="3823"/>
      <c r="X36" s="3824"/>
    </row>
    <row r="37" spans="1:24" s="293" customFormat="1" ht="12.6" customHeight="1" thickBot="1">
      <c r="B37" s="293" t="s">
        <v>2651</v>
      </c>
      <c r="D37" s="940">
        <f>'DCA Underwriting Assumptions'!$R$79</f>
        <v>0.06</v>
      </c>
      <c r="E37" s="941">
        <f>D37*(G27+G33)</f>
        <v>338064</v>
      </c>
      <c r="F37" s="1144">
        <f>IF(($G$27+$G$33)=0,0,G37/($G$27+$G$33))</f>
        <v>0.06</v>
      </c>
      <c r="G37" s="3828">
        <v>338064</v>
      </c>
      <c r="H37" s="3829"/>
      <c r="I37" s="311"/>
      <c r="J37" s="3828">
        <v>338064</v>
      </c>
      <c r="K37" s="3829"/>
      <c r="L37" s="2365"/>
      <c r="M37" s="3828"/>
      <c r="N37" s="3829"/>
      <c r="P37" s="3828"/>
      <c r="Q37" s="3829"/>
      <c r="S37" s="3828"/>
      <c r="T37" s="3829"/>
      <c r="V37" s="3822"/>
      <c r="W37" s="3830"/>
      <c r="X37" s="3831"/>
    </row>
    <row r="38" spans="1:24" s="293" customFormat="1" ht="12.6" customHeight="1" thickTop="1">
      <c r="B38" s="172" t="s">
        <v>3548</v>
      </c>
      <c r="D38" s="938">
        <f>SUM(D35:D37)</f>
        <v>0.14000000000000001</v>
      </c>
      <c r="E38" s="939">
        <f>SUM(E35:E37)</f>
        <v>788816</v>
      </c>
      <c r="F38" s="921" t="s">
        <v>187</v>
      </c>
      <c r="G38" s="2565">
        <f>SUM(G35:H37)</f>
        <v>788816</v>
      </c>
      <c r="H38" s="2566"/>
      <c r="J38" s="2565">
        <f>SUM(J35:K37)</f>
        <v>788816</v>
      </c>
      <c r="K38" s="2566"/>
      <c r="L38" s="346"/>
      <c r="M38" s="2565">
        <f>SUM(M35:N37)</f>
        <v>0</v>
      </c>
      <c r="N38" s="2566"/>
      <c r="P38" s="2565">
        <f>SUM(P35:Q37)</f>
        <v>0</v>
      </c>
      <c r="Q38" s="2566"/>
      <c r="S38" s="2565">
        <f>SUM(S35:T37)</f>
        <v>0</v>
      </c>
      <c r="T38" s="2566"/>
      <c r="V38" s="3832">
        <f>SUM(V35:V37)</f>
        <v>0</v>
      </c>
      <c r="W38" s="3833"/>
      <c r="X38" s="3834"/>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5" t="s">
        <v>3531</v>
      </c>
      <c r="D41" s="3837"/>
      <c r="E41" s="3837"/>
      <c r="F41" s="3838"/>
      <c r="G41" s="3839"/>
      <c r="H41" s="3840"/>
      <c r="I41" s="293"/>
      <c r="J41" s="3839"/>
      <c r="K41" s="3840"/>
      <c r="L41" s="2365"/>
      <c r="M41" s="3839"/>
      <c r="N41" s="3840"/>
      <c r="O41" s="293"/>
      <c r="P41" s="3839"/>
      <c r="Q41" s="3840"/>
      <c r="R41" s="293"/>
      <c r="S41" s="3839"/>
      <c r="T41" s="3840"/>
      <c r="V41" s="3822"/>
      <c r="W41" s="3841"/>
      <c r="X41" s="3842"/>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3"/>
      <c r="X42" s="3844"/>
    </row>
    <row r="43" spans="1:24" s="293" customFormat="1" ht="12.6" customHeight="1">
      <c r="B43" s="495" t="s">
        <v>2659</v>
      </c>
      <c r="C43" s="496"/>
      <c r="E43" s="2575" t="s">
        <v>2658</v>
      </c>
      <c r="F43" s="2367">
        <f>B44/'Part VI-Revenues &amp; Expenses'!$P$65</f>
        <v>133817</v>
      </c>
      <c r="G43" s="2368" t="s">
        <v>2679</v>
      </c>
      <c r="H43" s="2351"/>
      <c r="I43" s="2351"/>
      <c r="J43" s="2577">
        <f>B44/'Part VI-Revenues &amp; Expenses'!$P$67</f>
        <v>133817</v>
      </c>
      <c r="K43" s="2577"/>
      <c r="L43" s="2351"/>
      <c r="M43" s="2578" t="s">
        <v>1375</v>
      </c>
      <c r="N43" s="2578"/>
      <c r="O43" s="2351"/>
      <c r="P43" s="2577">
        <f>B44/'Part I-Project Information'!$P$75</f>
        <v>127.4447619047619</v>
      </c>
      <c r="Q43" s="2577"/>
      <c r="R43" s="2351"/>
      <c r="S43" s="2579" t="s">
        <v>2686</v>
      </c>
      <c r="T43" s="2580"/>
      <c r="V43" s="1029"/>
      <c r="W43" s="3843"/>
      <c r="X43" s="3844"/>
    </row>
    <row r="44" spans="1:24" s="293" customFormat="1" ht="12.6" customHeight="1">
      <c r="B44" s="2571">
        <f>G27+G33+G38+G41</f>
        <v>6423216</v>
      </c>
      <c r="C44" s="2572"/>
      <c r="E44" s="2576"/>
      <c r="F44" s="2366">
        <f>B44/'Part VI-Revenues &amp; Expenses'!$P$168</f>
        <v>167.27125000000001</v>
      </c>
      <c r="G44" s="494" t="s">
        <v>2680</v>
      </c>
      <c r="H44" s="2361"/>
      <c r="I44" s="2361"/>
      <c r="J44" s="2573">
        <f>B44/'Part VI-Revenues &amp; Expenses'!$P$170</f>
        <v>167.27125000000001</v>
      </c>
      <c r="K44" s="2573"/>
      <c r="L44" s="2361"/>
      <c r="M44" s="2574" t="s">
        <v>2685</v>
      </c>
      <c r="N44" s="2574"/>
      <c r="O44" s="2361"/>
      <c r="P44" s="2361"/>
      <c r="Q44" s="2361"/>
      <c r="R44" s="2361"/>
      <c r="S44" s="2361"/>
      <c r="T44" s="336"/>
      <c r="V44" s="1029"/>
      <c r="W44" s="3845"/>
      <c r="X44" s="3846"/>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321160.80000000005</v>
      </c>
      <c r="F47" s="348">
        <f>G47/B44</f>
        <v>4.9999875451798598E-2</v>
      </c>
      <c r="G47" s="3839">
        <v>321160</v>
      </c>
      <c r="H47" s="3840"/>
      <c r="I47" s="293"/>
      <c r="J47" s="3839">
        <v>321160</v>
      </c>
      <c r="K47" s="3840"/>
      <c r="L47" s="2365"/>
      <c r="M47" s="3839"/>
      <c r="N47" s="3840"/>
      <c r="O47" s="293"/>
      <c r="P47" s="3839"/>
      <c r="Q47" s="3840"/>
      <c r="R47" s="293"/>
      <c r="S47" s="3839"/>
      <c r="T47" s="3840"/>
      <c r="V47" s="3822"/>
      <c r="W47" s="3823"/>
      <c r="X47" s="3824"/>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3"/>
      <c r="I49" s="2353"/>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50"/>
      <c r="H52" s="3751"/>
      <c r="J52" s="3750"/>
      <c r="K52" s="3751"/>
      <c r="L52" s="2365"/>
      <c r="M52" s="3750"/>
      <c r="N52" s="3751"/>
      <c r="P52" s="3750"/>
      <c r="Q52" s="3751"/>
      <c r="S52" s="3750"/>
      <c r="T52" s="3751"/>
      <c r="V52" s="3847"/>
      <c r="W52" s="3823"/>
      <c r="X52" s="3824"/>
    </row>
    <row r="53" spans="1:24" s="293" customFormat="1" ht="12" customHeight="1">
      <c r="B53" s="293" t="s">
        <v>3550</v>
      </c>
      <c r="G53" s="3759"/>
      <c r="H53" s="3760"/>
      <c r="J53" s="3759"/>
      <c r="K53" s="3760"/>
      <c r="L53" s="2365"/>
      <c r="M53" s="3759"/>
      <c r="N53" s="3760"/>
      <c r="P53" s="3759"/>
      <c r="Q53" s="3760"/>
      <c r="S53" s="3759"/>
      <c r="T53" s="3760"/>
      <c r="V53" s="3847"/>
      <c r="W53" s="3823"/>
      <c r="X53" s="3824"/>
    </row>
    <row r="54" spans="1:24" s="293" customFormat="1" ht="12" customHeight="1">
      <c r="B54" s="293" t="s">
        <v>2286</v>
      </c>
      <c r="G54" s="3759">
        <v>67142</v>
      </c>
      <c r="H54" s="3760"/>
      <c r="J54" s="3759">
        <v>67142</v>
      </c>
      <c r="K54" s="3760"/>
      <c r="L54" s="2365"/>
      <c r="M54" s="3759"/>
      <c r="N54" s="3760"/>
      <c r="P54" s="3759"/>
      <c r="Q54" s="3760"/>
      <c r="S54" s="3759"/>
      <c r="T54" s="3760"/>
      <c r="V54" s="3847"/>
      <c r="W54" s="3823"/>
      <c r="X54" s="3824"/>
    </row>
    <row r="55" spans="1:24" s="293" customFormat="1" ht="12" customHeight="1">
      <c r="B55" s="293" t="s">
        <v>2287</v>
      </c>
      <c r="G55" s="3759">
        <v>227286</v>
      </c>
      <c r="H55" s="3760"/>
      <c r="J55" s="3759">
        <v>227286</v>
      </c>
      <c r="K55" s="3760"/>
      <c r="L55" s="2365"/>
      <c r="M55" s="3759"/>
      <c r="N55" s="3760"/>
      <c r="P55" s="3759"/>
      <c r="Q55" s="3760"/>
      <c r="S55" s="3759"/>
      <c r="T55" s="3760"/>
      <c r="V55" s="3847"/>
      <c r="W55" s="3823"/>
      <c r="X55" s="3824"/>
    </row>
    <row r="56" spans="1:24" s="293" customFormat="1" ht="12" customHeight="1">
      <c r="B56" s="293" t="s">
        <v>2288</v>
      </c>
      <c r="G56" s="3759">
        <v>30000</v>
      </c>
      <c r="H56" s="3760"/>
      <c r="J56" s="3759">
        <v>30000</v>
      </c>
      <c r="K56" s="3760"/>
      <c r="L56" s="2365"/>
      <c r="M56" s="3759"/>
      <c r="N56" s="3760"/>
      <c r="P56" s="3759"/>
      <c r="Q56" s="3760"/>
      <c r="S56" s="3759"/>
      <c r="T56" s="3760"/>
      <c r="V56" s="3847"/>
      <c r="W56" s="3823"/>
      <c r="X56" s="3824"/>
    </row>
    <row r="57" spans="1:24" s="293" customFormat="1" ht="12" customHeight="1">
      <c r="B57" s="293" t="s">
        <v>2609</v>
      </c>
      <c r="G57" s="3759"/>
      <c r="H57" s="3760"/>
      <c r="J57" s="3759"/>
      <c r="K57" s="3760"/>
      <c r="L57" s="2365"/>
      <c r="M57" s="3759"/>
      <c r="N57" s="3760"/>
      <c r="P57" s="3759"/>
      <c r="Q57" s="3760"/>
      <c r="S57" s="3759"/>
      <c r="T57" s="3760"/>
      <c r="V57" s="3847"/>
      <c r="W57" s="3823"/>
      <c r="X57" s="3824"/>
    </row>
    <row r="58" spans="1:24" s="293" customFormat="1" ht="12" customHeight="1">
      <c r="B58" s="293" t="s">
        <v>705</v>
      </c>
      <c r="G58" s="3759">
        <v>10000</v>
      </c>
      <c r="H58" s="3760"/>
      <c r="J58" s="3759">
        <v>10000</v>
      </c>
      <c r="K58" s="3760"/>
      <c r="L58" s="2365"/>
      <c r="M58" s="3759"/>
      <c r="N58" s="3760"/>
      <c r="P58" s="3759"/>
      <c r="Q58" s="3760"/>
      <c r="S58" s="3759"/>
      <c r="T58" s="3760"/>
      <c r="V58" s="3847"/>
      <c r="W58" s="3823"/>
      <c r="X58" s="3824"/>
    </row>
    <row r="59" spans="1:24" s="293" customFormat="1" ht="12" customHeight="1">
      <c r="B59" s="293" t="s">
        <v>2289</v>
      </c>
      <c r="G59" s="3759">
        <v>25000</v>
      </c>
      <c r="H59" s="3760"/>
      <c r="J59" s="3759">
        <v>25000</v>
      </c>
      <c r="K59" s="3760"/>
      <c r="L59" s="2365"/>
      <c r="M59" s="3759"/>
      <c r="N59" s="3760"/>
      <c r="P59" s="3759"/>
      <c r="Q59" s="3760"/>
      <c r="S59" s="3759"/>
      <c r="T59" s="3760"/>
      <c r="V59" s="3847"/>
      <c r="W59" s="3823"/>
      <c r="X59" s="3824"/>
    </row>
    <row r="60" spans="1:24" s="293" customFormat="1" ht="12" customHeight="1">
      <c r="B60" s="293" t="s">
        <v>1250</v>
      </c>
      <c r="G60" s="3759">
        <v>30000</v>
      </c>
      <c r="H60" s="3760"/>
      <c r="J60" s="3759">
        <v>24000</v>
      </c>
      <c r="K60" s="3760"/>
      <c r="L60" s="2365"/>
      <c r="M60" s="3759"/>
      <c r="N60" s="3760"/>
      <c r="P60" s="3759"/>
      <c r="Q60" s="3760"/>
      <c r="S60" s="3759">
        <v>6000</v>
      </c>
      <c r="T60" s="3760"/>
      <c r="V60" s="3847"/>
      <c r="W60" s="3823"/>
      <c r="X60" s="3824"/>
    </row>
    <row r="61" spans="1:24" s="293" customFormat="1" ht="12" customHeight="1">
      <c r="B61" s="350" t="s">
        <v>1131</v>
      </c>
      <c r="D61" s="348"/>
      <c r="E61" s="348"/>
      <c r="F61" s="349"/>
      <c r="G61" s="3759"/>
      <c r="H61" s="3760"/>
      <c r="I61" s="311"/>
      <c r="J61" s="3759"/>
      <c r="K61" s="3760"/>
      <c r="L61" s="2365"/>
      <c r="M61" s="3759"/>
      <c r="N61" s="3760"/>
      <c r="P61" s="3759"/>
      <c r="Q61" s="3760"/>
      <c r="S61" s="3759"/>
      <c r="T61" s="3760"/>
      <c r="V61" s="3847"/>
      <c r="W61" s="3823"/>
      <c r="X61" s="3824"/>
    </row>
    <row r="62" spans="1:24" s="293" customFormat="1" ht="12" customHeight="1">
      <c r="A62" s="370" t="str">
        <f>IF(AND(G62&gt;0,OR(C62="",C62="&lt;Enter detailed description here; use Comments section if needed&gt;")),"X","")</f>
        <v/>
      </c>
      <c r="B62" s="293" t="s">
        <v>723</v>
      </c>
      <c r="C62" s="3848" t="s">
        <v>3531</v>
      </c>
      <c r="D62" s="3848"/>
      <c r="E62" s="3848"/>
      <c r="F62" s="3849"/>
      <c r="G62" s="3759"/>
      <c r="H62" s="3760"/>
      <c r="J62" s="3759"/>
      <c r="K62" s="3760"/>
      <c r="L62" s="2365"/>
      <c r="M62" s="3759"/>
      <c r="N62" s="3760"/>
      <c r="P62" s="3759"/>
      <c r="Q62" s="3760"/>
      <c r="S62" s="3759"/>
      <c r="T62" s="3760"/>
      <c r="U62" s="369" t="str">
        <f>IF(AND(G62&gt;0,OR(C62="",C62="&lt;Enter detailed description here; use Comments section if needed&gt;")),"NO DESCRIPTION PROVIDED - please enter detailed description in Other box at left; use Comments section below if needed.","")</f>
        <v/>
      </c>
      <c r="V62" s="3847"/>
      <c r="W62" s="3823"/>
      <c r="X62" s="3824"/>
    </row>
    <row r="63" spans="1:24" s="293" customFormat="1" ht="12" customHeight="1" thickBot="1">
      <c r="A63" s="370" t="str">
        <f>IF(AND(G63&gt;0,OR(C63="",C63="&lt;Enter detailed description here; use Comments section if needed&gt;")),"X","")</f>
        <v/>
      </c>
      <c r="B63" s="293" t="s">
        <v>723</v>
      </c>
      <c r="C63" s="3850" t="s">
        <v>3531</v>
      </c>
      <c r="D63" s="3850"/>
      <c r="E63" s="3850"/>
      <c r="F63" s="3851"/>
      <c r="G63" s="3768"/>
      <c r="H63" s="3769"/>
      <c r="J63" s="3768"/>
      <c r="K63" s="3769"/>
      <c r="L63" s="2365"/>
      <c r="M63" s="3768"/>
      <c r="N63" s="3769"/>
      <c r="P63" s="3768"/>
      <c r="Q63" s="3769"/>
      <c r="S63" s="3768"/>
      <c r="T63" s="3769"/>
      <c r="U63" s="369" t="str">
        <f>IF(AND(G63&gt;0,OR(C63="",C63="&lt;Enter detailed description here; use Comments section if needed&gt;")),"NO DESCRIPTION PROVIDED - please enter detailed description in Other box at left; use Comments section below if needed.","")</f>
        <v/>
      </c>
      <c r="V63" s="3847"/>
      <c r="W63" s="3830"/>
      <c r="X63" s="3831"/>
    </row>
    <row r="64" spans="1:24" s="293" customFormat="1" ht="12" customHeight="1" thickTop="1">
      <c r="F64" s="344" t="s">
        <v>187</v>
      </c>
      <c r="G64" s="2565">
        <f>SUM(G52:H63)</f>
        <v>389428</v>
      </c>
      <c r="H64" s="2566"/>
      <c r="J64" s="2565">
        <f>SUM(J52:K63)</f>
        <v>383428</v>
      </c>
      <c r="K64" s="2566"/>
      <c r="L64" s="346"/>
      <c r="M64" s="2565">
        <f>SUM(M52:N63)</f>
        <v>0</v>
      </c>
      <c r="N64" s="2566"/>
      <c r="P64" s="2565">
        <f>SUM(P52:Q63)</f>
        <v>0</v>
      </c>
      <c r="Q64" s="2566"/>
      <c r="S64" s="2565">
        <f>SUM(S52:T63)</f>
        <v>6000</v>
      </c>
      <c r="T64" s="2566"/>
      <c r="V64" s="3852">
        <f>SUM(V52:V63)</f>
        <v>0</v>
      </c>
      <c r="W64" s="3833"/>
      <c r="X64" s="3834"/>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0">
        <v>144000</v>
      </c>
      <c r="H66" s="3751"/>
      <c r="J66" s="3750">
        <v>144000</v>
      </c>
      <c r="K66" s="3751"/>
      <c r="L66" s="2365"/>
      <c r="M66" s="3750"/>
      <c r="N66" s="3751"/>
      <c r="P66" s="3750"/>
      <c r="Q66" s="3751"/>
      <c r="S66" s="3750"/>
      <c r="T66" s="3751"/>
      <c r="V66" s="3822"/>
      <c r="W66" s="3823"/>
      <c r="X66" s="3824"/>
    </row>
    <row r="67" spans="1:24" s="293" customFormat="1" ht="12" customHeight="1">
      <c r="B67" s="293" t="s">
        <v>469</v>
      </c>
      <c r="G67" s="3759">
        <v>36000</v>
      </c>
      <c r="H67" s="3760"/>
      <c r="J67" s="3759">
        <v>36000</v>
      </c>
      <c r="K67" s="3760"/>
      <c r="L67" s="2365"/>
      <c r="M67" s="3759"/>
      <c r="N67" s="3760"/>
      <c r="P67" s="3759"/>
      <c r="Q67" s="3760"/>
      <c r="S67" s="3759"/>
      <c r="T67" s="3760"/>
      <c r="V67" s="3822"/>
      <c r="W67" s="3823"/>
      <c r="X67" s="3824"/>
    </row>
    <row r="68" spans="1:24" s="293" customFormat="1" ht="12" customHeight="1">
      <c r="B68" s="293" t="s">
        <v>1105</v>
      </c>
      <c r="D68" s="305" t="s">
        <v>3632</v>
      </c>
      <c r="E68" s="1021">
        <f>'DCA Underwriting Assumptions'!R80</f>
        <v>20000</v>
      </c>
      <c r="F68" s="1022" t="str">
        <f>IF(G68&gt;E68,"CHECK!!!","")</f>
        <v/>
      </c>
      <c r="G68" s="3759">
        <v>20000</v>
      </c>
      <c r="H68" s="3760"/>
      <c r="J68" s="3759">
        <v>20000</v>
      </c>
      <c r="K68" s="3760"/>
      <c r="L68" s="2365"/>
      <c r="M68" s="3759"/>
      <c r="N68" s="3760"/>
      <c r="P68" s="3759"/>
      <c r="Q68" s="3760"/>
      <c r="S68" s="3759"/>
      <c r="T68" s="3760"/>
      <c r="V68" s="3822"/>
      <c r="W68" s="3823"/>
      <c r="X68" s="3824"/>
    </row>
    <row r="69" spans="1:24" s="293" customFormat="1" ht="12" customHeight="1">
      <c r="B69" s="293" t="s">
        <v>1106</v>
      </c>
      <c r="G69" s="3759">
        <v>20000</v>
      </c>
      <c r="H69" s="3760"/>
      <c r="J69" s="3759">
        <v>20000</v>
      </c>
      <c r="K69" s="3760"/>
      <c r="L69" s="2365"/>
      <c r="M69" s="3759"/>
      <c r="N69" s="3760"/>
      <c r="P69" s="3759"/>
      <c r="Q69" s="3760"/>
      <c r="S69" s="3759"/>
      <c r="T69" s="3760"/>
      <c r="V69" s="3822"/>
      <c r="W69" s="3823"/>
      <c r="X69" s="3824"/>
    </row>
    <row r="70" spans="1:24" s="293" customFormat="1" ht="12" customHeight="1">
      <c r="B70" s="293" t="s">
        <v>1107</v>
      </c>
      <c r="G70" s="3759">
        <v>25000</v>
      </c>
      <c r="H70" s="3760"/>
      <c r="J70" s="3759">
        <v>25000</v>
      </c>
      <c r="K70" s="3760"/>
      <c r="L70" s="2365"/>
      <c r="M70" s="3759"/>
      <c r="N70" s="3760"/>
      <c r="P70" s="3759"/>
      <c r="Q70" s="3760"/>
      <c r="S70" s="3759"/>
      <c r="T70" s="3760"/>
      <c r="V70" s="3822"/>
      <c r="W70" s="3823"/>
      <c r="X70" s="3824"/>
    </row>
    <row r="71" spans="1:24" s="293" customFormat="1" ht="12" customHeight="1">
      <c r="B71" s="293" t="s">
        <v>1108</v>
      </c>
      <c r="G71" s="3759">
        <v>30000</v>
      </c>
      <c r="H71" s="3760"/>
      <c r="J71" s="3759">
        <v>30000</v>
      </c>
      <c r="K71" s="3760"/>
      <c r="L71" s="2365"/>
      <c r="M71" s="3759"/>
      <c r="N71" s="3760"/>
      <c r="P71" s="3759"/>
      <c r="Q71" s="3760"/>
      <c r="S71" s="3759"/>
      <c r="T71" s="3760"/>
      <c r="V71" s="3822"/>
      <c r="W71" s="3823"/>
      <c r="X71" s="3824"/>
    </row>
    <row r="72" spans="1:24" s="293" customFormat="1" ht="12" customHeight="1">
      <c r="B72" s="293" t="s">
        <v>470</v>
      </c>
      <c r="G72" s="3759">
        <v>75000</v>
      </c>
      <c r="H72" s="3760"/>
      <c r="J72" s="3759">
        <v>75000</v>
      </c>
      <c r="K72" s="3760"/>
      <c r="L72" s="2365"/>
      <c r="M72" s="3759"/>
      <c r="N72" s="3760"/>
      <c r="P72" s="3759"/>
      <c r="Q72" s="3760"/>
      <c r="S72" s="3759"/>
      <c r="T72" s="3760"/>
      <c r="V72" s="3822"/>
      <c r="W72" s="3823"/>
      <c r="X72" s="3824"/>
    </row>
    <row r="73" spans="1:24" s="293" customFormat="1" ht="12" customHeight="1">
      <c r="B73" s="293" t="s">
        <v>471</v>
      </c>
      <c r="G73" s="3759">
        <v>30000</v>
      </c>
      <c r="H73" s="3760"/>
      <c r="J73" s="3759">
        <v>15000</v>
      </c>
      <c r="K73" s="3760"/>
      <c r="L73" s="2365"/>
      <c r="M73" s="3759"/>
      <c r="N73" s="3760"/>
      <c r="P73" s="3759"/>
      <c r="Q73" s="3760"/>
      <c r="S73" s="3759">
        <v>15000</v>
      </c>
      <c r="T73" s="3760"/>
      <c r="V73" s="3822"/>
      <c r="W73" s="3823"/>
      <c r="X73" s="3824"/>
    </row>
    <row r="74" spans="1:24" s="293" customFormat="1" ht="12" customHeight="1">
      <c r="B74" s="293" t="s">
        <v>2000</v>
      </c>
      <c r="G74" s="3759">
        <v>15000</v>
      </c>
      <c r="H74" s="3760"/>
      <c r="J74" s="3759">
        <v>15000</v>
      </c>
      <c r="K74" s="3760"/>
      <c r="L74" s="2365"/>
      <c r="M74" s="3759"/>
      <c r="N74" s="3760"/>
      <c r="P74" s="3759"/>
      <c r="Q74" s="3760"/>
      <c r="S74" s="3759"/>
      <c r="T74" s="3760"/>
      <c r="V74" s="3822"/>
      <c r="W74" s="3823"/>
      <c r="X74" s="3824"/>
    </row>
    <row r="75" spans="1:24" s="293" customFormat="1" ht="12" customHeight="1">
      <c r="B75" s="293" t="s">
        <v>1251</v>
      </c>
      <c r="G75" s="3759">
        <v>10000</v>
      </c>
      <c r="H75" s="3760"/>
      <c r="J75" s="3759">
        <v>10000</v>
      </c>
      <c r="K75" s="3760"/>
      <c r="L75" s="2365"/>
      <c r="M75" s="3759"/>
      <c r="N75" s="3760"/>
      <c r="P75" s="3759"/>
      <c r="Q75" s="3760"/>
      <c r="S75" s="3759"/>
      <c r="T75" s="3760"/>
      <c r="V75" s="3822"/>
      <c r="W75" s="3823"/>
      <c r="X75" s="3824"/>
    </row>
    <row r="76" spans="1:24" s="293" customFormat="1" ht="12" customHeight="1" thickBot="1">
      <c r="A76" s="370" t="str">
        <f>IF(AND(G76&gt;0,OR(C76="",C76="&lt;Enter detailed description here; use Comments section if needed&gt;")),"X","")</f>
        <v/>
      </c>
      <c r="B76" s="293" t="s">
        <v>723</v>
      </c>
      <c r="C76" s="3825" t="s">
        <v>3531</v>
      </c>
      <c r="D76" s="3825"/>
      <c r="E76" s="3825"/>
      <c r="F76" s="3826"/>
      <c r="G76" s="3768"/>
      <c r="H76" s="3769"/>
      <c r="J76" s="3768"/>
      <c r="K76" s="3769"/>
      <c r="L76" s="2365"/>
      <c r="M76" s="3768"/>
      <c r="N76" s="3769"/>
      <c r="P76" s="3768"/>
      <c r="Q76" s="3769"/>
      <c r="S76" s="3768"/>
      <c r="T76" s="3769"/>
      <c r="U76" s="369" t="str">
        <f>IF(AND(G76&gt;0,OR(C76="",C76="&lt;Enter detailed description here; use Comments section if needed&gt;")),"NO DESCRIPTION PROVIDED - please enter detailed description in Other box at left; use Comments section below if needed.","")</f>
        <v/>
      </c>
      <c r="V76" s="3822"/>
      <c r="W76" s="3830"/>
      <c r="X76" s="3831"/>
    </row>
    <row r="77" spans="1:24" s="293" customFormat="1" ht="12" customHeight="1" thickTop="1">
      <c r="F77" s="344" t="s">
        <v>187</v>
      </c>
      <c r="G77" s="2565">
        <f>SUM(G66:H76)</f>
        <v>405000</v>
      </c>
      <c r="H77" s="2566"/>
      <c r="J77" s="2565">
        <f>SUM(J66:K76)</f>
        <v>390000</v>
      </c>
      <c r="K77" s="2566"/>
      <c r="L77" s="346"/>
      <c r="M77" s="2565">
        <f>SUM(M66:N76)</f>
        <v>0</v>
      </c>
      <c r="N77" s="2566"/>
      <c r="P77" s="2565">
        <f>SUM(P66:Q76)</f>
        <v>0</v>
      </c>
      <c r="Q77" s="2566"/>
      <c r="S77" s="2565">
        <f>SUM(S66:T76)</f>
        <v>15000</v>
      </c>
      <c r="T77" s="2566"/>
      <c r="V77" s="3832">
        <f>SUM(V66:V76)</f>
        <v>0</v>
      </c>
      <c r="W77" s="3833"/>
      <c r="X77" s="3834"/>
    </row>
    <row r="78" spans="1:24" ht="12" customHeight="1">
      <c r="A78" s="293"/>
      <c r="B78" s="295" t="s">
        <v>1243</v>
      </c>
      <c r="C78" s="293"/>
      <c r="D78" s="866" t="s">
        <v>3551</v>
      </c>
      <c r="E78" s="943">
        <f>G83/'Part VI-Revenues &amp; Expenses'!$P$67</f>
        <v>2113.6458333333335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0">
        <v>30430</v>
      </c>
      <c r="H79" s="3751"/>
      <c r="J79" s="3750">
        <v>30430</v>
      </c>
      <c r="K79" s="3751"/>
      <c r="L79" s="2365"/>
      <c r="M79" s="3750"/>
      <c r="N79" s="3751"/>
      <c r="P79" s="3750"/>
      <c r="Q79" s="3751"/>
      <c r="S79" s="3750"/>
      <c r="T79" s="3751"/>
      <c r="V79" s="3822"/>
      <c r="W79" s="3823"/>
      <c r="X79" s="3824"/>
    </row>
    <row r="80" spans="1:24" s="293" customFormat="1" ht="12" customHeight="1">
      <c r="B80" s="293" t="s">
        <v>1245</v>
      </c>
      <c r="G80" s="3759"/>
      <c r="H80" s="3760"/>
      <c r="J80" s="3759"/>
      <c r="K80" s="3760"/>
      <c r="L80" s="2365"/>
      <c r="M80" s="3759"/>
      <c r="N80" s="3760"/>
      <c r="P80" s="3759"/>
      <c r="Q80" s="3760"/>
      <c r="S80" s="3759"/>
      <c r="T80" s="3760"/>
      <c r="V80" s="3822"/>
      <c r="W80" s="3823"/>
      <c r="X80" s="3824"/>
    </row>
    <row r="81" spans="1:24" s="293" customFormat="1" ht="12" customHeight="1">
      <c r="B81" s="293" t="s">
        <v>1246</v>
      </c>
      <c r="D81" s="352" t="s">
        <v>1376</v>
      </c>
      <c r="E81" s="3853" t="s">
        <v>2887</v>
      </c>
      <c r="G81" s="3759">
        <v>23425</v>
      </c>
      <c r="H81" s="3760"/>
      <c r="I81" s="311"/>
      <c r="J81" s="3759">
        <v>23425</v>
      </c>
      <c r="K81" s="3760"/>
      <c r="L81" s="2365"/>
      <c r="M81" s="3759"/>
      <c r="N81" s="3760"/>
      <c r="P81" s="3759"/>
      <c r="Q81" s="3760"/>
      <c r="S81" s="3759"/>
      <c r="T81" s="3760"/>
      <c r="V81" s="3822"/>
      <c r="W81" s="3823"/>
      <c r="X81" s="3824"/>
    </row>
    <row r="82" spans="1:24" s="293" customFormat="1" ht="12" customHeight="1" thickBot="1">
      <c r="B82" s="293" t="s">
        <v>1247</v>
      </c>
      <c r="D82" s="352" t="s">
        <v>1376</v>
      </c>
      <c r="E82" s="3854" t="s">
        <v>2887</v>
      </c>
      <c r="G82" s="3768">
        <v>47600</v>
      </c>
      <c r="H82" s="3769"/>
      <c r="I82" s="311"/>
      <c r="J82" s="3768">
        <v>47600</v>
      </c>
      <c r="K82" s="3769"/>
      <c r="L82" s="2365"/>
      <c r="M82" s="3768"/>
      <c r="N82" s="3769"/>
      <c r="P82" s="3768"/>
      <c r="Q82" s="3769"/>
      <c r="S82" s="3768"/>
      <c r="T82" s="3769"/>
      <c r="V82" s="3822"/>
      <c r="W82" s="3830"/>
      <c r="X82" s="3831"/>
    </row>
    <row r="83" spans="1:24" s="293" customFormat="1" ht="12" customHeight="1" thickTop="1">
      <c r="F83" s="344" t="s">
        <v>187</v>
      </c>
      <c r="G83" s="2565">
        <f>SUM(G79:H82)</f>
        <v>101455</v>
      </c>
      <c r="H83" s="2566"/>
      <c r="J83" s="2565">
        <f>SUM(J79:K82)</f>
        <v>101455</v>
      </c>
      <c r="K83" s="2566"/>
      <c r="L83" s="346"/>
      <c r="M83" s="2565">
        <f>SUM(M79:N82)</f>
        <v>0</v>
      </c>
      <c r="N83" s="2566"/>
      <c r="P83" s="2565">
        <f>SUM(P79:Q82)</f>
        <v>0</v>
      </c>
      <c r="Q83" s="2566"/>
      <c r="S83" s="2565">
        <f>SUM(S79:T82)</f>
        <v>0</v>
      </c>
      <c r="T83" s="2566"/>
      <c r="V83" s="3832">
        <f>SUM(V79:V82)</f>
        <v>0</v>
      </c>
      <c r="W83" s="3833"/>
      <c r="X83" s="3834"/>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0"/>
      <c r="H85" s="3751"/>
      <c r="J85" s="2581"/>
      <c r="K85" s="2581"/>
      <c r="L85" s="2365"/>
      <c r="M85" s="2581"/>
      <c r="N85" s="2581"/>
      <c r="P85" s="2581"/>
      <c r="Q85" s="2581"/>
      <c r="S85" s="3750"/>
      <c r="T85" s="3751"/>
      <c r="V85" s="3822"/>
      <c r="W85" s="3823"/>
      <c r="X85" s="3824"/>
    </row>
    <row r="86" spans="1:24" s="293" customFormat="1" ht="12" customHeight="1">
      <c r="B86" s="293" t="s">
        <v>1249</v>
      </c>
      <c r="G86" s="3759"/>
      <c r="H86" s="3760"/>
      <c r="J86" s="2581"/>
      <c r="K86" s="2581"/>
      <c r="L86" s="2365"/>
      <c r="M86" s="2581"/>
      <c r="N86" s="2581"/>
      <c r="P86" s="2581"/>
      <c r="Q86" s="2581"/>
      <c r="S86" s="3759"/>
      <c r="T86" s="3760"/>
      <c r="V86" s="3822"/>
      <c r="W86" s="3823"/>
      <c r="X86" s="3824"/>
    </row>
    <row r="87" spans="1:24" s="293" customFormat="1" ht="12" customHeight="1">
      <c r="B87" s="293" t="s">
        <v>1250</v>
      </c>
      <c r="G87" s="3759"/>
      <c r="H87" s="3760"/>
      <c r="J87" s="2581"/>
      <c r="K87" s="2581"/>
      <c r="L87" s="2365"/>
      <c r="M87" s="2581"/>
      <c r="N87" s="2581"/>
      <c r="P87" s="2581"/>
      <c r="Q87" s="2581"/>
      <c r="S87" s="3759"/>
      <c r="T87" s="3760"/>
      <c r="V87" s="3822"/>
      <c r="W87" s="3823"/>
      <c r="X87" s="3824"/>
    </row>
    <row r="88" spans="1:24" s="293" customFormat="1" ht="12" customHeight="1">
      <c r="B88" s="293" t="s">
        <v>1252</v>
      </c>
      <c r="G88" s="3759"/>
      <c r="H88" s="3760"/>
      <c r="J88" s="2581"/>
      <c r="K88" s="2581"/>
      <c r="L88" s="2365"/>
      <c r="M88" s="2581"/>
      <c r="N88" s="2581"/>
      <c r="P88" s="2581"/>
      <c r="Q88" s="2581"/>
      <c r="S88" s="3759"/>
      <c r="T88" s="3760"/>
      <c r="V88" s="3822"/>
      <c r="W88" s="3823"/>
      <c r="X88" s="3824"/>
    </row>
    <row r="89" spans="1:24" s="293" customFormat="1" ht="12" customHeight="1">
      <c r="B89" s="293" t="s">
        <v>2239</v>
      </c>
      <c r="G89" s="3759"/>
      <c r="H89" s="3760"/>
      <c r="J89" s="2581"/>
      <c r="K89" s="2581"/>
      <c r="L89" s="2365"/>
      <c r="M89" s="2581"/>
      <c r="N89" s="2581"/>
      <c r="P89" s="2581"/>
      <c r="Q89" s="2581"/>
      <c r="S89" s="3759"/>
      <c r="T89" s="3760"/>
      <c r="V89" s="3822"/>
      <c r="W89" s="3823"/>
      <c r="X89" s="3824"/>
    </row>
    <row r="90" spans="1:24" s="293" customFormat="1" ht="12" customHeight="1" thickBot="1">
      <c r="A90" s="370" t="str">
        <f>IF(AND(G90&gt;0,OR(C90="",C90="&lt;Enter detailed description here; use Comments section if needed&gt;")),"X","")</f>
        <v/>
      </c>
      <c r="B90" s="293" t="s">
        <v>723</v>
      </c>
      <c r="C90" s="3825" t="s">
        <v>3531</v>
      </c>
      <c r="D90" s="3825"/>
      <c r="E90" s="3825"/>
      <c r="F90" s="3826"/>
      <c r="G90" s="3768"/>
      <c r="H90" s="3769"/>
      <c r="J90" s="2581"/>
      <c r="K90" s="2581"/>
      <c r="L90" s="2365"/>
      <c r="M90" s="2581"/>
      <c r="N90" s="2581"/>
      <c r="P90" s="2581"/>
      <c r="Q90" s="2581"/>
      <c r="S90" s="3768"/>
      <c r="T90" s="3769"/>
      <c r="U90" s="369" t="str">
        <f>IF(AND(G90&gt;0,OR(C90="",C90="&lt;Enter detailed description here; use Comments section if needed&gt;")),"NO DESCRIPTION PROVIDED - please enter detailed description in Other box at left; use Comments section below if needed.","")</f>
        <v/>
      </c>
      <c r="V90" s="3822"/>
      <c r="W90" s="3830"/>
      <c r="X90" s="3831"/>
    </row>
    <row r="91" spans="1:24" s="293" customFormat="1" ht="12" customHeight="1" thickTop="1">
      <c r="F91" s="344" t="s">
        <v>187</v>
      </c>
      <c r="G91" s="2565">
        <f>SUM(G85:H90)</f>
        <v>0</v>
      </c>
      <c r="H91" s="2566"/>
      <c r="J91" s="2581"/>
      <c r="K91" s="2581"/>
      <c r="L91" s="346"/>
      <c r="M91" s="2581"/>
      <c r="N91" s="2581"/>
      <c r="P91" s="2581"/>
      <c r="Q91" s="2581"/>
      <c r="S91" s="2565">
        <f>SUM(S85:T90)</f>
        <v>0</v>
      </c>
      <c r="T91" s="2566"/>
      <c r="V91" s="3832">
        <f>SUM(V85:V90)</f>
        <v>0</v>
      </c>
      <c r="W91" s="3833"/>
      <c r="X91" s="3834"/>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3"/>
      <c r="I93" s="2353"/>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0"/>
      <c r="H96" s="3751"/>
      <c r="J96" s="346"/>
      <c r="K96" s="346"/>
      <c r="L96" s="2365"/>
      <c r="M96" s="346"/>
      <c r="N96" s="346"/>
      <c r="P96" s="346"/>
      <c r="Q96" s="346"/>
      <c r="S96" s="3750"/>
      <c r="T96" s="3751"/>
      <c r="V96" s="3822"/>
      <c r="W96" s="3823"/>
      <c r="X96" s="3824"/>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9">
        <v>6500</v>
      </c>
      <c r="H97" s="3760"/>
      <c r="J97" s="346"/>
      <c r="K97" s="346"/>
      <c r="L97" s="353"/>
      <c r="M97" s="346"/>
      <c r="N97" s="346"/>
      <c r="P97" s="346"/>
      <c r="Q97" s="346"/>
      <c r="S97" s="3759">
        <v>6500</v>
      </c>
      <c r="T97" s="3760"/>
      <c r="V97" s="3822"/>
      <c r="W97" s="3823"/>
      <c r="X97" s="3824"/>
    </row>
    <row r="98" spans="1:37" s="293" customFormat="1" ht="12.6" customHeight="1">
      <c r="B98" s="293" t="s">
        <v>3699</v>
      </c>
      <c r="G98" s="3759">
        <v>1000</v>
      </c>
      <c r="H98" s="3760"/>
      <c r="J98" s="346"/>
      <c r="K98" s="346"/>
      <c r="L98" s="353"/>
      <c r="M98" s="346"/>
      <c r="N98" s="346"/>
      <c r="O98" s="2353"/>
      <c r="P98" s="346"/>
      <c r="Q98" s="346"/>
      <c r="S98" s="3759">
        <v>1000</v>
      </c>
      <c r="T98" s="3760"/>
      <c r="V98" s="3822"/>
      <c r="W98" s="3823"/>
      <c r="X98" s="3824"/>
    </row>
    <row r="99" spans="1:37" s="293" customFormat="1" ht="12.6" customHeight="1">
      <c r="B99" s="293" t="s">
        <v>505</v>
      </c>
      <c r="E99" s="2582">
        <f>ROUNDUP('DCA Underwriting Assumptions'!$Q$92*J184,0)</f>
        <v>66000</v>
      </c>
      <c r="F99" s="2583"/>
      <c r="G99" s="3759">
        <v>66000</v>
      </c>
      <c r="H99" s="3760"/>
      <c r="J99" s="944" t="str">
        <f>IF(E99&gt;G99,"WARNING!  LIHTC Allocation Fee proposed is below minimum required.","")</f>
        <v/>
      </c>
      <c r="K99" s="346"/>
      <c r="L99" s="2365"/>
      <c r="M99" s="346"/>
      <c r="N99" s="346"/>
      <c r="O99" s="2353"/>
      <c r="P99" s="346"/>
      <c r="Q99" s="346"/>
      <c r="S99" s="3759">
        <v>66000</v>
      </c>
      <c r="T99" s="3760"/>
      <c r="V99" s="3822"/>
      <c r="W99" s="3823"/>
      <c r="X99" s="3824"/>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48000</v>
      </c>
      <c r="F100" s="2583"/>
      <c r="G100" s="3759">
        <v>48000</v>
      </c>
      <c r="H100" s="3760"/>
      <c r="J100" s="944" t="str">
        <f>IF(E100&gt;G100,"WARNING!  LIHTC Compliance Fee proposed is below minimum required.","")</f>
        <v/>
      </c>
      <c r="K100" s="270"/>
      <c r="L100" s="270"/>
      <c r="M100" s="270"/>
      <c r="N100" s="270"/>
      <c r="O100" s="270"/>
      <c r="P100" s="270"/>
      <c r="Q100" s="270"/>
      <c r="S100" s="3759">
        <v>48000</v>
      </c>
      <c r="T100" s="3760"/>
      <c r="V100" s="3822"/>
      <c r="W100" s="3823"/>
      <c r="X100" s="3824"/>
    </row>
    <row r="101" spans="1:37" s="293" customFormat="1" ht="12.6" customHeight="1">
      <c r="B101" s="293" t="s">
        <v>3878</v>
      </c>
      <c r="F101" s="1164">
        <f>ROUNDUP('DCA Underwriting Assumptions'!$Q$94,0)</f>
        <v>3000</v>
      </c>
      <c r="G101" s="3759">
        <v>3000</v>
      </c>
      <c r="H101" s="3760"/>
      <c r="J101" s="270"/>
      <c r="K101" s="270"/>
      <c r="L101" s="270"/>
      <c r="M101" s="270"/>
      <c r="N101" s="270"/>
      <c r="O101" s="270"/>
      <c r="P101" s="270"/>
      <c r="Q101" s="270"/>
      <c r="S101" s="3759">
        <v>3000</v>
      </c>
      <c r="T101" s="3760"/>
      <c r="V101" s="3822"/>
      <c r="W101" s="3823"/>
      <c r="X101" s="3824"/>
    </row>
    <row r="102" spans="1:37" s="293" customFormat="1" ht="12.6" customHeight="1">
      <c r="B102" s="293" t="s">
        <v>3879</v>
      </c>
      <c r="F102" s="1164">
        <f>ROUNDUP('DCA Underwriting Assumptions'!$Q$128,0)</f>
        <v>3000</v>
      </c>
      <c r="G102" s="3759">
        <v>3000</v>
      </c>
      <c r="H102" s="3760"/>
      <c r="J102" s="270"/>
      <c r="K102" s="270"/>
      <c r="L102" s="270"/>
      <c r="M102" s="270"/>
      <c r="N102" s="270"/>
      <c r="O102" s="270"/>
      <c r="P102" s="270"/>
      <c r="Q102" s="270"/>
      <c r="S102" s="3759">
        <v>3000</v>
      </c>
      <c r="T102" s="3760"/>
      <c r="V102" s="3822"/>
      <c r="W102" s="3823"/>
      <c r="X102" s="3824"/>
    </row>
    <row r="103" spans="1:37" s="293" customFormat="1" ht="12.6" customHeight="1">
      <c r="A103" s="370" t="str">
        <f>IF(AND(G103&gt;0,OR(C103="",C103="&lt;Enter detailed description here; use Comments section if needed&gt;")),"X","")</f>
        <v/>
      </c>
      <c r="B103" s="293" t="s">
        <v>723</v>
      </c>
      <c r="C103" s="3848" t="s">
        <v>3531</v>
      </c>
      <c r="D103" s="3848"/>
      <c r="E103" s="3848"/>
      <c r="F103" s="3849"/>
      <c r="G103" s="3759"/>
      <c r="H103" s="3760"/>
      <c r="J103" s="270"/>
      <c r="K103" s="270"/>
      <c r="L103" s="270"/>
      <c r="M103" s="270"/>
      <c r="N103" s="270"/>
      <c r="O103" s="270"/>
      <c r="P103" s="270"/>
      <c r="Q103" s="270"/>
      <c r="S103" s="3759"/>
      <c r="T103" s="3760"/>
      <c r="U103" s="369" t="str">
        <f>IF(AND(G103&gt;0,OR(C103="",C103="&lt;Enter detailed description here; use Comments section if needed&gt;")),"NO DESCRIPTION PROVIDED - please enter detailed description in Other box at left; use Comments section below if needed.","")</f>
        <v/>
      </c>
      <c r="V103" s="3822"/>
      <c r="W103" s="3823"/>
      <c r="X103" s="3824"/>
    </row>
    <row r="104" spans="1:37" s="293" customFormat="1" ht="12.6" customHeight="1" thickBot="1">
      <c r="A104" s="370" t="str">
        <f>IF(AND(G104&gt;0,OR(C104="",C104="&lt;Enter detailed description here; use Comments section if needed&gt;")),"X","")</f>
        <v/>
      </c>
      <c r="B104" s="293" t="s">
        <v>723</v>
      </c>
      <c r="C104" s="3850" t="s">
        <v>3531</v>
      </c>
      <c r="D104" s="3850"/>
      <c r="E104" s="3850"/>
      <c r="F104" s="3851"/>
      <c r="G104" s="3768"/>
      <c r="H104" s="3769"/>
      <c r="J104" s="270"/>
      <c r="K104" s="270"/>
      <c r="L104" s="270"/>
      <c r="M104" s="270"/>
      <c r="N104" s="270"/>
      <c r="O104" s="270"/>
      <c r="P104" s="270"/>
      <c r="Q104" s="270"/>
      <c r="S104" s="3768"/>
      <c r="T104" s="3769"/>
      <c r="U104" s="369" t="str">
        <f>IF(AND(G104&gt;0,OR(C104="",C104="&lt;Enter detailed description here; use Comments section if needed&gt;")),"NO DESCRIPTION PROVIDED - please enter detailed description in Other box at left; use Comments section below if needed.","")</f>
        <v/>
      </c>
      <c r="V104" s="3822"/>
      <c r="W104" s="3830"/>
      <c r="X104" s="3831"/>
    </row>
    <row r="105" spans="1:37" s="293" customFormat="1" ht="12.6" customHeight="1" thickTop="1">
      <c r="F105" s="344" t="s">
        <v>187</v>
      </c>
      <c r="G105" s="2565">
        <f>SUM(G96:H104)</f>
        <v>127500</v>
      </c>
      <c r="H105" s="2566"/>
      <c r="J105" s="346"/>
      <c r="K105" s="346"/>
      <c r="L105" s="2365"/>
      <c r="M105" s="346"/>
      <c r="N105" s="346"/>
      <c r="P105" s="346"/>
      <c r="Q105" s="346"/>
      <c r="S105" s="2565">
        <f>SUM(S96:T104)</f>
        <v>127500</v>
      </c>
      <c r="T105" s="2566"/>
      <c r="V105" s="3832">
        <f>SUM(V96:V104)</f>
        <v>0</v>
      </c>
      <c r="W105" s="3855"/>
      <c r="X105" s="3856"/>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0">
        <v>2500</v>
      </c>
      <c r="H107" s="3751"/>
      <c r="J107" s="2581"/>
      <c r="K107" s="2581"/>
      <c r="L107" s="2365"/>
      <c r="M107" s="2581"/>
      <c r="N107" s="2581"/>
      <c r="O107" s="2353"/>
      <c r="P107" s="2581"/>
      <c r="Q107" s="2581"/>
      <c r="S107" s="3750">
        <v>2500</v>
      </c>
      <c r="T107" s="3751"/>
      <c r="V107" s="3822"/>
      <c r="W107" s="3823"/>
      <c r="X107" s="3824"/>
    </row>
    <row r="108" spans="1:37" s="293" customFormat="1" ht="12.6" customHeight="1">
      <c r="B108" s="293" t="s">
        <v>275</v>
      </c>
      <c r="G108" s="3759"/>
      <c r="H108" s="3760"/>
      <c r="J108" s="2581"/>
      <c r="K108" s="2581"/>
      <c r="L108" s="2365"/>
      <c r="M108" s="2581"/>
      <c r="N108" s="2581"/>
      <c r="O108" s="2353"/>
      <c r="P108" s="2581"/>
      <c r="Q108" s="2581"/>
      <c r="S108" s="3759"/>
      <c r="T108" s="3760"/>
      <c r="V108" s="3822"/>
      <c r="W108" s="3823"/>
      <c r="X108" s="3824"/>
    </row>
    <row r="109" spans="1:37" s="293" customFormat="1" ht="12.6" customHeight="1">
      <c r="B109" s="293" t="s">
        <v>2323</v>
      </c>
      <c r="G109" s="3759"/>
      <c r="H109" s="3760"/>
      <c r="J109" s="2581"/>
      <c r="K109" s="2581"/>
      <c r="L109" s="2365"/>
      <c r="M109" s="2581"/>
      <c r="N109" s="2581"/>
      <c r="O109" s="2353"/>
      <c r="P109" s="2581"/>
      <c r="Q109" s="2581"/>
      <c r="S109" s="3759"/>
      <c r="T109" s="3760"/>
      <c r="V109" s="3822"/>
      <c r="W109" s="3823"/>
      <c r="X109" s="3824"/>
    </row>
    <row r="110" spans="1:37" s="293" customFormat="1" ht="12.6" customHeight="1" thickBot="1">
      <c r="A110" s="370" t="str">
        <f>IF(AND(G110&gt;0,OR(C110="",C110="&lt;Enter detailed description here; use Comments section if needed&gt;")),"X","")</f>
        <v/>
      </c>
      <c r="B110" s="293" t="s">
        <v>723</v>
      </c>
      <c r="C110" s="3825" t="s">
        <v>3531</v>
      </c>
      <c r="D110" s="3825"/>
      <c r="E110" s="3825"/>
      <c r="F110" s="3826"/>
      <c r="G110" s="3768"/>
      <c r="H110" s="3769"/>
      <c r="J110" s="2581"/>
      <c r="K110" s="2581"/>
      <c r="L110" s="2365"/>
      <c r="M110" s="2581"/>
      <c r="N110" s="2581"/>
      <c r="O110" s="2353"/>
      <c r="P110" s="2581"/>
      <c r="Q110" s="2581"/>
      <c r="S110" s="3768"/>
      <c r="T110" s="3769"/>
      <c r="U110" s="369" t="str">
        <f>IF(AND(G110&gt;0,OR(C110="",C110="&lt;Enter detailed description here; use Comments section if needed&gt;")),"NO DESCRIPTION PROVIDED - please enter detailed description in Other box at left; use Comments section below if needed.","")</f>
        <v/>
      </c>
      <c r="V110" s="3822"/>
      <c r="W110" s="3830"/>
      <c r="X110" s="3831"/>
    </row>
    <row r="111" spans="1:37" s="293" customFormat="1" ht="12.6" customHeight="1" thickTop="1">
      <c r="F111" s="344" t="s">
        <v>187</v>
      </c>
      <c r="G111" s="2565">
        <f>SUM(G107:H110)</f>
        <v>2500</v>
      </c>
      <c r="H111" s="2566"/>
      <c r="J111" s="2581"/>
      <c r="K111" s="2581"/>
      <c r="L111" s="2365"/>
      <c r="M111" s="2581"/>
      <c r="N111" s="2581"/>
      <c r="O111" s="2353"/>
      <c r="P111" s="2581"/>
      <c r="Q111" s="2581"/>
      <c r="S111" s="2565">
        <f>SUM(S107:T110)</f>
        <v>2500</v>
      </c>
      <c r="T111" s="2566"/>
      <c r="V111" s="3832">
        <f>SUM(V107:V110)</f>
        <v>0</v>
      </c>
      <c r="W111" s="3833"/>
      <c r="X111" s="3834"/>
      <c r="AC111" s="3857" t="s">
        <v>4509</v>
      </c>
      <c r="AD111" s="3857" t="s">
        <v>4510</v>
      </c>
      <c r="AE111" s="3858" t="s">
        <v>4515</v>
      </c>
      <c r="AF111" s="2550"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9" t="s">
        <v>4497</v>
      </c>
      <c r="Z112" s="1566"/>
      <c r="AA112" s="277" t="s">
        <v>4506</v>
      </c>
      <c r="AB112" s="277" t="s">
        <v>4507</v>
      </c>
      <c r="AC112" s="3860"/>
      <c r="AD112" s="3860"/>
      <c r="AE112" s="3861"/>
      <c r="AF112" s="2551"/>
      <c r="AI112" s="27"/>
      <c r="AK112" s="427"/>
    </row>
    <row r="113" spans="1:37" s="293" customFormat="1" ht="12.6" customHeight="1">
      <c r="B113" s="293" t="s">
        <v>1813</v>
      </c>
      <c r="F113" s="396">
        <f>IF($G$118=0,0,G113/$G$118)</f>
        <v>0.2</v>
      </c>
      <c r="G113" s="3862">
        <v>240000</v>
      </c>
      <c r="H113" s="3862"/>
      <c r="J113" s="3863">
        <v>240000</v>
      </c>
      <c r="K113" s="3864"/>
      <c r="L113" s="345"/>
      <c r="M113" s="3863"/>
      <c r="N113" s="3864"/>
      <c r="P113" s="3863"/>
      <c r="Q113" s="3864"/>
      <c r="S113" s="3863"/>
      <c r="T113" s="3864"/>
      <c r="V113" s="3822"/>
      <c r="W113" s="3823"/>
      <c r="X113" s="3824"/>
      <c r="Y113" s="158"/>
      <c r="Z113" s="3865">
        <v>0.09</v>
      </c>
      <c r="AA113" s="3866">
        <f>'DCA Underwriting Assumptions'!$J$104</f>
        <v>1</v>
      </c>
      <c r="AB113" s="3866">
        <f>'DCA Underwriting Assumptions'!$K$104</f>
        <v>50</v>
      </c>
      <c r="AC113" s="3867">
        <f>'DCA Underwriting Assumptions'!$Q$104</f>
        <v>25000</v>
      </c>
      <c r="AD113" s="3867">
        <f>AB113*AC113</f>
        <v>1250000</v>
      </c>
      <c r="AE113" s="3867">
        <f>IF('Part VI-Revenues &amp; Expenses'!$P$67&lt;AA114,'Part VI-Revenues &amp; Expenses'!$P$67*'Part IV-A-Uses of Funds'!AC113,AB113*AC113)</f>
        <v>1200000</v>
      </c>
      <c r="AF113" s="3868">
        <f>SUM(AE113:AE115)</f>
        <v>1200000</v>
      </c>
      <c r="AI113" s="27"/>
    </row>
    <row r="114" spans="1:37" s="293" customFormat="1" ht="12.6" customHeight="1">
      <c r="B114" s="293" t="s">
        <v>3839</v>
      </c>
      <c r="F114" s="3869">
        <v>240000</v>
      </c>
      <c r="V114" s="3822"/>
      <c r="W114" s="3823"/>
      <c r="X114" s="3824"/>
      <c r="Y114" s="158"/>
      <c r="Z114" s="120"/>
      <c r="AA114" s="3870">
        <f>'DCA Underwriting Assumptions'!$J$105</f>
        <v>51</v>
      </c>
      <c r="AB114" s="3870">
        <f>'DCA Underwriting Assumptions'!$K$105</f>
        <v>70</v>
      </c>
      <c r="AC114" s="3871">
        <f>'DCA Underwriting Assumptions'!$Q$105</f>
        <v>20000</v>
      </c>
      <c r="AD114" s="3871">
        <f>(AB114-AB113)*AC114</f>
        <v>400000</v>
      </c>
      <c r="AE114" s="3871">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2"/>
      <c r="AI114" s="27"/>
    </row>
    <row r="115" spans="1:37" s="293" customFormat="1" ht="12.6" customHeight="1">
      <c r="B115" s="293" t="s">
        <v>1814</v>
      </c>
      <c r="F115" s="396">
        <f>IF($G$118=0,0,G115/$G$118)</f>
        <v>0</v>
      </c>
      <c r="G115" s="3750"/>
      <c r="H115" s="3751"/>
      <c r="J115" s="3750"/>
      <c r="K115" s="3751"/>
      <c r="L115" s="2365"/>
      <c r="M115" s="3750"/>
      <c r="N115" s="3751"/>
      <c r="P115" s="3750"/>
      <c r="Q115" s="3751"/>
      <c r="S115" s="3750"/>
      <c r="T115" s="3751"/>
      <c r="V115" s="3822"/>
      <c r="W115" s="3823"/>
      <c r="X115" s="3824"/>
      <c r="Y115" s="158"/>
      <c r="Z115" s="120"/>
      <c r="AA115" s="3873">
        <f>'DCA Underwriting Assumptions'!$J$106</f>
        <v>71</v>
      </c>
      <c r="AB115" s="3874"/>
      <c r="AC115" s="3875">
        <f>'DCA Underwriting Assumptions'!$Q$106</f>
        <v>15000</v>
      </c>
      <c r="AD115" s="3875">
        <f>AF121-AD114-AD113</f>
        <v>350000</v>
      </c>
      <c r="AE115" s="3875">
        <f>MIN(AD115,IF('Part VI-Revenues &amp; Expenses'!$P$67&gt;AB114,('Part VI-Revenues &amp; Expenses'!$P$67-AB114)*AC115,0))</f>
        <v>0</v>
      </c>
      <c r="AF115" s="3876"/>
      <c r="AI115" s="27"/>
    </row>
    <row r="116" spans="1:37" s="293" customFormat="1" ht="12.6" customHeight="1">
      <c r="B116" s="293" t="s">
        <v>3466</v>
      </c>
      <c r="F116" s="396">
        <f>IF($G$118=0,0,G116/$G$118)</f>
        <v>0</v>
      </c>
      <c r="G116" s="3759"/>
      <c r="H116" s="3760"/>
      <c r="J116" s="3759"/>
      <c r="K116" s="3760"/>
      <c r="L116" s="2365"/>
      <c r="M116" s="3759"/>
      <c r="N116" s="3760"/>
      <c r="P116" s="3759"/>
      <c r="Q116" s="3760"/>
      <c r="S116" s="3759"/>
      <c r="T116" s="3760"/>
      <c r="V116" s="3822"/>
      <c r="W116" s="3823"/>
      <c r="X116" s="3824"/>
      <c r="Y116" s="27"/>
      <c r="Z116" s="3865">
        <v>0.04</v>
      </c>
      <c r="AA116" s="3877">
        <f>'DCA Underwriting Assumptions'!$J$107</f>
        <v>1</v>
      </c>
      <c r="AB116" s="3877">
        <f>'DCA Underwriting Assumptions'!$K$107</f>
        <v>100</v>
      </c>
      <c r="AC116" s="3867">
        <f>'DCA Underwriting Assumptions'!$Q$107</f>
        <v>18000</v>
      </c>
      <c r="AD116" s="3867">
        <f>AB116*AC116</f>
        <v>1800000</v>
      </c>
      <c r="AE116" s="3867">
        <f>IF('Part VI-Revenues &amp; Expenses'!$P$67&lt;AA117,'Part VI-Revenues &amp; Expenses'!$P$67*'Part IV-A-Uses of Funds'!AC116,AB116*AC116)</f>
        <v>864000</v>
      </c>
      <c r="AF116" s="3868">
        <f>SUM(AE116:AE118)</f>
        <v>864000</v>
      </c>
      <c r="AG116" s="825">
        <f>51*AC116</f>
        <v>918000</v>
      </c>
      <c r="AI116" s="27"/>
    </row>
    <row r="117" spans="1:37" s="293" customFormat="1" ht="12.6" customHeight="1" thickBot="1">
      <c r="B117" s="293" t="s">
        <v>1806</v>
      </c>
      <c r="F117" s="396">
        <f>IF($G$118=0,0,G117/$G$118)</f>
        <v>0.8</v>
      </c>
      <c r="G117" s="3768">
        <v>960000</v>
      </c>
      <c r="H117" s="3769"/>
      <c r="J117" s="3768">
        <v>960000</v>
      </c>
      <c r="K117" s="3769"/>
      <c r="L117" s="2365"/>
      <c r="M117" s="3768"/>
      <c r="N117" s="3769"/>
      <c r="P117" s="3768"/>
      <c r="Q117" s="3769"/>
      <c r="S117" s="3768"/>
      <c r="T117" s="3769"/>
      <c r="V117" s="3822"/>
      <c r="W117" s="3830"/>
      <c r="X117" s="3831"/>
      <c r="Y117" s="27"/>
      <c r="Z117" s="80"/>
      <c r="AA117" s="3870">
        <f>'DCA Underwriting Assumptions'!$J$108</f>
        <v>101</v>
      </c>
      <c r="AB117" s="3870">
        <f>'DCA Underwriting Assumptions'!$K$108</f>
        <v>130</v>
      </c>
      <c r="AC117" s="3871">
        <f>'DCA Underwriting Assumptions'!$Q$108</f>
        <v>15500</v>
      </c>
      <c r="AD117" s="3871">
        <f>(AB117-AB116)*AC117</f>
        <v>465000</v>
      </c>
      <c r="AE117" s="387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2"/>
      <c r="AG117" s="825"/>
      <c r="AI117" s="27"/>
    </row>
    <row r="118" spans="1:37" s="293" customFormat="1" ht="12.6" customHeight="1" thickTop="1">
      <c r="A118" s="1587" t="str">
        <f>IF(G118&gt;E118,"DF over limit!  Round down/Enter nbr.","")</f>
        <v/>
      </c>
      <c r="B118" s="1586"/>
      <c r="D118" s="582" t="s">
        <v>4508</v>
      </c>
      <c r="E118" s="1588">
        <f>IF(E112="9%",AF113,IF(E112="4%",AF116,"Enter app type!"))</f>
        <v>1200000</v>
      </c>
      <c r="F118" s="344" t="s">
        <v>187</v>
      </c>
      <c r="G118" s="2584">
        <f>SUM(G113:H117)</f>
        <v>1200000</v>
      </c>
      <c r="H118" s="2585"/>
      <c r="J118" s="2565">
        <f>SUM(J113:K117)</f>
        <v>1200000</v>
      </c>
      <c r="K118" s="2566"/>
      <c r="L118" s="2365"/>
      <c r="M118" s="2565">
        <f>SUM(M113:N117)</f>
        <v>0</v>
      </c>
      <c r="N118" s="2566"/>
      <c r="P118" s="2565">
        <f>SUM(P113:Q117)</f>
        <v>0</v>
      </c>
      <c r="Q118" s="2566"/>
      <c r="S118" s="2565">
        <f>SUM(S113:T117)</f>
        <v>0</v>
      </c>
      <c r="T118" s="2566"/>
      <c r="V118" s="3832">
        <f>SUM(V113:V117)</f>
        <v>0</v>
      </c>
      <c r="W118" s="3833"/>
      <c r="X118" s="3834"/>
      <c r="Y118" s="27"/>
      <c r="Z118" s="80"/>
      <c r="AA118" s="3873">
        <f>'DCA Underwriting Assumptions'!$J$109</f>
        <v>131</v>
      </c>
      <c r="AB118" s="3874"/>
      <c r="AC118" s="3875">
        <f>'DCA Underwriting Assumptions'!$Q$109</f>
        <v>13000</v>
      </c>
      <c r="AD118" s="3875">
        <f>AF122-AD117-AD116</f>
        <v>1235000</v>
      </c>
      <c r="AE118" s="3875">
        <f>MIN(AD118,IF('Part VI-Revenues &amp; Expenses'!$P$67&gt;AB117,('Part VI-Revenues &amp; Expenses'!$P$67-AB117)*AC118,0))</f>
        <v>0</v>
      </c>
      <c r="AF118" s="3876"/>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0">
        <v>45000</v>
      </c>
      <c r="H120" s="3751"/>
      <c r="J120" s="354"/>
      <c r="K120" s="354"/>
      <c r="L120" s="354"/>
      <c r="M120" s="354"/>
      <c r="N120" s="354"/>
      <c r="P120" s="354"/>
      <c r="Q120" s="354"/>
      <c r="S120" s="3750">
        <v>45000</v>
      </c>
      <c r="T120" s="3751"/>
      <c r="V120" s="3822"/>
      <c r="W120" s="3823"/>
      <c r="X120" s="3824"/>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58794.25</v>
      </c>
      <c r="G121" s="3759">
        <v>58795</v>
      </c>
      <c r="H121" s="3760"/>
      <c r="J121" s="946" t="str">
        <f>IF(E121&gt;G121,"WARNING! Rent-Up Reserves proposed is below minimum - add comment.","")</f>
        <v/>
      </c>
      <c r="K121" s="946"/>
      <c r="L121" s="2365"/>
      <c r="M121" s="920"/>
      <c r="N121" s="920"/>
      <c r="O121" s="2353"/>
      <c r="P121" s="920"/>
      <c r="Q121" s="920"/>
      <c r="R121" s="2353"/>
      <c r="S121" s="3759">
        <v>58795</v>
      </c>
      <c r="T121" s="3760"/>
      <c r="V121" s="3822"/>
      <c r="W121" s="3823"/>
      <c r="X121" s="3824"/>
      <c r="Y121" s="27"/>
      <c r="Z121" s="3878">
        <v>0.09</v>
      </c>
      <c r="AB121" s="1566"/>
      <c r="AD121" s="27"/>
      <c r="AF121" s="387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117588.5</v>
      </c>
      <c r="G122" s="3759">
        <v>117589</v>
      </c>
      <c r="H122" s="3760"/>
      <c r="J122" s="946" t="str">
        <f>IF(E122&gt;G122,"WARNING! ODR proposed is below minimum - add comment.","")</f>
        <v/>
      </c>
      <c r="K122" s="353"/>
      <c r="L122" s="353"/>
      <c r="M122" s="353"/>
      <c r="N122" s="353"/>
      <c r="O122" s="2353"/>
      <c r="P122" s="353"/>
      <c r="Q122" s="353"/>
      <c r="R122" s="2353"/>
      <c r="S122" s="3759">
        <v>117589</v>
      </c>
      <c r="T122" s="3760"/>
      <c r="V122" s="3822"/>
      <c r="W122" s="3823"/>
      <c r="X122" s="3824"/>
      <c r="Y122" s="27"/>
      <c r="Z122" s="3878">
        <v>0.04</v>
      </c>
      <c r="AB122" s="1566"/>
      <c r="AD122" s="27"/>
      <c r="AF122" s="3879">
        <f>'DCA Underwriting Assumptions'!$Q$113</f>
        <v>3500000</v>
      </c>
      <c r="AG122" s="27"/>
      <c r="AH122" s="27"/>
      <c r="AI122" s="27"/>
    </row>
    <row r="123" spans="1:37" s="293" customFormat="1" ht="12.6" customHeight="1">
      <c r="B123" s="293" t="s">
        <v>1218</v>
      </c>
      <c r="G123" s="3759"/>
      <c r="H123" s="3760"/>
      <c r="J123" s="354"/>
      <c r="K123" s="354"/>
      <c r="L123" s="354"/>
      <c r="M123" s="354"/>
      <c r="N123" s="354"/>
      <c r="P123" s="354"/>
      <c r="Q123" s="354"/>
      <c r="S123" s="3759"/>
      <c r="T123" s="3760"/>
      <c r="V123" s="3822"/>
      <c r="W123" s="3823"/>
      <c r="X123" s="3824"/>
    </row>
    <row r="124" spans="1:37" s="293" customFormat="1" ht="12.6" customHeight="1">
      <c r="B124" s="293" t="s">
        <v>1219</v>
      </c>
      <c r="E124" s="821" t="s">
        <v>3434</v>
      </c>
      <c r="F124" s="452">
        <f>IF('Part VI-Revenues &amp; Expenses'!$P$67=0,0,G124/'Part VI-Revenues &amp; Expenses'!$P$67)</f>
        <v>1458.3333333333333</v>
      </c>
      <c r="G124" s="3759">
        <v>70000</v>
      </c>
      <c r="H124" s="3760"/>
      <c r="J124" s="3750">
        <v>70000</v>
      </c>
      <c r="K124" s="3751"/>
      <c r="L124" s="2365"/>
      <c r="M124" s="3750"/>
      <c r="N124" s="3751"/>
      <c r="P124" s="3750"/>
      <c r="Q124" s="3751"/>
      <c r="S124" s="3759"/>
      <c r="T124" s="3760"/>
      <c r="V124" s="3822"/>
      <c r="W124" s="3823"/>
      <c r="X124" s="3824"/>
    </row>
    <row r="125" spans="1:37" s="293" customFormat="1" ht="12.6" customHeight="1" thickBot="1">
      <c r="A125" s="370" t="str">
        <f>IF(AND(G125&gt;0,OR(C125="",C125="&lt;Enter detailed description here; use Comments section if needed&gt;")),"X","")</f>
        <v/>
      </c>
      <c r="B125" s="293" t="s">
        <v>723</v>
      </c>
      <c r="C125" s="3825" t="s">
        <v>3531</v>
      </c>
      <c r="D125" s="3825"/>
      <c r="E125" s="3825"/>
      <c r="F125" s="3826"/>
      <c r="G125" s="3768"/>
      <c r="H125" s="3769"/>
      <c r="J125" s="3828"/>
      <c r="K125" s="3829"/>
      <c r="L125" s="2365"/>
      <c r="M125" s="3768"/>
      <c r="N125" s="3769"/>
      <c r="P125" s="3768"/>
      <c r="Q125" s="3769"/>
      <c r="S125" s="3768"/>
      <c r="T125" s="3769"/>
      <c r="U125" s="369" t="str">
        <f>IF(AND(G125&gt;0,OR(C125="",C125="&lt;Enter detailed description here; use Comments section if needed&gt;")),"NO DESCRIPTION PROVIDED - please enter detailed description in Other box at left; use Comments section below if needed.","")</f>
        <v/>
      </c>
      <c r="V125" s="3822"/>
      <c r="W125" s="3830"/>
      <c r="X125" s="3831"/>
    </row>
    <row r="126" spans="1:37" s="293" customFormat="1" ht="12.6" customHeight="1" thickTop="1">
      <c r="B126" s="355"/>
      <c r="F126" s="344" t="s">
        <v>187</v>
      </c>
      <c r="G126" s="2565">
        <f>SUM(G120:H125)</f>
        <v>291384</v>
      </c>
      <c r="H126" s="2566"/>
      <c r="J126" s="2565">
        <f>SUM(J124:K125)</f>
        <v>70000</v>
      </c>
      <c r="K126" s="2566"/>
      <c r="L126" s="2365"/>
      <c r="M126" s="2565">
        <f>SUM(M124:N125)</f>
        <v>0</v>
      </c>
      <c r="N126" s="2566"/>
      <c r="P126" s="2565">
        <f>SUM(P124:Q125)</f>
        <v>0</v>
      </c>
      <c r="Q126" s="2566"/>
      <c r="S126" s="2565">
        <f>SUM(S120:T125)</f>
        <v>221384</v>
      </c>
      <c r="T126" s="2566"/>
      <c r="V126" s="3832">
        <f>SUM(V120:V125)</f>
        <v>0</v>
      </c>
      <c r="W126" s="3833"/>
      <c r="X126" s="3834"/>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750"/>
      <c r="H128" s="3751"/>
      <c r="J128" s="3750"/>
      <c r="K128" s="3751"/>
      <c r="L128" s="345"/>
      <c r="M128" s="3750"/>
      <c r="N128" s="3751"/>
      <c r="P128" s="3750"/>
      <c r="Q128" s="3751"/>
      <c r="S128" s="3750"/>
      <c r="T128" s="3751"/>
      <c r="V128" s="3822"/>
      <c r="W128" s="3823"/>
      <c r="X128" s="3824"/>
    </row>
    <row r="129" spans="1:24" s="293" customFormat="1" ht="12.6" customHeight="1" thickBot="1">
      <c r="A129" s="370" t="str">
        <f>IF(AND(G129&gt;0,OR(C129="",C129="&lt;Enter detailed description here; use Comments section if needed&gt;")),"X","")</f>
        <v/>
      </c>
      <c r="B129" s="293" t="s">
        <v>723</v>
      </c>
      <c r="C129" s="3825" t="s">
        <v>3531</v>
      </c>
      <c r="D129" s="3825"/>
      <c r="E129" s="3825"/>
      <c r="F129" s="3826"/>
      <c r="G129" s="3768"/>
      <c r="H129" s="3769"/>
      <c r="J129" s="3768"/>
      <c r="K129" s="3769"/>
      <c r="L129" s="2365"/>
      <c r="M129" s="3768"/>
      <c r="N129" s="3769"/>
      <c r="P129" s="3768"/>
      <c r="Q129" s="3769"/>
      <c r="S129" s="3768"/>
      <c r="T129" s="3769"/>
      <c r="U129" s="369" t="str">
        <f>IF(AND(G129&gt;0,OR(C129="",C129="&lt;Enter detailed description here; use Comments section if needed&gt;")),"NO DESCRIPTION PROVIDED - please enter detailed description in Other box at left; use Comments section below if needed.","")</f>
        <v/>
      </c>
      <c r="V129" s="3822"/>
      <c r="W129" s="3830"/>
      <c r="X129" s="3831"/>
    </row>
    <row r="130" spans="1:24" s="293" customFormat="1" ht="12.6" customHeight="1" thickTop="1">
      <c r="C130" s="2348"/>
      <c r="F130" s="344" t="s">
        <v>187</v>
      </c>
      <c r="G130" s="2565">
        <f>SUM(G128:H129)</f>
        <v>0</v>
      </c>
      <c r="H130" s="2566"/>
      <c r="J130" s="2565">
        <f>SUM(J128:K129)</f>
        <v>0</v>
      </c>
      <c r="K130" s="2566"/>
      <c r="L130" s="2365"/>
      <c r="M130" s="2565">
        <f>SUM(M128:N129)</f>
        <v>0</v>
      </c>
      <c r="N130" s="2566"/>
      <c r="P130" s="2565">
        <f>SUM(P128:Q129)</f>
        <v>0</v>
      </c>
      <c r="Q130" s="2566"/>
      <c r="S130" s="2565">
        <f>SUM(S128:T129)</f>
        <v>0</v>
      </c>
      <c r="T130" s="2566"/>
      <c r="V130" s="3832">
        <f>SUM(V128:V129)</f>
        <v>0</v>
      </c>
      <c r="W130" s="3833"/>
      <c r="X130" s="3834"/>
    </row>
    <row r="131" spans="1:24" s="293" customFormat="1" ht="3" customHeight="1" thickBot="1">
      <c r="C131" s="2348"/>
      <c r="H131" s="351"/>
      <c r="I131" s="351"/>
      <c r="L131" s="2353"/>
      <c r="V131" s="1029"/>
      <c r="W131" s="3880"/>
      <c r="X131" s="3881"/>
    </row>
    <row r="132" spans="1:24" s="293" customFormat="1" ht="14.1" customHeight="1" thickBot="1">
      <c r="B132" s="298" t="s">
        <v>2677</v>
      </c>
      <c r="E132" s="821"/>
      <c r="F132" s="1589"/>
      <c r="G132" s="2586">
        <f>G17+G23+G27+G33+G38+G41+G47+G64+G77+G83+G91+G105+G111+G118+G126+G130</f>
        <v>9959143</v>
      </c>
      <c r="H132" s="2587"/>
      <c r="J132" s="2586">
        <f>J17+J23+J27+J33+J38+J41+J47+J64+J77+J83+J91+J105+J111+J118+J126+J130</f>
        <v>8871759</v>
      </c>
      <c r="K132" s="2587"/>
      <c r="M132" s="2586">
        <f>M17+M23+M27+M33+M38+M41+M47+M64+M77+M83+M91+M105+M111+M118+M126+M130</f>
        <v>0</v>
      </c>
      <c r="N132" s="2587"/>
      <c r="P132" s="2586">
        <f>P17+P23+P27+P33+P38+P41+P47+P64+P77+P83+P91+P105+P111+P118+P126+P130</f>
        <v>0</v>
      </c>
      <c r="Q132" s="2587"/>
      <c r="S132" s="2586">
        <f>S17+S23+S27+S33+S38+S41+S47+S64+S77+S83+S91+S105+S111+S118+S126+S130</f>
        <v>1087384</v>
      </c>
      <c r="T132" s="2587"/>
      <c r="V132" s="3882">
        <f>V17+V23+V27+V33+V38+V41+V47+V64+V77+V83+V91+V105+V111+V118+V126+V130</f>
        <v>0</v>
      </c>
      <c r="W132" s="3883"/>
      <c r="X132" s="3834"/>
    </row>
    <row r="133" spans="1:24" s="293" customFormat="1" ht="3" customHeight="1">
      <c r="C133" s="2348"/>
      <c r="H133" s="351"/>
      <c r="I133" s="351"/>
      <c r="L133" s="2353"/>
      <c r="V133" s="1029"/>
    </row>
    <row r="134" spans="1:24" s="293" customFormat="1" ht="14.1" customHeight="1">
      <c r="B134" s="490" t="s">
        <v>2674</v>
      </c>
      <c r="C134" s="488"/>
      <c r="D134" s="2588">
        <f>IF('Part VI-Revenues &amp; Expenses'!$P$67=0,0,G132/'Part VI-Revenues &amp; Expenses'!$P$67)</f>
        <v>207482.14583333334</v>
      </c>
      <c r="E134" s="2588"/>
      <c r="F134" s="489" t="s">
        <v>2673</v>
      </c>
      <c r="G134" s="2589">
        <f>IF('Part I-Project Information'!$P$75=0,0,G132/'Part I-Project Information'!$P$75)</f>
        <v>197.60204365079366</v>
      </c>
      <c r="H134" s="2590"/>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5"/>
      <c r="E138" s="2365"/>
      <c r="I138" s="358"/>
      <c r="J138" s="2557"/>
      <c r="K138" s="2558"/>
      <c r="L138" s="841"/>
      <c r="M138" s="2557"/>
      <c r="N138" s="2558"/>
      <c r="P138" s="2557"/>
      <c r="Q138" s="2558"/>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884"/>
      <c r="K140" s="3885"/>
      <c r="P140" s="3884"/>
      <c r="Q140" s="3885"/>
      <c r="V140" s="3822"/>
      <c r="W140" s="3823"/>
      <c r="X140" s="3824"/>
    </row>
    <row r="141" spans="1:24" s="293" customFormat="1" ht="14.1" customHeight="1">
      <c r="B141" s="2353" t="s">
        <v>2101</v>
      </c>
      <c r="D141" s="2353"/>
      <c r="E141" s="2353"/>
      <c r="F141" s="2353"/>
      <c r="G141" s="2353"/>
      <c r="H141" s="2353"/>
      <c r="I141" s="358"/>
      <c r="J141" s="3886"/>
      <c r="K141" s="3887"/>
      <c r="P141" s="3886"/>
      <c r="Q141" s="3887"/>
      <c r="V141" s="3822"/>
      <c r="W141" s="3823"/>
      <c r="X141" s="3824"/>
    </row>
    <row r="142" spans="1:24" s="293" customFormat="1" ht="14.1" customHeight="1">
      <c r="B142" s="2353" t="s">
        <v>1816</v>
      </c>
      <c r="D142" s="2353"/>
      <c r="E142" s="2353"/>
      <c r="I142" s="358"/>
      <c r="J142" s="3886"/>
      <c r="K142" s="3887"/>
      <c r="P142" s="3886"/>
      <c r="Q142" s="3887"/>
      <c r="V142" s="3822"/>
      <c r="W142" s="3823"/>
      <c r="X142" s="3824"/>
    </row>
    <row r="143" spans="1:24" s="293" customFormat="1" ht="14.1" customHeight="1">
      <c r="B143" s="2353" t="s">
        <v>1817</v>
      </c>
      <c r="D143" s="2353"/>
      <c r="E143" s="2353"/>
      <c r="I143" s="358"/>
      <c r="J143" s="3886"/>
      <c r="K143" s="3887"/>
      <c r="P143" s="3886"/>
      <c r="Q143" s="3887"/>
      <c r="V143" s="3822"/>
      <c r="W143" s="3823"/>
      <c r="X143" s="3824"/>
    </row>
    <row r="144" spans="1:24" s="293" customFormat="1" ht="14.1" customHeight="1">
      <c r="B144" s="2353" t="s">
        <v>249</v>
      </c>
      <c r="D144" s="2353"/>
      <c r="E144" s="2353"/>
      <c r="I144" s="358"/>
      <c r="J144" s="3886"/>
      <c r="K144" s="3887"/>
      <c r="P144" s="3886"/>
      <c r="Q144" s="3887"/>
      <c r="V144" s="3822"/>
      <c r="W144" s="3823"/>
      <c r="X144" s="3824"/>
    </row>
    <row r="145" spans="1:24" s="293" customFormat="1" ht="14.1" customHeight="1" thickBot="1">
      <c r="B145" s="2353" t="s">
        <v>1568</v>
      </c>
      <c r="C145" s="3888" t="s">
        <v>2352</v>
      </c>
      <c r="D145" s="3888"/>
      <c r="E145" s="3888"/>
      <c r="F145" s="3888"/>
      <c r="G145" s="3888"/>
      <c r="H145" s="3888"/>
      <c r="I145" s="3889"/>
      <c r="J145" s="3890"/>
      <c r="K145" s="3891"/>
      <c r="P145" s="3890"/>
      <c r="Q145" s="3891"/>
      <c r="V145" s="3822"/>
      <c r="W145" s="3830"/>
      <c r="X145" s="3831"/>
    </row>
    <row r="146" spans="1:24" s="293" customFormat="1" ht="14.1" customHeight="1" thickBot="1">
      <c r="B146" s="303" t="s">
        <v>1818</v>
      </c>
      <c r="C146" s="306"/>
      <c r="J146" s="2524">
        <f>SUM(J140:K145)</f>
        <v>0</v>
      </c>
      <c r="K146" s="2525"/>
      <c r="P146" s="2524">
        <f>SUM(P140:Q145)</f>
        <v>0</v>
      </c>
      <c r="Q146" s="2525"/>
      <c r="V146" s="3832">
        <f>SUM(V140:V145)</f>
        <v>0</v>
      </c>
      <c r="W146" s="3833"/>
      <c r="X146" s="3834"/>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8871759</v>
      </c>
      <c r="K149" s="2543"/>
      <c r="M149" s="2544">
        <f>M132</f>
        <v>0</v>
      </c>
      <c r="N149" s="2545"/>
      <c r="P149" s="2542">
        <f>P132</f>
        <v>0</v>
      </c>
      <c r="Q149" s="2543"/>
      <c r="R149" s="2620" t="s">
        <v>4228</v>
      </c>
      <c r="S149" s="2621"/>
      <c r="T149" s="2621"/>
      <c r="V149" s="3822"/>
      <c r="W149" s="3823"/>
      <c r="X149" s="3824"/>
    </row>
    <row r="150" spans="1:24" s="293" customFormat="1" ht="14.1" customHeight="1">
      <c r="B150" s="293" t="s">
        <v>2163</v>
      </c>
      <c r="J150" s="2547">
        <f>J146</f>
        <v>0</v>
      </c>
      <c r="K150" s="2548"/>
      <c r="M150" s="2549"/>
      <c r="N150" s="2549"/>
      <c r="P150" s="2547">
        <f>P146</f>
        <v>0</v>
      </c>
      <c r="Q150" s="2548"/>
      <c r="R150" s="2620"/>
      <c r="S150" s="2621"/>
      <c r="T150" s="2621"/>
      <c r="U150" s="1405"/>
      <c r="V150" s="3822"/>
      <c r="W150" s="3823"/>
      <c r="X150" s="3824"/>
    </row>
    <row r="151" spans="1:24" s="293" customFormat="1" ht="14.1" customHeight="1">
      <c r="B151" s="293" t="s">
        <v>2164</v>
      </c>
      <c r="J151" s="2547">
        <f>J149-J150</f>
        <v>8871759</v>
      </c>
      <c r="K151" s="2548"/>
      <c r="M151" s="2547">
        <f>M149</f>
        <v>0</v>
      </c>
      <c r="N151" s="2548"/>
      <c r="P151" s="2547">
        <f>P149-P150</f>
        <v>0</v>
      </c>
      <c r="Q151" s="2548"/>
      <c r="R151" s="2620"/>
      <c r="S151" s="2621"/>
      <c r="T151" s="2621"/>
      <c r="U151" s="1405"/>
      <c r="V151" s="3822"/>
      <c r="W151" s="3823"/>
      <c r="X151" s="3824"/>
    </row>
    <row r="152" spans="1:24" s="293" customFormat="1" ht="14.1" customHeight="1">
      <c r="B152" s="293" t="s">
        <v>1454</v>
      </c>
      <c r="G152" s="2362" t="s">
        <v>1672</v>
      </c>
      <c r="H152" s="3467" t="s">
        <v>7036</v>
      </c>
      <c r="I152" s="3468"/>
      <c r="J152" s="3892">
        <v>1.3</v>
      </c>
      <c r="K152" s="3893"/>
      <c r="M152" s="2591"/>
      <c r="N152" s="2591"/>
      <c r="P152" s="3892"/>
      <c r="Q152" s="3893"/>
      <c r="R152" s="3894" t="s">
        <v>3521</v>
      </c>
      <c r="S152" s="3895"/>
      <c r="T152" s="3896"/>
      <c r="U152" s="1406"/>
      <c r="V152" s="3822"/>
      <c r="W152" s="3823"/>
      <c r="X152" s="3824"/>
    </row>
    <row r="153" spans="1:24" s="293" customFormat="1" ht="14.1" customHeight="1">
      <c r="B153" s="293" t="s">
        <v>2005</v>
      </c>
      <c r="J153" s="2547">
        <f>J151*J152</f>
        <v>11533286.700000001</v>
      </c>
      <c r="K153" s="2548"/>
      <c r="M153" s="2547">
        <f>+M151</f>
        <v>0</v>
      </c>
      <c r="N153" s="2548"/>
      <c r="P153" s="2547">
        <f>P151*P152</f>
        <v>0</v>
      </c>
      <c r="Q153" s="2548"/>
      <c r="R153" s="3897"/>
      <c r="S153" s="3898"/>
      <c r="T153" s="3899"/>
      <c r="U153" s="1406"/>
      <c r="V153" s="3822"/>
      <c r="W153" s="3823"/>
      <c r="X153" s="3824"/>
    </row>
    <row r="154" spans="1:24" s="293" customFormat="1" ht="14.1" customHeight="1">
      <c r="B154" s="293" t="s">
        <v>2474</v>
      </c>
      <c r="J154" s="2592">
        <f>MIN('Part VI-Revenues &amp; Expenses'!$P$63/'Part VI-Revenues &amp; Expenses'!$P$65,'Part VI-Revenues &amp; Expenses'!$P$166/'Part VI-Revenues &amp; Expenses'!$P$168)</f>
        <v>1</v>
      </c>
      <c r="K154" s="2593"/>
      <c r="M154" s="2592">
        <f>MIN('Part VI-Revenues &amp; Expenses'!$P$63/'Part VI-Revenues &amp; Expenses'!$P$65,'Part VI-Revenues &amp; Expenses'!$P$166/'Part VI-Revenues &amp; Expenses'!$P$168)</f>
        <v>1</v>
      </c>
      <c r="N154" s="2593"/>
      <c r="P154" s="2592">
        <f>MIN('Part VI-Revenues &amp; Expenses'!$P$63/'Part VI-Revenues &amp; Expenses'!$P$65,'Part VI-Revenues &amp; Expenses'!$P$166/'Part VI-Revenues &amp; Expenses'!$P$168)</f>
        <v>1</v>
      </c>
      <c r="Q154" s="2593"/>
      <c r="R154" s="3900"/>
      <c r="S154" s="3901"/>
      <c r="T154" s="3902"/>
      <c r="V154" s="3822"/>
      <c r="W154" s="3823"/>
      <c r="X154" s="3824"/>
    </row>
    <row r="155" spans="1:24" s="293" customFormat="1" ht="14.1" customHeight="1">
      <c r="B155" s="293" t="s">
        <v>1996</v>
      </c>
      <c r="J155" s="2547">
        <f>J153*J154</f>
        <v>11533286.700000001</v>
      </c>
      <c r="K155" s="2548"/>
      <c r="M155" s="2547">
        <f>M153*M154</f>
        <v>0</v>
      </c>
      <c r="N155" s="2548"/>
      <c r="P155" s="2547">
        <f>P153*P154</f>
        <v>0</v>
      </c>
      <c r="Q155" s="2548"/>
      <c r="V155" s="3822"/>
      <c r="W155" s="3823"/>
      <c r="X155" s="3824"/>
    </row>
    <row r="156" spans="1:24" s="293" customFormat="1" ht="14.1" customHeight="1">
      <c r="B156" s="293" t="s">
        <v>1997</v>
      </c>
      <c r="J156" s="3892">
        <v>0.09</v>
      </c>
      <c r="K156" s="3893"/>
      <c r="M156" s="3892"/>
      <c r="N156" s="3893"/>
      <c r="P156" s="3892"/>
      <c r="Q156" s="3893"/>
      <c r="V156" s="3822"/>
      <c r="W156" s="3823"/>
      <c r="X156" s="3824"/>
    </row>
    <row r="157" spans="1:24" s="293" customFormat="1" ht="14.1" customHeight="1" thickBot="1">
      <c r="B157" s="293" t="s">
        <v>2475</v>
      </c>
      <c r="J157" s="2594">
        <f>J155*J156</f>
        <v>1037995.8030000001</v>
      </c>
      <c r="K157" s="2595"/>
      <c r="M157" s="2594">
        <f>M155*M156</f>
        <v>0</v>
      </c>
      <c r="N157" s="2595"/>
      <c r="P157" s="2594">
        <f>P155*P156</f>
        <v>0</v>
      </c>
      <c r="Q157" s="2595"/>
      <c r="V157" s="3903"/>
      <c r="W157" s="3830"/>
      <c r="X157" s="3831"/>
    </row>
    <row r="158" spans="1:24" s="293" customFormat="1" ht="14.1" customHeight="1" thickBot="1">
      <c r="B158" s="295" t="s">
        <v>1396</v>
      </c>
      <c r="J158" s="2524">
        <f>ROUNDDOWN(J157+M157+P157,0)</f>
        <v>1037995</v>
      </c>
      <c r="K158" s="2546"/>
      <c r="L158" s="2546"/>
      <c r="M158" s="2546"/>
      <c r="N158" s="2546"/>
      <c r="O158" s="2546"/>
      <c r="P158" s="2546"/>
      <c r="Q158" s="2525"/>
      <c r="V158" s="3832"/>
      <c r="W158" s="3855"/>
      <c r="X158" s="3856"/>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04"/>
      <c r="I161" s="3904"/>
      <c r="M161" s="535"/>
      <c r="O161" s="3905"/>
      <c r="P161" s="3905"/>
      <c r="Q161" s="3905"/>
      <c r="R161" s="3905"/>
      <c r="S161" s="3905"/>
      <c r="T161" s="3905"/>
      <c r="U161" s="3905"/>
      <c r="V161" s="3905"/>
    </row>
    <row r="162" spans="2:24" s="168" customFormat="1" ht="14.1" customHeight="1">
      <c r="B162" s="3906" t="s">
        <v>4524</v>
      </c>
      <c r="H162" s="3904"/>
      <c r="I162" s="3904"/>
      <c r="M162" s="535"/>
      <c r="O162" s="3907"/>
      <c r="P162" s="3907"/>
      <c r="Q162" s="3907"/>
      <c r="R162" s="3907"/>
      <c r="S162" s="3907"/>
      <c r="T162" s="3907"/>
      <c r="U162" s="3907"/>
      <c r="V162" s="3907"/>
    </row>
    <row r="163" spans="2:24" s="168" customFormat="1" ht="15" customHeight="1">
      <c r="B163" s="168" t="s">
        <v>4526</v>
      </c>
      <c r="J163" s="3908">
        <f>G132</f>
        <v>9959143</v>
      </c>
      <c r="K163" s="3909"/>
      <c r="L163" s="3910"/>
      <c r="V163" s="3911"/>
      <c r="W163" s="3912"/>
    </row>
    <row r="164" spans="2:24" s="168" customFormat="1" ht="13.5" customHeight="1">
      <c r="B164" s="168" t="s">
        <v>4528</v>
      </c>
      <c r="J164" s="3908">
        <f>'Part IV-A-Uses of Funds'!$G$83+'Part IV-A-Uses of Funds'!$G$105+SUM('Part IV-A-Uses of Funds'!$G$121:$H$123)</f>
        <v>405339</v>
      </c>
      <c r="K164" s="3909"/>
      <c r="L164" s="3910"/>
      <c r="V164" s="3911"/>
      <c r="W164" s="3912"/>
    </row>
    <row r="165" spans="2:24" s="168" customFormat="1" ht="13.5" customHeight="1">
      <c r="B165" s="3913" t="s">
        <v>4527</v>
      </c>
      <c r="J165" s="3908">
        <f>J163-J164</f>
        <v>9553804</v>
      </c>
      <c r="K165" s="3909"/>
      <c r="L165" s="3910"/>
      <c r="M165" s="2618" t="str">
        <f>IF(J165&lt;=J166, "","Exceeds Project Cost Limit!   Needs Cost Limit waiver.")</f>
        <v/>
      </c>
      <c r="N165" s="2618"/>
      <c r="O165" s="2618"/>
      <c r="P165" s="2618"/>
      <c r="Q165" s="2618"/>
      <c r="R165" s="2618"/>
      <c r="S165" s="2618"/>
      <c r="T165" s="2618"/>
      <c r="V165" s="3911"/>
      <c r="W165" s="3912"/>
    </row>
    <row r="166" spans="2:24" s="168" customFormat="1" ht="13.5" customHeight="1">
      <c r="B166" s="3914" t="s">
        <v>2678</v>
      </c>
      <c r="C166" s="3913"/>
      <c r="D166" s="3913"/>
      <c r="J166" s="3908">
        <f>'Part VIII-Threshold Criteria'!$P$63</f>
        <v>9657957.5999999996</v>
      </c>
      <c r="K166" s="3909"/>
      <c r="L166" s="3910"/>
      <c r="V166" s="3911"/>
      <c r="W166" s="3912"/>
    </row>
    <row r="167" spans="2:24" s="168" customFormat="1" ht="3" customHeight="1">
      <c r="B167" s="3914"/>
      <c r="C167" s="3913"/>
      <c r="D167" s="3913"/>
      <c r="J167" s="3915"/>
      <c r="K167" s="3915"/>
      <c r="L167" s="3915"/>
      <c r="V167" s="3911"/>
      <c r="W167" s="3912"/>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4529</v>
      </c>
      <c r="J169" s="3916">
        <f>MIN(J163,J166+J164)</f>
        <v>9959143</v>
      </c>
      <c r="K169" s="3917"/>
      <c r="L169" s="3918"/>
      <c r="M169" s="2602" t="s">
        <v>4552</v>
      </c>
      <c r="N169" s="2615"/>
      <c r="O169" s="2615"/>
      <c r="P169" s="2615"/>
      <c r="Q169" s="2615"/>
      <c r="R169" s="2603"/>
      <c r="S169" s="2602" t="s">
        <v>3499</v>
      </c>
      <c r="T169" s="2603"/>
      <c r="V169" s="3822"/>
      <c r="W169" s="3823"/>
      <c r="X169" s="3824"/>
    </row>
    <row r="170" spans="2:24" s="293" customFormat="1" ht="14.1" customHeight="1">
      <c r="B170" s="293" t="s">
        <v>258</v>
      </c>
      <c r="J170" s="2547">
        <f>'Part III-Sources of Funds'!$I$58-'Part III-Sources of Funds'!$I$42-'Part III-Sources of Funds'!$I$43-'Part III-Sources of Funds'!$I$49-'Part III-Sources of Funds'!$I$50</f>
        <v>110</v>
      </c>
      <c r="K170" s="2549"/>
      <c r="L170" s="2606"/>
      <c r="M170" s="2604"/>
      <c r="N170" s="2616"/>
      <c r="O170" s="2616"/>
      <c r="P170" s="2616"/>
      <c r="Q170" s="2616"/>
      <c r="R170" s="2605"/>
      <c r="S170" s="2604"/>
      <c r="T170" s="2605"/>
      <c r="V170" s="3822"/>
      <c r="W170" s="3823"/>
      <c r="X170" s="3824"/>
    </row>
    <row r="171" spans="2:24" s="293" customFormat="1" ht="14.1" customHeight="1">
      <c r="B171" s="293" t="s">
        <v>2175</v>
      </c>
      <c r="J171" s="2547">
        <f>+J169-J170</f>
        <v>9959033</v>
      </c>
      <c r="K171" s="2549"/>
      <c r="L171" s="2606"/>
      <c r="M171" s="2604"/>
      <c r="N171" s="2616"/>
      <c r="O171" s="2616"/>
      <c r="P171" s="2616"/>
      <c r="Q171" s="2616"/>
      <c r="R171" s="2605"/>
      <c r="S171" s="2604"/>
      <c r="T171" s="2605"/>
      <c r="V171" s="3822"/>
      <c r="W171" s="3823"/>
      <c r="X171" s="3824"/>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19"/>
      <c r="V172" s="3822"/>
      <c r="W172" s="3823"/>
      <c r="X172" s="3824"/>
    </row>
    <row r="173" spans="2:24" s="293" customFormat="1" ht="14.1" customHeight="1">
      <c r="B173" s="293" t="s">
        <v>1261</v>
      </c>
      <c r="J173" s="2547">
        <f>J171/10</f>
        <v>995903.3</v>
      </c>
      <c r="K173" s="2549"/>
      <c r="L173" s="2548"/>
      <c r="M173" s="2353"/>
      <c r="N173" s="464"/>
      <c r="O173" s="464"/>
      <c r="P173" s="464"/>
      <c r="Q173" s="464"/>
      <c r="R173" s="464"/>
      <c r="V173" s="1029"/>
      <c r="W173" s="3823"/>
      <c r="X173" s="3824"/>
    </row>
    <row r="174" spans="2:24" s="293" customFormat="1" ht="14.1" customHeight="1">
      <c r="M174" s="311"/>
      <c r="N174" s="2409" t="s">
        <v>1262</v>
      </c>
      <c r="O174" s="2409"/>
      <c r="Q174" s="2409" t="s">
        <v>1754</v>
      </c>
      <c r="R174" s="2409"/>
      <c r="V174" s="3822"/>
      <c r="W174" s="3823"/>
      <c r="X174" s="3824"/>
    </row>
    <row r="175" spans="2:24" s="293" customFormat="1" ht="14.1" customHeight="1" thickBot="1">
      <c r="B175" s="293" t="s">
        <v>1453</v>
      </c>
      <c r="J175" s="2596">
        <f>N175+Q175</f>
        <v>1.2050000000000001</v>
      </c>
      <c r="K175" s="2597"/>
      <c r="L175" s="2598"/>
      <c r="M175" s="2362" t="s">
        <v>1263</v>
      </c>
      <c r="N175" s="3920">
        <v>0.81499999999999995</v>
      </c>
      <c r="O175" s="3921"/>
      <c r="P175" s="2362" t="s">
        <v>595</v>
      </c>
      <c r="Q175" s="3920">
        <v>0.39</v>
      </c>
      <c r="R175" s="3921"/>
      <c r="V175" s="3822"/>
      <c r="W175" s="3823"/>
      <c r="X175" s="3824"/>
    </row>
    <row r="176" spans="2:24" s="293" customFormat="1" ht="14.1" customHeight="1" thickBot="1">
      <c r="B176" s="295" t="s">
        <v>1397</v>
      </c>
      <c r="J176" s="2524">
        <f>ROUNDDOWN(IF(J175=0,"",J173/J175),0)</f>
        <v>826475</v>
      </c>
      <c r="K176" s="2546"/>
      <c r="L176" s="2525"/>
      <c r="M176" s="311"/>
      <c r="N176" s="2353"/>
      <c r="O176" s="2353"/>
      <c r="V176" s="3822"/>
      <c r="W176" s="3823"/>
      <c r="X176" s="3824"/>
    </row>
    <row r="177" spans="1:24" s="293" customFormat="1" ht="6" customHeight="1">
      <c r="J177" s="361"/>
      <c r="K177" s="361"/>
      <c r="L177" s="361"/>
      <c r="M177" s="311"/>
      <c r="N177" s="2356"/>
      <c r="O177" s="2356"/>
      <c r="V177" s="1029"/>
      <c r="W177" s="3823"/>
      <c r="X177" s="3824"/>
    </row>
    <row r="178" spans="1:24" s="293" customFormat="1" ht="14.1" customHeight="1">
      <c r="A178" s="419" t="s">
        <v>1748</v>
      </c>
      <c r="B178" s="419" t="s">
        <v>4525</v>
      </c>
      <c r="H178" s="351"/>
      <c r="I178" s="351"/>
      <c r="L178" s="2353"/>
      <c r="M178" s="467"/>
      <c r="N178" s="2353"/>
      <c r="O178" s="2353"/>
      <c r="P178" s="2353"/>
      <c r="Q178" s="2353"/>
      <c r="R178" s="2353"/>
      <c r="S178" s="2353"/>
      <c r="T178" s="2353"/>
      <c r="V178" s="1029"/>
    </row>
    <row r="179" spans="1:24" s="168" customFormat="1" ht="3" customHeight="1">
      <c r="H179" s="3904"/>
      <c r="I179" s="3904"/>
      <c r="M179" s="535"/>
      <c r="O179" s="3905"/>
      <c r="P179" s="3905"/>
      <c r="Q179" s="3905"/>
      <c r="R179" s="3905"/>
      <c r="S179" s="3905"/>
      <c r="T179" s="3905"/>
      <c r="U179" s="3905"/>
      <c r="V179" s="3905"/>
    </row>
    <row r="180" spans="1:24" s="293" customFormat="1" ht="16.350000000000001" customHeight="1">
      <c r="B180" s="295" t="s">
        <v>4803</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826475</v>
      </c>
      <c r="K180" s="2600"/>
      <c r="L180" s="2601"/>
      <c r="M180" s="311"/>
      <c r="N180" s="2356"/>
      <c r="O180" s="2356"/>
      <c r="V180" s="3822"/>
      <c r="W180" s="3823"/>
      <c r="X180" s="3824"/>
    </row>
    <row r="181" spans="1:24" s="293" customFormat="1" ht="3" customHeight="1">
      <c r="J181" s="361"/>
      <c r="K181" s="361"/>
      <c r="L181" s="361"/>
      <c r="M181" s="311"/>
      <c r="N181" s="2356"/>
      <c r="O181" s="2356"/>
      <c r="V181" s="1029"/>
      <c r="W181" s="3880"/>
      <c r="X181" s="3881"/>
    </row>
    <row r="182" spans="1:24" s="293" customFormat="1" ht="16.350000000000001" customHeight="1">
      <c r="B182" s="295" t="s">
        <v>4804</v>
      </c>
      <c r="J182" s="3922">
        <v>825000</v>
      </c>
      <c r="K182" s="3923"/>
      <c r="L182" s="3924"/>
      <c r="M182" s="362" t="str">
        <f>IF(J180=0,"",IF(J182&gt;J180,"ALLOCATION CANNOT EXCEED MAXIMUM - REVISE REQUEST (Try Round Down)!",""))</f>
        <v/>
      </c>
      <c r="N182" s="2356"/>
      <c r="O182" s="2356"/>
      <c r="V182" s="3822"/>
      <c r="W182" s="3823"/>
      <c r="X182" s="3824"/>
    </row>
    <row r="183" spans="1:24" s="293" customFormat="1" ht="3" customHeight="1">
      <c r="J183" s="361"/>
      <c r="K183" s="361"/>
      <c r="L183" s="361"/>
      <c r="M183" s="311"/>
      <c r="N183" s="2356"/>
      <c r="O183" s="2356"/>
      <c r="V183" s="1029"/>
      <c r="W183" s="3880"/>
      <c r="X183" s="3881"/>
    </row>
    <row r="184" spans="1:24" s="293" customFormat="1" ht="16.350000000000001" customHeight="1">
      <c r="A184" s="419"/>
      <c r="B184" s="419" t="s">
        <v>4805</v>
      </c>
      <c r="D184" s="311"/>
      <c r="E184" s="311"/>
      <c r="F184" s="2345"/>
      <c r="J184" s="2612">
        <f>IF(J182="",0,+MIN(J180,J182))</f>
        <v>825000</v>
      </c>
      <c r="K184" s="2613"/>
      <c r="L184" s="2614"/>
      <c r="N184" s="3925"/>
      <c r="O184" s="3925"/>
      <c r="P184" s="3925"/>
      <c r="Q184" s="3925"/>
      <c r="R184" s="3925"/>
      <c r="S184" s="3925"/>
      <c r="T184" s="3925"/>
      <c r="V184" s="3822"/>
      <c r="W184" s="3823"/>
      <c r="X184" s="3824"/>
    </row>
    <row r="185" spans="1:24" ht="3" customHeight="1"/>
    <row r="186" spans="1:24" ht="6" customHeight="1"/>
    <row r="187" spans="1:24" ht="12" customHeight="1">
      <c r="A187" s="295" t="s">
        <v>1750</v>
      </c>
      <c r="B187" s="319" t="s">
        <v>555</v>
      </c>
      <c r="N187" s="295" t="s">
        <v>516</v>
      </c>
      <c r="O187" s="295" t="s">
        <v>77</v>
      </c>
    </row>
    <row r="188" spans="1:24" ht="352.5" customHeight="1">
      <c r="A188" s="3820" t="s">
        <v>7037</v>
      </c>
      <c r="B188" s="3820"/>
      <c r="C188" s="3820"/>
      <c r="D188" s="3820"/>
      <c r="E188" s="3820"/>
      <c r="F188" s="3820"/>
      <c r="G188" s="3820"/>
      <c r="H188" s="3820"/>
      <c r="I188" s="3820"/>
      <c r="J188" s="3820"/>
      <c r="K188" s="3820"/>
      <c r="L188" s="3820"/>
      <c r="M188" s="3820"/>
      <c r="N188" s="3926"/>
      <c r="O188" s="3926"/>
      <c r="P188" s="3926"/>
      <c r="Q188" s="3926"/>
      <c r="R188" s="3926"/>
      <c r="S188" s="3926"/>
      <c r="T188" s="3926"/>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9PmNqvEZE2Y3WLAA0pbakq96HV/+fPhkCXRFFFzXy4ODP0Sjj11Dk95A2M9+Aih5iS9w8ChNSMIJQgMXWGP4Fw==" saltValue="TO7S11jvcRy+57Scs+tcX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6" zoomScaleNormal="100" workbookViewId="0">
      <selection activeCell="A76"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2020-067 - Boxwood Heights  -  Columbus  -  Muscogee,  County</v>
      </c>
      <c r="B1" s="2623"/>
      <c r="C1" s="2623"/>
      <c r="D1" s="2623"/>
      <c r="E1" s="2623"/>
      <c r="F1" s="2623"/>
      <c r="G1" s="2623"/>
      <c r="H1" s="2623"/>
      <c r="I1" s="900"/>
      <c r="J1" s="900"/>
      <c r="K1" s="900"/>
      <c r="L1" s="900"/>
      <c r="M1" s="900"/>
      <c r="N1" s="900"/>
    </row>
    <row r="2" spans="1:14" ht="9" customHeight="1"/>
    <row r="3" spans="1:14" ht="57" customHeight="1">
      <c r="A3" s="3927" t="s">
        <v>3533</v>
      </c>
      <c r="B3" s="3928"/>
      <c r="C3" s="3928"/>
      <c r="D3" s="3928"/>
      <c r="E3" s="3928"/>
      <c r="F3" s="3928"/>
      <c r="G3" s="3928"/>
      <c r="H3" s="3929"/>
    </row>
    <row r="4" spans="1:14" ht="6" customHeight="1"/>
    <row r="5" spans="1:14" ht="38.25" customHeight="1">
      <c r="A5" s="2624" t="s">
        <v>3623</v>
      </c>
      <c r="B5" s="2624"/>
      <c r="C5" s="2624"/>
      <c r="D5" s="2624"/>
      <c r="F5" s="901" t="s">
        <v>3524</v>
      </c>
      <c r="G5" s="537"/>
      <c r="H5" s="901" t="s">
        <v>3525</v>
      </c>
    </row>
    <row r="6" spans="1:14" ht="6.75" customHeight="1">
      <c r="A6" s="537"/>
      <c r="B6" s="537"/>
      <c r="C6" s="537"/>
      <c r="D6" s="537"/>
    </row>
    <row r="7" spans="1:14" s="3930" customFormat="1" ht="4.5" customHeight="1">
      <c r="A7" s="902"/>
      <c r="B7" s="902"/>
      <c r="C7" s="902"/>
      <c r="D7" s="902"/>
      <c r="E7" s="902"/>
      <c r="F7" s="902"/>
      <c r="G7" s="902"/>
    </row>
    <row r="8" spans="1:14" s="3930" customFormat="1">
      <c r="A8" s="911" t="s">
        <v>99</v>
      </c>
      <c r="B8" s="903"/>
      <c r="C8" s="903"/>
      <c r="D8" s="903"/>
      <c r="E8" s="903"/>
      <c r="F8" s="903"/>
      <c r="G8" s="903"/>
      <c r="H8" s="903"/>
    </row>
    <row r="9" spans="1:14" s="3930" customFormat="1" ht="41.25" customHeight="1">
      <c r="A9" s="2625" t="str">
        <f>'Part IV-A-Uses of Funds'!$C$14</f>
        <v>&lt;&lt; Enter description here; provide detail &amp; justification in tab Part IV-b &gt;&gt;</v>
      </c>
      <c r="B9" s="2626"/>
      <c r="C9" s="2626"/>
      <c r="D9" s="2627"/>
      <c r="F9" s="3931"/>
      <c r="G9" s="903"/>
      <c r="H9" s="3931"/>
    </row>
    <row r="10" spans="1:14" s="3930" customFormat="1" ht="41.25" customHeight="1">
      <c r="A10" s="2628"/>
      <c r="B10" s="2629"/>
      <c r="C10" s="2629"/>
      <c r="D10" s="2630"/>
      <c r="F10" s="3932"/>
      <c r="G10" s="903"/>
      <c r="H10" s="3932"/>
    </row>
    <row r="11" spans="1:14" s="3930" customFormat="1" ht="4.5" customHeight="1">
      <c r="F11" s="3932"/>
      <c r="G11" s="903"/>
      <c r="H11" s="3932"/>
    </row>
    <row r="12" spans="1:14" s="3930" customFormat="1" ht="15" customHeight="1">
      <c r="A12" s="910" t="s">
        <v>3527</v>
      </c>
      <c r="B12" s="909">
        <f>'Part IV-A-Uses of Funds'!$G$14</f>
        <v>0</v>
      </c>
      <c r="C12" s="910" t="s">
        <v>1746</v>
      </c>
      <c r="D12" s="909">
        <f>'Part IV-A-Uses of Funds'!$J$14+'Part IV-A-Uses of Funds'!$M$14+'Part IV-A-Uses of Funds'!$P$14</f>
        <v>0</v>
      </c>
      <c r="F12" s="3932"/>
      <c r="G12" s="903"/>
      <c r="H12" s="3932"/>
    </row>
    <row r="13" spans="1:14" s="3930" customFormat="1" ht="6" customHeight="1">
      <c r="A13" s="903"/>
      <c r="B13" s="904"/>
      <c r="C13" s="903"/>
      <c r="D13" s="903"/>
      <c r="F13" s="3932"/>
      <c r="G13" s="905"/>
      <c r="H13" s="3932"/>
    </row>
    <row r="14" spans="1:14" s="3930" customFormat="1" ht="41.25" customHeight="1">
      <c r="A14" s="2625" t="str">
        <f>'Part IV-A-Uses of Funds'!$C$15</f>
        <v>&lt;&lt; Enter description here; provide detail &amp; justification in tab Part IV-b &gt;&gt;</v>
      </c>
      <c r="B14" s="2626"/>
      <c r="C14" s="2626"/>
      <c r="D14" s="2627"/>
      <c r="F14" s="3932"/>
      <c r="G14" s="903"/>
      <c r="H14" s="3932"/>
    </row>
    <row r="15" spans="1:14" s="3930" customFormat="1" ht="41.25" customHeight="1">
      <c r="A15" s="2628"/>
      <c r="B15" s="2629"/>
      <c r="C15" s="2629"/>
      <c r="D15" s="2630"/>
      <c r="F15" s="3932"/>
      <c r="G15" s="903"/>
      <c r="H15" s="3932"/>
    </row>
    <row r="16" spans="1:14" s="3930" customFormat="1" ht="4.5" customHeight="1">
      <c r="F16" s="3932"/>
      <c r="G16" s="903"/>
      <c r="H16" s="3932"/>
    </row>
    <row r="17" spans="1:8" s="3930" customFormat="1" ht="15" customHeight="1">
      <c r="A17" s="910" t="s">
        <v>3527</v>
      </c>
      <c r="B17" s="909">
        <f>'Part IV-A-Uses of Funds'!$G$15</f>
        <v>0</v>
      </c>
      <c r="C17" s="910" t="s">
        <v>1746</v>
      </c>
      <c r="D17" s="909">
        <f>'Part IV-A-Uses of Funds'!$J$15+'Part IV-A-Uses of Funds'!$M$15+'Part IV-A-Uses of Funds'!$P$15</f>
        <v>0</v>
      </c>
      <c r="F17" s="3932"/>
      <c r="G17" s="903"/>
      <c r="H17" s="3932"/>
    </row>
    <row r="18" spans="1:8" s="3930" customFormat="1" ht="6" customHeight="1">
      <c r="A18" s="903"/>
      <c r="B18" s="904"/>
      <c r="C18" s="903"/>
      <c r="D18" s="903"/>
      <c r="F18" s="3932"/>
      <c r="G18" s="905"/>
      <c r="H18" s="3932"/>
    </row>
    <row r="19" spans="1:8" s="3930" customFormat="1" ht="41.25" customHeight="1">
      <c r="A19" s="2625" t="str">
        <f>'Part IV-A-Uses of Funds'!$C$16</f>
        <v>&lt;&lt; Enter description here; provide detail &amp; justification in tab Part IV-b &gt;&gt;</v>
      </c>
      <c r="B19" s="2626"/>
      <c r="C19" s="2626"/>
      <c r="D19" s="2627"/>
      <c r="F19" s="3932"/>
      <c r="G19" s="903"/>
      <c r="H19" s="3932"/>
    </row>
    <row r="20" spans="1:8" s="3930" customFormat="1" ht="41.25" customHeight="1">
      <c r="A20" s="2628"/>
      <c r="B20" s="2629"/>
      <c r="C20" s="2629"/>
      <c r="D20" s="2630"/>
      <c r="F20" s="3932"/>
      <c r="G20" s="903"/>
      <c r="H20" s="3932"/>
    </row>
    <row r="21" spans="1:8" s="3930" customFormat="1" ht="4.5" customHeight="1">
      <c r="F21" s="3932"/>
      <c r="G21" s="903"/>
      <c r="H21" s="3932"/>
    </row>
    <row r="22" spans="1:8" s="3930" customFormat="1" ht="15" customHeight="1">
      <c r="A22" s="910" t="s">
        <v>3527</v>
      </c>
      <c r="B22" s="909">
        <f>'Part IV-A-Uses of Funds'!$G$16</f>
        <v>0</v>
      </c>
      <c r="C22" s="910" t="s">
        <v>1746</v>
      </c>
      <c r="D22" s="909">
        <f>'Part IV-A-Uses of Funds'!$J$16+'Part IV-A-Uses of Funds'!$M$16+'Part IV-A-Uses of Funds'!$P$16</f>
        <v>0</v>
      </c>
      <c r="F22" s="3932"/>
      <c r="G22" s="903"/>
      <c r="H22" s="3932"/>
    </row>
    <row r="23" spans="1:8" s="3930" customFormat="1" ht="6" customHeight="1">
      <c r="A23" s="903"/>
      <c r="B23" s="904"/>
      <c r="C23" s="903"/>
      <c r="D23" s="903"/>
      <c r="F23" s="3933"/>
      <c r="G23" s="905"/>
      <c r="H23" s="3933"/>
    </row>
    <row r="24" spans="1:8" s="3930" customFormat="1">
      <c r="A24" s="911" t="s">
        <v>3526</v>
      </c>
      <c r="B24" s="903"/>
      <c r="C24" s="903"/>
      <c r="D24" s="903"/>
      <c r="E24" s="903"/>
      <c r="F24" s="903"/>
      <c r="G24" s="903"/>
    </row>
    <row r="25" spans="1:8" s="3930" customFormat="1" ht="41.25" customHeight="1">
      <c r="A25" s="2625" t="str">
        <f>'Part IV-A-Uses of Funds'!$C$41</f>
        <v>&lt;&lt; Enter description here; provide detail &amp; justification in tab Part IV-b &gt;&gt;</v>
      </c>
      <c r="B25" s="2626"/>
      <c r="C25" s="2626"/>
      <c r="D25" s="2627"/>
      <c r="E25" s="903"/>
      <c r="F25" s="3934"/>
      <c r="G25" s="903"/>
      <c r="H25" s="3934"/>
    </row>
    <row r="26" spans="1:8" s="3930" customFormat="1" ht="41.25" customHeight="1">
      <c r="A26" s="2628"/>
      <c r="B26" s="2629"/>
      <c r="C26" s="2629"/>
      <c r="D26" s="2630"/>
      <c r="E26" s="903"/>
      <c r="F26" s="3935"/>
      <c r="G26" s="903"/>
      <c r="H26" s="3935"/>
    </row>
    <row r="27" spans="1:8" s="3930" customFormat="1" ht="4.5" customHeight="1">
      <c r="A27" s="903"/>
      <c r="B27" s="903"/>
      <c r="C27" s="903"/>
      <c r="D27" s="903"/>
      <c r="E27" s="903"/>
      <c r="F27" s="3935"/>
      <c r="G27" s="903"/>
      <c r="H27" s="3935"/>
    </row>
    <row r="28" spans="1:8" s="3930" customFormat="1" ht="10.199999999999999">
      <c r="A28" s="910" t="s">
        <v>3527</v>
      </c>
      <c r="B28" s="909">
        <f>'Part IV-A-Uses of Funds'!$G$41</f>
        <v>0</v>
      </c>
      <c r="C28" s="910" t="s">
        <v>1746</v>
      </c>
      <c r="D28" s="909">
        <f>'Part IV-A-Uses of Funds'!$J$41+'Part IV-A-Uses of Funds'!$M$41+'Part IV-A-Uses of Funds'!$P$41</f>
        <v>0</v>
      </c>
      <c r="E28" s="903"/>
      <c r="F28" s="3935"/>
      <c r="G28" s="903"/>
      <c r="H28" s="3935"/>
    </row>
    <row r="29" spans="1:8" s="3930" customFormat="1" ht="6" customHeight="1">
      <c r="A29" s="903"/>
      <c r="B29" s="904"/>
      <c r="C29" s="903"/>
      <c r="D29" s="903"/>
      <c r="E29" s="903"/>
      <c r="F29" s="3936"/>
      <c r="G29" s="905"/>
      <c r="H29" s="3936"/>
    </row>
    <row r="30" spans="1:8" s="3930" customFormat="1">
      <c r="A30" s="911" t="s">
        <v>704</v>
      </c>
      <c r="B30" s="903"/>
      <c r="C30" s="903"/>
      <c r="D30" s="903"/>
      <c r="E30" s="903"/>
      <c r="F30" s="903"/>
      <c r="G30" s="903"/>
    </row>
    <row r="31" spans="1:8" s="3930" customFormat="1" ht="41.25" customHeight="1">
      <c r="A31" s="2631" t="str">
        <f>'Part IV-A-Uses of Funds'!$C$62</f>
        <v>&lt;&lt; Enter description here; provide detail &amp; justification in tab Part IV-b &gt;&gt;</v>
      </c>
      <c r="B31" s="2632"/>
      <c r="C31" s="2632"/>
      <c r="D31" s="2633"/>
      <c r="E31" s="903"/>
      <c r="F31" s="3931"/>
      <c r="G31" s="903"/>
      <c r="H31" s="3931"/>
    </row>
    <row r="32" spans="1:8" s="3930" customFormat="1" ht="41.25" customHeight="1">
      <c r="A32" s="2628"/>
      <c r="B32" s="2629"/>
      <c r="C32" s="2629"/>
      <c r="D32" s="2630"/>
      <c r="E32" s="903"/>
      <c r="F32" s="3932"/>
      <c r="G32" s="903"/>
      <c r="H32" s="3932"/>
    </row>
    <row r="33" spans="1:8" s="3930" customFormat="1" ht="4.5" customHeight="1">
      <c r="A33" s="903"/>
      <c r="B33" s="903"/>
      <c r="C33" s="903"/>
      <c r="D33" s="903"/>
      <c r="E33" s="903"/>
      <c r="F33" s="3932"/>
      <c r="G33" s="903"/>
      <c r="H33" s="3932"/>
    </row>
    <row r="34" spans="1:8" s="3930" customFormat="1" ht="14.25" customHeight="1">
      <c r="A34" s="910" t="s">
        <v>3527</v>
      </c>
      <c r="B34" s="909">
        <f>'Part IV-A-Uses of Funds'!$G$62</f>
        <v>0</v>
      </c>
      <c r="C34" s="910" t="s">
        <v>1746</v>
      </c>
      <c r="D34" s="909">
        <f>'Part IV-A-Uses of Funds'!$J$62+'Part IV-A-Uses of Funds'!$M$62+'Part IV-A-Uses of Funds'!$P$62</f>
        <v>0</v>
      </c>
      <c r="E34" s="903"/>
      <c r="F34" s="3932"/>
      <c r="G34" s="903"/>
      <c r="H34" s="3932"/>
    </row>
    <row r="35" spans="1:8" s="3930" customFormat="1" ht="6" customHeight="1">
      <c r="D35" s="903"/>
      <c r="E35" s="903"/>
      <c r="F35" s="3932"/>
      <c r="G35" s="905"/>
      <c r="H35" s="3932"/>
    </row>
    <row r="36" spans="1:8" s="3930" customFormat="1" ht="41.25" customHeight="1">
      <c r="A36" s="2631" t="str">
        <f>'Part IV-A-Uses of Funds'!$C$63</f>
        <v>&lt;&lt; Enter description here; provide detail &amp; justification in tab Part IV-b &gt;&gt;</v>
      </c>
      <c r="B36" s="2632"/>
      <c r="C36" s="2632"/>
      <c r="D36" s="2633"/>
      <c r="E36" s="903"/>
      <c r="F36" s="3932"/>
      <c r="G36" s="903"/>
      <c r="H36" s="3932"/>
    </row>
    <row r="37" spans="1:8" s="3930" customFormat="1" ht="41.25" customHeight="1">
      <c r="A37" s="2628"/>
      <c r="B37" s="2629"/>
      <c r="C37" s="2629"/>
      <c r="D37" s="2630"/>
      <c r="E37" s="903"/>
      <c r="F37" s="3932"/>
      <c r="G37" s="903"/>
      <c r="H37" s="3932"/>
    </row>
    <row r="38" spans="1:8" s="3930" customFormat="1" ht="4.5" customHeight="1">
      <c r="A38" s="903"/>
      <c r="B38" s="903"/>
      <c r="C38" s="903"/>
      <c r="D38" s="903"/>
      <c r="E38" s="903"/>
      <c r="F38" s="3932"/>
      <c r="G38" s="903"/>
      <c r="H38" s="3932"/>
    </row>
    <row r="39" spans="1:8" s="3930" customFormat="1" ht="14.25" customHeight="1">
      <c r="A39" s="910" t="s">
        <v>3527</v>
      </c>
      <c r="B39" s="909">
        <f>'Part IV-A-Uses of Funds'!$G$63</f>
        <v>0</v>
      </c>
      <c r="C39" s="910" t="s">
        <v>1746</v>
      </c>
      <c r="D39" s="909">
        <f>'Part IV-A-Uses of Funds'!$J$63+'Part IV-A-Uses of Funds'!$M$63+'Part IV-A-Uses of Funds'!$P$63</f>
        <v>0</v>
      </c>
      <c r="E39" s="903"/>
      <c r="F39" s="3932"/>
      <c r="G39" s="903"/>
      <c r="H39" s="3932"/>
    </row>
    <row r="40" spans="1:8" s="3930" customFormat="1" ht="6" customHeight="1">
      <c r="D40" s="903"/>
      <c r="E40" s="903"/>
      <c r="F40" s="3933"/>
      <c r="G40" s="905"/>
      <c r="H40" s="3933"/>
    </row>
    <row r="41" spans="1:8" s="3930" customFormat="1">
      <c r="A41" s="911" t="s">
        <v>467</v>
      </c>
      <c r="B41" s="903"/>
      <c r="C41" s="903"/>
      <c r="D41" s="903"/>
      <c r="E41" s="907"/>
      <c r="F41" s="907"/>
      <c r="G41" s="903"/>
    </row>
    <row r="42" spans="1:8" s="3930" customFormat="1" ht="41.25" customHeight="1">
      <c r="A42" s="2631" t="str">
        <f>'Part IV-A-Uses of Funds'!$C$76</f>
        <v>&lt;&lt; Enter description here; provide detail &amp; justification in tab Part IV-b &gt;&gt;</v>
      </c>
      <c r="B42" s="2632"/>
      <c r="C42" s="2632"/>
      <c r="D42" s="2633"/>
      <c r="F42" s="3934"/>
      <c r="G42" s="903"/>
      <c r="H42" s="3934"/>
    </row>
    <row r="43" spans="1:8" s="3930" customFormat="1" ht="41.25" customHeight="1">
      <c r="A43" s="2628"/>
      <c r="B43" s="2629"/>
      <c r="C43" s="2629"/>
      <c r="D43" s="2630"/>
      <c r="E43" s="903"/>
      <c r="F43" s="3935"/>
      <c r="G43" s="903"/>
      <c r="H43" s="3935"/>
    </row>
    <row r="44" spans="1:8" s="3930" customFormat="1" ht="4.5" customHeight="1">
      <c r="A44" s="903"/>
      <c r="B44" s="903"/>
      <c r="C44" s="903"/>
      <c r="D44" s="903"/>
      <c r="E44" s="903"/>
      <c r="F44" s="3935"/>
      <c r="G44" s="903"/>
      <c r="H44" s="3935"/>
    </row>
    <row r="45" spans="1:8" s="3930" customFormat="1" ht="13.5" customHeight="1">
      <c r="A45" s="910" t="s">
        <v>3527</v>
      </c>
      <c r="B45" s="909">
        <f>'Part IV-A-Uses of Funds'!$G$76</f>
        <v>0</v>
      </c>
      <c r="C45" s="910" t="s">
        <v>1746</v>
      </c>
      <c r="D45" s="909">
        <f>'Part IV-A-Uses of Funds'!$J$76+'Part IV-A-Uses of Funds'!$M$76+'Part IV-A-Uses of Funds'!$P$76</f>
        <v>0</v>
      </c>
      <c r="E45" s="903"/>
      <c r="F45" s="3935"/>
      <c r="G45" s="903"/>
      <c r="H45" s="3935"/>
    </row>
    <row r="46" spans="1:8" s="3930" customFormat="1" ht="6" customHeight="1">
      <c r="A46" s="903"/>
      <c r="B46" s="904"/>
      <c r="C46" s="903"/>
      <c r="D46" s="903"/>
      <c r="E46" s="903"/>
      <c r="F46" s="3936"/>
      <c r="G46" s="905"/>
      <c r="H46" s="3936"/>
    </row>
    <row r="47" spans="1:8" s="3930" customFormat="1">
      <c r="A47" s="911" t="s">
        <v>706</v>
      </c>
      <c r="B47" s="903"/>
      <c r="C47" s="903"/>
      <c r="D47" s="903"/>
      <c r="E47" s="903"/>
      <c r="F47" s="903"/>
      <c r="G47" s="903"/>
    </row>
    <row r="48" spans="1:8" s="3930" customFormat="1" ht="41.25" customHeight="1">
      <c r="A48" s="2631" t="str">
        <f>'Part IV-A-Uses of Funds'!$C$90</f>
        <v>&lt;&lt; Enter description here; provide detail &amp; justification in tab Part IV-b &gt;&gt;</v>
      </c>
      <c r="B48" s="2632"/>
      <c r="C48" s="2632"/>
      <c r="D48" s="2633"/>
      <c r="F48" s="3934"/>
      <c r="G48" s="903"/>
    </row>
    <row r="49" spans="1:7" s="3930" customFormat="1" ht="41.25" customHeight="1">
      <c r="A49" s="2628"/>
      <c r="B49" s="2629"/>
      <c r="C49" s="2629"/>
      <c r="D49" s="2630"/>
      <c r="E49" s="903"/>
      <c r="F49" s="3935"/>
      <c r="G49" s="903"/>
    </row>
    <row r="50" spans="1:7" s="3930" customFormat="1" ht="3" customHeight="1">
      <c r="A50" s="903"/>
      <c r="B50" s="903"/>
      <c r="C50" s="903"/>
      <c r="D50" s="903"/>
      <c r="E50" s="903"/>
      <c r="F50" s="3935"/>
      <c r="G50" s="903"/>
    </row>
    <row r="51" spans="1:7" s="3930" customFormat="1" ht="13.5" customHeight="1">
      <c r="A51" s="910" t="s">
        <v>3527</v>
      </c>
      <c r="B51" s="909">
        <f>'Part IV-A-Uses of Funds'!$G$90</f>
        <v>0</v>
      </c>
      <c r="C51" s="906"/>
      <c r="D51" s="906"/>
      <c r="E51" s="903"/>
      <c r="F51" s="3935"/>
      <c r="G51" s="903"/>
    </row>
    <row r="52" spans="1:7" s="3930" customFormat="1" ht="3.75" customHeight="1">
      <c r="A52" s="903"/>
      <c r="B52" s="903"/>
      <c r="C52" s="903"/>
      <c r="D52" s="903"/>
      <c r="E52" s="903"/>
      <c r="F52" s="3936"/>
      <c r="G52" s="905"/>
    </row>
    <row r="53" spans="1:7" s="3930" customFormat="1">
      <c r="A53" s="911" t="s">
        <v>3528</v>
      </c>
      <c r="B53" s="903"/>
      <c r="C53" s="903"/>
      <c r="D53" s="903"/>
      <c r="E53" s="903"/>
      <c r="F53" s="903"/>
      <c r="G53" s="903"/>
    </row>
    <row r="54" spans="1:7" s="3930" customFormat="1" ht="41.25" customHeight="1">
      <c r="A54" s="2631" t="str">
        <f>'Part IV-A-Uses of Funds'!$C$103</f>
        <v>&lt;&lt; Enter description here; provide detail &amp; justification in tab Part IV-b &gt;&gt;</v>
      </c>
      <c r="B54" s="2632"/>
      <c r="C54" s="2632"/>
      <c r="D54" s="2633"/>
      <c r="F54" s="3931"/>
      <c r="G54" s="903"/>
    </row>
    <row r="55" spans="1:7" s="3930" customFormat="1" ht="41.25" customHeight="1">
      <c r="A55" s="2628"/>
      <c r="B55" s="2629"/>
      <c r="C55" s="2629"/>
      <c r="D55" s="2630"/>
      <c r="E55" s="903"/>
      <c r="F55" s="3932"/>
      <c r="G55" s="903"/>
    </row>
    <row r="56" spans="1:7" s="3930" customFormat="1" ht="3" customHeight="1">
      <c r="A56" s="903"/>
      <c r="B56" s="903"/>
      <c r="C56" s="903"/>
      <c r="D56" s="903"/>
      <c r="E56" s="903"/>
      <c r="F56" s="3932"/>
      <c r="G56" s="903"/>
    </row>
    <row r="57" spans="1:7" s="3930" customFormat="1" ht="10.199999999999999">
      <c r="A57" s="910" t="s">
        <v>3527</v>
      </c>
      <c r="B57" s="909">
        <f>'Part IV-A-Uses of Funds'!$G$103</f>
        <v>0</v>
      </c>
      <c r="C57" s="906"/>
      <c r="D57" s="906"/>
      <c r="E57" s="903"/>
      <c r="F57" s="3932"/>
      <c r="G57" s="903"/>
    </row>
    <row r="58" spans="1:7" s="3930" customFormat="1" ht="3.75" customHeight="1">
      <c r="A58" s="902"/>
      <c r="B58" s="902"/>
      <c r="C58" s="902"/>
      <c r="D58" s="902"/>
      <c r="E58" s="902"/>
      <c r="F58" s="3932"/>
      <c r="G58" s="905"/>
    </row>
    <row r="59" spans="1:7" s="3930" customFormat="1" ht="41.25" customHeight="1">
      <c r="A59" s="2631" t="str">
        <f>'Part IV-A-Uses of Funds'!$C$104</f>
        <v>&lt;&lt; Enter description here; provide detail &amp; justification in tab Part IV-b &gt;&gt;</v>
      </c>
      <c r="B59" s="2632"/>
      <c r="C59" s="2632"/>
      <c r="D59" s="2633"/>
      <c r="F59" s="3932"/>
      <c r="G59" s="903"/>
    </row>
    <row r="60" spans="1:7" s="3930" customFormat="1" ht="41.25" customHeight="1">
      <c r="A60" s="2628"/>
      <c r="B60" s="2629"/>
      <c r="C60" s="2629"/>
      <c r="D60" s="2630"/>
      <c r="E60" s="903"/>
      <c r="F60" s="3932"/>
      <c r="G60" s="903"/>
    </row>
    <row r="61" spans="1:7" s="3930" customFormat="1" ht="3" customHeight="1">
      <c r="A61" s="903"/>
      <c r="B61" s="903"/>
      <c r="C61" s="903"/>
      <c r="D61" s="903"/>
      <c r="E61" s="903"/>
      <c r="F61" s="3932"/>
      <c r="G61" s="903"/>
    </row>
    <row r="62" spans="1:7" s="3930" customFormat="1" ht="10.199999999999999">
      <c r="A62" s="910" t="s">
        <v>3527</v>
      </c>
      <c r="B62" s="909">
        <f>'Part IV-A-Uses of Funds'!$G$104</f>
        <v>0</v>
      </c>
      <c r="C62" s="906"/>
      <c r="D62" s="906"/>
      <c r="E62" s="903"/>
      <c r="F62" s="3932"/>
      <c r="G62" s="903"/>
    </row>
    <row r="63" spans="1:7" s="3930" customFormat="1" ht="3.75" customHeight="1">
      <c r="A63" s="902"/>
      <c r="B63" s="902"/>
      <c r="C63" s="902"/>
      <c r="D63" s="902"/>
      <c r="E63" s="902"/>
      <c r="F63" s="3933"/>
      <c r="G63" s="905"/>
    </row>
    <row r="64" spans="1:7" s="3930" customFormat="1">
      <c r="A64" s="911" t="s">
        <v>3529</v>
      </c>
      <c r="B64" s="903"/>
      <c r="C64" s="903"/>
      <c r="D64" s="903"/>
      <c r="E64" s="903"/>
      <c r="F64" s="903"/>
      <c r="G64" s="903"/>
    </row>
    <row r="65" spans="1:8" s="3930" customFormat="1" ht="41.25" customHeight="1">
      <c r="A65" s="2631" t="str">
        <f>'Part IV-A-Uses of Funds'!$C$110</f>
        <v>&lt;&lt; Enter description here; provide detail &amp; justification in tab Part IV-b &gt;&gt;</v>
      </c>
      <c r="B65" s="2632"/>
      <c r="C65" s="2632"/>
      <c r="D65" s="2633"/>
      <c r="F65" s="3934"/>
      <c r="G65" s="903"/>
    </row>
    <row r="66" spans="1:8" s="3930" customFormat="1" ht="41.25" customHeight="1">
      <c r="A66" s="2628"/>
      <c r="B66" s="2629"/>
      <c r="C66" s="2629"/>
      <c r="D66" s="2630"/>
      <c r="E66" s="903"/>
      <c r="F66" s="3935"/>
      <c r="G66" s="903"/>
    </row>
    <row r="67" spans="1:8" s="3930" customFormat="1" ht="3" customHeight="1">
      <c r="A67" s="903"/>
      <c r="B67" s="903"/>
      <c r="C67" s="903"/>
      <c r="D67" s="903"/>
      <c r="E67" s="903"/>
      <c r="F67" s="3935"/>
      <c r="G67" s="903"/>
    </row>
    <row r="68" spans="1:8" s="3930" customFormat="1" ht="10.199999999999999">
      <c r="A68" s="910" t="s">
        <v>3527</v>
      </c>
      <c r="B68" s="909">
        <f>'Part IV-A-Uses of Funds'!$G$110</f>
        <v>0</v>
      </c>
      <c r="C68" s="906"/>
      <c r="D68" s="906"/>
      <c r="E68" s="903"/>
      <c r="F68" s="3935"/>
      <c r="G68" s="903"/>
    </row>
    <row r="69" spans="1:8" s="3930" customFormat="1" ht="3.75" customHeight="1">
      <c r="A69" s="903"/>
      <c r="B69" s="904"/>
      <c r="C69" s="903"/>
      <c r="D69" s="903"/>
      <c r="E69" s="903"/>
      <c r="F69" s="3936"/>
      <c r="G69" s="905"/>
    </row>
    <row r="70" spans="1:8" s="3930" customFormat="1">
      <c r="A70" s="911" t="s">
        <v>1282</v>
      </c>
      <c r="B70" s="903"/>
      <c r="C70" s="903"/>
      <c r="D70" s="903"/>
      <c r="E70" s="903"/>
      <c r="F70" s="903"/>
      <c r="G70" s="903"/>
    </row>
    <row r="71" spans="1:8" s="3930" customFormat="1" ht="41.25" customHeight="1">
      <c r="A71" s="2631" t="str">
        <f>'Part IV-A-Uses of Funds'!$C$125</f>
        <v>&lt;&lt; Enter description here; provide detail &amp; justification in tab Part IV-b &gt;&gt;</v>
      </c>
      <c r="B71" s="2632"/>
      <c r="C71" s="2632"/>
      <c r="D71" s="2633"/>
      <c r="F71" s="3934"/>
      <c r="G71" s="903"/>
      <c r="H71" s="3934"/>
    </row>
    <row r="72" spans="1:8" s="3930" customFormat="1" ht="41.25" customHeight="1">
      <c r="A72" s="2628"/>
      <c r="B72" s="2629"/>
      <c r="C72" s="2629"/>
      <c r="D72" s="2630"/>
      <c r="E72" s="903"/>
      <c r="F72" s="3935"/>
      <c r="G72" s="903"/>
      <c r="H72" s="3935"/>
    </row>
    <row r="73" spans="1:8" s="3930" customFormat="1" ht="4.5" customHeight="1">
      <c r="A73" s="903"/>
      <c r="B73" s="903"/>
      <c r="C73" s="903"/>
      <c r="D73" s="903"/>
      <c r="E73" s="903"/>
      <c r="F73" s="3935"/>
      <c r="G73" s="903"/>
      <c r="H73" s="3935"/>
    </row>
    <row r="74" spans="1:8" s="3930" customFormat="1" ht="12.75" customHeight="1">
      <c r="A74" s="910" t="s">
        <v>3527</v>
      </c>
      <c r="B74" s="909">
        <f>'Part IV-A-Uses of Funds'!$G$125</f>
        <v>0</v>
      </c>
      <c r="C74" s="910" t="s">
        <v>1746</v>
      </c>
      <c r="D74" s="909">
        <f>'Part IV-A-Uses of Funds'!$J$125+'Part IV-A-Uses of Funds'!$M$125+'Part IV-A-Uses of Funds'!$P$125</f>
        <v>0</v>
      </c>
      <c r="E74" s="903"/>
      <c r="F74" s="3935"/>
      <c r="G74" s="903"/>
      <c r="H74" s="3935"/>
    </row>
    <row r="75" spans="1:8" s="3930" customFormat="1" ht="6" customHeight="1">
      <c r="A75" s="903"/>
      <c r="B75" s="904"/>
      <c r="C75" s="903"/>
      <c r="D75" s="903"/>
      <c r="E75" s="903"/>
      <c r="F75" s="3936"/>
      <c r="G75" s="905"/>
      <c r="H75" s="3936"/>
    </row>
    <row r="76" spans="1:8" s="3930" customFormat="1">
      <c r="A76" s="911" t="s">
        <v>3530</v>
      </c>
      <c r="B76" s="904"/>
      <c r="C76" s="903"/>
      <c r="D76" s="903"/>
      <c r="E76" s="903"/>
      <c r="F76" s="903"/>
      <c r="G76" s="905"/>
    </row>
    <row r="77" spans="1:8" s="3930" customFormat="1" ht="41.25" customHeight="1">
      <c r="A77" s="2631" t="str">
        <f>'Part IV-A-Uses of Funds'!$C$129</f>
        <v>&lt;&lt; Enter description here; provide detail &amp; justification in tab Part IV-b &gt;&gt;</v>
      </c>
      <c r="B77" s="2632"/>
      <c r="C77" s="2632"/>
      <c r="D77" s="2633"/>
      <c r="F77" s="3934"/>
      <c r="G77" s="903"/>
      <c r="H77" s="3934"/>
    </row>
    <row r="78" spans="1:8" s="3930" customFormat="1" ht="41.25" customHeight="1">
      <c r="A78" s="2628"/>
      <c r="B78" s="2629"/>
      <c r="C78" s="2629"/>
      <c r="D78" s="2630"/>
      <c r="E78" s="903"/>
      <c r="F78" s="3935"/>
      <c r="G78" s="903"/>
      <c r="H78" s="3935"/>
    </row>
    <row r="79" spans="1:8" s="3930" customFormat="1" ht="4.5" customHeight="1">
      <c r="A79" s="903"/>
      <c r="B79" s="903"/>
      <c r="C79" s="903"/>
      <c r="D79" s="903"/>
      <c r="E79" s="903"/>
      <c r="F79" s="3935"/>
      <c r="G79" s="903"/>
      <c r="H79" s="3935"/>
    </row>
    <row r="80" spans="1:8" s="3930" customFormat="1" ht="12.75" customHeight="1">
      <c r="A80" s="910" t="s">
        <v>3527</v>
      </c>
      <c r="B80" s="909">
        <f>'Part IV-A-Uses of Funds'!$G$129</f>
        <v>0</v>
      </c>
      <c r="C80" s="910" t="s">
        <v>1746</v>
      </c>
      <c r="D80" s="909">
        <f>'Part IV-A-Uses of Funds'!$J$129+'Part IV-A-Uses of Funds'!$M$129+'Part IV-A-Uses of Funds'!$P$129</f>
        <v>0</v>
      </c>
      <c r="E80" s="908"/>
      <c r="F80" s="3935"/>
      <c r="G80" s="903"/>
      <c r="H80" s="3935"/>
    </row>
    <row r="81" spans="4:8" s="3930" customFormat="1" ht="6" customHeight="1">
      <c r="D81" s="3937"/>
      <c r="E81" s="3938"/>
      <c r="F81" s="3936"/>
      <c r="G81" s="905"/>
      <c r="H81" s="3936"/>
    </row>
    <row r="82" spans="4:8" s="3930" customFormat="1" ht="10.199999999999999"/>
    <row r="83" spans="4:8" s="3930" customFormat="1" ht="10.199999999999999"/>
    <row r="84" spans="4:8" s="3930" customFormat="1" ht="10.199999999999999"/>
    <row r="85" spans="4:8" s="3930" customFormat="1" ht="10.199999999999999"/>
    <row r="86" spans="4:8" s="3930" customFormat="1" ht="10.199999999999999"/>
    <row r="87" spans="4:8" s="3930" customFormat="1" ht="10.199999999999999"/>
    <row r="88" spans="4:8" s="3930" customFormat="1" ht="10.199999999999999"/>
    <row r="89" spans="4:8" s="3930" customFormat="1" ht="10.199999999999999"/>
    <row r="90" spans="4:8" s="3930" customFormat="1" ht="10.199999999999999"/>
    <row r="91" spans="4:8" s="3930" customFormat="1" ht="10.199999999999999"/>
    <row r="92" spans="4:8" s="3930" customFormat="1" ht="10.199999999999999"/>
  </sheetData>
  <sheetProtection algorithmName="SHA-512" hashValue="L94bxzEgwj7qp0NWm4XLUwLUCjmWkx3ceDF2UV4eagCYT/Un+pa2qNBivYP/q9oLuYMBwKK4A5VOj+d+hsRaBg==" saltValue="4ZogrBOzYrzqpP2OwF8m9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34" zoomScaleNormal="100" workbookViewId="0">
      <selection activeCell="A34"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2020-067 Boxwood Heights, Columbus, Muscogee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71"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2170</v>
      </c>
      <c r="F7" s="1" t="s">
        <v>2452</v>
      </c>
      <c r="G7" s="1"/>
      <c r="H7" s="1"/>
      <c r="I7" s="3939" t="s">
        <v>7039</v>
      </c>
      <c r="J7" s="3940"/>
      <c r="K7" s="3940"/>
      <c r="L7" s="3940"/>
      <c r="M7" s="3941"/>
    </row>
    <row r="8" spans="1:20" s="8" customFormat="1" ht="13.35" customHeight="1">
      <c r="A8" s="13"/>
      <c r="F8" s="1" t="s">
        <v>618</v>
      </c>
      <c r="G8" s="1"/>
      <c r="H8" s="33"/>
      <c r="I8" s="3942">
        <v>43658</v>
      </c>
      <c r="J8" s="3943"/>
      <c r="K8" s="6" t="s">
        <v>525</v>
      </c>
      <c r="L8" s="3944" t="s">
        <v>7040</v>
      </c>
      <c r="M8" s="3945"/>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70" t="s">
        <v>624</v>
      </c>
      <c r="G11" s="2370" t="s">
        <v>1803</v>
      </c>
      <c r="I11" s="246" t="s">
        <v>551</v>
      </c>
      <c r="J11" s="247">
        <v>1</v>
      </c>
      <c r="K11" s="247">
        <v>2</v>
      </c>
      <c r="L11" s="247">
        <v>3</v>
      </c>
      <c r="M11" s="247">
        <v>4</v>
      </c>
    </row>
    <row r="12" spans="1:20" s="8" customFormat="1" ht="12" customHeight="1">
      <c r="B12" s="1539" t="s">
        <v>1805</v>
      </c>
      <c r="C12" s="1540"/>
      <c r="D12" s="3946" t="s">
        <v>7038</v>
      </c>
      <c r="E12" s="3947"/>
      <c r="F12" s="3948" t="s">
        <v>433</v>
      </c>
      <c r="G12" s="3948"/>
      <c r="H12" s="993"/>
      <c r="I12" s="3949"/>
      <c r="J12" s="3949">
        <v>12</v>
      </c>
      <c r="K12" s="3949">
        <v>15</v>
      </c>
      <c r="L12" s="3949"/>
      <c r="M12" s="3949"/>
      <c r="O12" s="2639" t="s">
        <v>3622</v>
      </c>
      <c r="P12" s="2639"/>
    </row>
    <row r="13" spans="1:20" s="8" customFormat="1" ht="12" customHeight="1">
      <c r="B13" s="1541" t="s">
        <v>1564</v>
      </c>
      <c r="C13" s="1542"/>
      <c r="D13" s="3950" t="s">
        <v>1563</v>
      </c>
      <c r="E13" s="3951"/>
      <c r="F13" s="3952" t="s">
        <v>433</v>
      </c>
      <c r="G13" s="3952"/>
      <c r="H13" s="992"/>
      <c r="I13" s="3953"/>
      <c r="J13" s="3953">
        <v>10</v>
      </c>
      <c r="K13" s="3953">
        <v>12</v>
      </c>
      <c r="L13" s="3954"/>
      <c r="M13" s="3954"/>
      <c r="O13" s="2639"/>
      <c r="P13" s="2639"/>
    </row>
    <row r="14" spans="1:20" s="8" customFormat="1" ht="12" customHeight="1">
      <c r="B14" s="1543" t="s">
        <v>1565</v>
      </c>
      <c r="C14" s="1544"/>
      <c r="D14" s="3950" t="s">
        <v>1563</v>
      </c>
      <c r="E14" s="3951"/>
      <c r="F14" s="3952" t="s">
        <v>433</v>
      </c>
      <c r="G14" s="3952"/>
      <c r="H14" s="248"/>
      <c r="I14" s="3953"/>
      <c r="J14" s="3953">
        <v>17</v>
      </c>
      <c r="K14" s="3953">
        <v>24</v>
      </c>
      <c r="L14" s="3954"/>
      <c r="M14" s="3954"/>
      <c r="O14" s="2639"/>
      <c r="P14" s="2639"/>
    </row>
    <row r="15" spans="1:20" s="8" customFormat="1" ht="12" customHeight="1">
      <c r="B15" s="1545" t="s">
        <v>458</v>
      </c>
      <c r="C15" s="1546"/>
      <c r="D15" s="1545" t="s">
        <v>1563</v>
      </c>
      <c r="E15" s="249"/>
      <c r="F15" s="3952" t="s">
        <v>433</v>
      </c>
      <c r="G15" s="3952"/>
      <c r="H15" s="991"/>
      <c r="I15" s="3953"/>
      <c r="J15" s="3953">
        <v>19</v>
      </c>
      <c r="K15" s="3953">
        <v>24</v>
      </c>
      <c r="L15" s="3954"/>
      <c r="M15" s="3954"/>
      <c r="O15" s="2639"/>
      <c r="P15" s="2639"/>
    </row>
    <row r="16" spans="1:20" s="8" customFormat="1" ht="12" customHeight="1">
      <c r="B16" s="1547" t="s">
        <v>3607</v>
      </c>
      <c r="C16" s="1542"/>
      <c r="D16" s="1541" t="s">
        <v>1563</v>
      </c>
      <c r="E16" s="990"/>
      <c r="F16" s="3952"/>
      <c r="G16" s="3952" t="s">
        <v>433</v>
      </c>
      <c r="H16" s="992"/>
      <c r="I16" s="3953"/>
      <c r="J16" s="3953"/>
      <c r="K16" s="3953"/>
      <c r="L16" s="3954"/>
      <c r="M16" s="3954"/>
      <c r="O16" s="2639"/>
      <c r="P16" s="2639"/>
    </row>
    <row r="17" spans="1:19" s="8" customFormat="1" ht="12" customHeight="1">
      <c r="B17" s="1547" t="s">
        <v>3608</v>
      </c>
      <c r="C17" s="1542"/>
      <c r="D17" s="1541" t="s">
        <v>1563</v>
      </c>
      <c r="E17" s="990"/>
      <c r="F17" s="3952"/>
      <c r="G17" s="3952" t="s">
        <v>433</v>
      </c>
      <c r="H17" s="992"/>
      <c r="I17" s="3953"/>
      <c r="J17" s="3953"/>
      <c r="K17" s="3953"/>
      <c r="L17" s="3954"/>
      <c r="M17" s="3954"/>
      <c r="O17" s="2639"/>
      <c r="P17" s="2639"/>
    </row>
    <row r="18" spans="1:19" s="8" customFormat="1" ht="12" customHeight="1">
      <c r="B18" s="1548" t="s">
        <v>3609</v>
      </c>
      <c r="C18" s="1544"/>
      <c r="D18" s="1543" t="s">
        <v>1563</v>
      </c>
      <c r="E18" s="990"/>
      <c r="F18" s="3952" t="s">
        <v>433</v>
      </c>
      <c r="G18" s="3952"/>
      <c r="H18" s="248"/>
      <c r="I18" s="3953"/>
      <c r="J18" s="3953">
        <v>32</v>
      </c>
      <c r="K18" s="3953">
        <v>36</v>
      </c>
      <c r="L18" s="3954"/>
      <c r="M18" s="3954"/>
      <c r="O18" s="2639"/>
      <c r="P18" s="2639"/>
    </row>
    <row r="19" spans="1:19" s="8" customFormat="1" ht="12" customHeight="1">
      <c r="B19" s="1545" t="s">
        <v>1343</v>
      </c>
      <c r="C19" s="1546"/>
      <c r="D19" s="1551" t="s">
        <v>3349</v>
      </c>
      <c r="E19" s="3955" t="s">
        <v>2884</v>
      </c>
      <c r="F19" s="3952" t="s">
        <v>433</v>
      </c>
      <c r="G19" s="3952"/>
      <c r="H19" s="991"/>
      <c r="I19" s="3953"/>
      <c r="J19" s="3953">
        <v>31</v>
      </c>
      <c r="K19" s="3953">
        <v>40</v>
      </c>
      <c r="L19" s="3954"/>
      <c r="M19" s="3954"/>
      <c r="O19" s="2639"/>
      <c r="P19" s="2639"/>
    </row>
    <row r="20" spans="1:19" s="8" customFormat="1" ht="12" customHeight="1">
      <c r="B20" s="1549" t="s">
        <v>1804</v>
      </c>
      <c r="C20" s="1550"/>
      <c r="D20" s="250"/>
      <c r="E20" s="222"/>
      <c r="F20" s="3952"/>
      <c r="G20" s="3952" t="s">
        <v>433</v>
      </c>
      <c r="H20" s="992"/>
      <c r="I20" s="3953"/>
      <c r="J20" s="3953"/>
      <c r="K20" s="3953"/>
      <c r="L20" s="3954"/>
      <c r="M20" s="3954"/>
      <c r="O20" s="2639"/>
      <c r="P20" s="2639"/>
    </row>
    <row r="21" spans="1:19" s="8" customFormat="1" ht="12" customHeight="1">
      <c r="B21" s="1549" t="s">
        <v>723</v>
      </c>
      <c r="C21" s="3085"/>
      <c r="D21" s="3086"/>
      <c r="E21" s="3087"/>
      <c r="F21" s="3956"/>
      <c r="G21" s="3956"/>
      <c r="H21" s="994"/>
      <c r="I21" s="3957"/>
      <c r="J21" s="3957"/>
      <c r="K21" s="3957"/>
      <c r="L21" s="3958"/>
      <c r="M21" s="3958"/>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121</v>
      </c>
      <c r="K22" s="150">
        <f>IF(SUM(K12:K21)=0,0,IF(OR($D12="&lt;&lt;Select Fuel &gt;&gt;",$D13="&lt;&lt;Select Fuel &gt;&gt;",$D14="&lt;&lt;Select Fuel &gt;&gt;"),"Select Fuel",IF($E19="&lt;Select&gt;","Submeter?",SUM(K12:K21))))</f>
        <v>151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59"/>
      <c r="J24" s="3940"/>
      <c r="K24" s="3940"/>
      <c r="L24" s="3940"/>
      <c r="M24" s="3941"/>
    </row>
    <row r="25" spans="1:19" s="8" customFormat="1" ht="13.35" customHeight="1">
      <c r="A25" s="13"/>
      <c r="B25" s="13"/>
      <c r="F25" s="1" t="s">
        <v>618</v>
      </c>
      <c r="G25" s="1"/>
      <c r="H25" s="33"/>
      <c r="I25" s="3942"/>
      <c r="J25" s="3943"/>
      <c r="K25" s="6" t="s">
        <v>525</v>
      </c>
      <c r="L25" s="3944"/>
      <c r="M25" s="3945"/>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70" t="s">
        <v>624</v>
      </c>
      <c r="G28" s="2370" t="s">
        <v>1803</v>
      </c>
      <c r="I28" s="246" t="s">
        <v>551</v>
      </c>
      <c r="J28" s="247">
        <v>1</v>
      </c>
      <c r="K28" s="247">
        <v>2</v>
      </c>
      <c r="L28" s="247">
        <v>3</v>
      </c>
      <c r="M28" s="247">
        <v>4</v>
      </c>
    </row>
    <row r="29" spans="1:19" s="8" customFormat="1" ht="12" customHeight="1">
      <c r="B29" s="1539" t="s">
        <v>1805</v>
      </c>
      <c r="C29" s="1540"/>
      <c r="D29" s="3946" t="s">
        <v>1774</v>
      </c>
      <c r="E29" s="3947"/>
      <c r="F29" s="3948"/>
      <c r="G29" s="3948"/>
      <c r="H29" s="993"/>
      <c r="I29" s="3949"/>
      <c r="J29" s="3949"/>
      <c r="K29" s="3949"/>
      <c r="L29" s="3949"/>
      <c r="M29" s="3949"/>
      <c r="O29" s="2639" t="s">
        <v>3622</v>
      </c>
      <c r="P29" s="2639"/>
    </row>
    <row r="30" spans="1:19" s="8" customFormat="1" ht="12" customHeight="1">
      <c r="B30" s="1541" t="s">
        <v>1564</v>
      </c>
      <c r="C30" s="1542"/>
      <c r="D30" s="3950" t="s">
        <v>1774</v>
      </c>
      <c r="E30" s="3951"/>
      <c r="F30" s="3952"/>
      <c r="G30" s="3952"/>
      <c r="H30" s="992"/>
      <c r="I30" s="3953"/>
      <c r="J30" s="3953"/>
      <c r="K30" s="3953"/>
      <c r="L30" s="3954"/>
      <c r="M30" s="3954"/>
      <c r="O30" s="2639"/>
      <c r="P30" s="2639"/>
    </row>
    <row r="31" spans="1:19" s="8" customFormat="1" ht="12" customHeight="1">
      <c r="B31" s="1543" t="s">
        <v>1565</v>
      </c>
      <c r="C31" s="1544"/>
      <c r="D31" s="3950" t="s">
        <v>1774</v>
      </c>
      <c r="E31" s="3951"/>
      <c r="F31" s="3952"/>
      <c r="G31" s="3952"/>
      <c r="H31" s="248"/>
      <c r="I31" s="3953"/>
      <c r="J31" s="3953"/>
      <c r="K31" s="3953"/>
      <c r="L31" s="3954"/>
      <c r="M31" s="3954"/>
      <c r="O31" s="2639"/>
      <c r="P31" s="2639"/>
    </row>
    <row r="32" spans="1:19" s="8" customFormat="1" ht="12" customHeight="1">
      <c r="B32" s="1545" t="s">
        <v>458</v>
      </c>
      <c r="C32" s="1546"/>
      <c r="D32" s="1545" t="s">
        <v>1563</v>
      </c>
      <c r="E32" s="249"/>
      <c r="F32" s="3952"/>
      <c r="G32" s="3952"/>
      <c r="H32" s="991"/>
      <c r="I32" s="3953"/>
      <c r="J32" s="3953"/>
      <c r="K32" s="3953"/>
      <c r="L32" s="3954"/>
      <c r="M32" s="3954"/>
      <c r="O32" s="2639"/>
      <c r="P32" s="2639"/>
    </row>
    <row r="33" spans="1:19" s="8" customFormat="1" ht="12" customHeight="1">
      <c r="B33" s="1547" t="s">
        <v>3607</v>
      </c>
      <c r="C33" s="1542"/>
      <c r="D33" s="1541" t="s">
        <v>1563</v>
      </c>
      <c r="E33" s="990"/>
      <c r="F33" s="3952"/>
      <c r="G33" s="3952"/>
      <c r="H33" s="992"/>
      <c r="I33" s="3953"/>
      <c r="J33" s="3953"/>
      <c r="K33" s="3953"/>
      <c r="L33" s="3954"/>
      <c r="M33" s="3954"/>
      <c r="O33" s="2639"/>
      <c r="P33" s="2639"/>
    </row>
    <row r="34" spans="1:19" s="8" customFormat="1" ht="12" customHeight="1">
      <c r="B34" s="1547" t="s">
        <v>3608</v>
      </c>
      <c r="C34" s="1542"/>
      <c r="D34" s="1541" t="s">
        <v>1563</v>
      </c>
      <c r="E34" s="990"/>
      <c r="F34" s="3952"/>
      <c r="G34" s="3952"/>
      <c r="H34" s="992"/>
      <c r="I34" s="3953"/>
      <c r="J34" s="3953"/>
      <c r="K34" s="3953"/>
      <c r="L34" s="3954"/>
      <c r="M34" s="3954"/>
      <c r="O34" s="2639"/>
      <c r="P34" s="2639"/>
    </row>
    <row r="35" spans="1:19" s="8" customFormat="1" ht="12" customHeight="1">
      <c r="B35" s="1548" t="s">
        <v>3609</v>
      </c>
      <c r="C35" s="1544"/>
      <c r="D35" s="1543" t="s">
        <v>1563</v>
      </c>
      <c r="E35" s="990"/>
      <c r="F35" s="3952"/>
      <c r="G35" s="3952"/>
      <c r="H35" s="248"/>
      <c r="I35" s="3953"/>
      <c r="J35" s="3953"/>
      <c r="K35" s="3953"/>
      <c r="L35" s="3954"/>
      <c r="M35" s="3954"/>
      <c r="O35" s="2639"/>
      <c r="P35" s="2639"/>
    </row>
    <row r="36" spans="1:19" s="8" customFormat="1" ht="12" customHeight="1">
      <c r="B36" s="1545" t="s">
        <v>1343</v>
      </c>
      <c r="C36" s="1546"/>
      <c r="D36" s="1551" t="s">
        <v>3349</v>
      </c>
      <c r="E36" s="3955" t="s">
        <v>197</v>
      </c>
      <c r="F36" s="3952"/>
      <c r="G36" s="3952"/>
      <c r="H36" s="991"/>
      <c r="I36" s="3953"/>
      <c r="J36" s="3953"/>
      <c r="K36" s="3953"/>
      <c r="L36" s="3954"/>
      <c r="M36" s="3954"/>
      <c r="O36" s="2639"/>
      <c r="P36" s="2639"/>
    </row>
    <row r="37" spans="1:19" s="8" customFormat="1" ht="12" customHeight="1">
      <c r="B37" s="1549" t="s">
        <v>1804</v>
      </c>
      <c r="C37" s="1550"/>
      <c r="D37" s="250"/>
      <c r="E37" s="222"/>
      <c r="F37" s="3952"/>
      <c r="G37" s="3952"/>
      <c r="H37" s="992"/>
      <c r="I37" s="3953"/>
      <c r="J37" s="3953"/>
      <c r="K37" s="3953"/>
      <c r="L37" s="3954"/>
      <c r="M37" s="3954"/>
      <c r="O37" s="2639"/>
      <c r="P37" s="2639"/>
    </row>
    <row r="38" spans="1:19" s="8" customFormat="1" ht="12" customHeight="1">
      <c r="B38" s="1549" t="s">
        <v>723</v>
      </c>
      <c r="C38" s="3085"/>
      <c r="D38" s="3086"/>
      <c r="E38" s="3087"/>
      <c r="F38" s="3956"/>
      <c r="G38" s="3956"/>
      <c r="H38" s="994"/>
      <c r="I38" s="3957"/>
      <c r="J38" s="3957"/>
      <c r="K38" s="3957"/>
      <c r="L38" s="3958"/>
      <c r="M38" s="3958"/>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60" t="s">
        <v>7041</v>
      </c>
      <c r="C43" s="3961"/>
      <c r="D43" s="3961"/>
      <c r="E43" s="3961"/>
      <c r="F43" s="3961"/>
      <c r="G43" s="3961"/>
      <c r="H43" s="3961"/>
      <c r="I43" s="3961"/>
      <c r="J43" s="3961"/>
      <c r="K43" s="3961"/>
      <c r="L43" s="3961"/>
      <c r="M43" s="3962"/>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63"/>
      <c r="C46" s="3964"/>
      <c r="D46" s="3964"/>
      <c r="E46" s="3964"/>
      <c r="F46" s="3964"/>
      <c r="G46" s="3964"/>
      <c r="H46" s="3964"/>
      <c r="I46" s="3964"/>
      <c r="J46" s="3964"/>
      <c r="K46" s="3964"/>
      <c r="L46" s="3964"/>
      <c r="M46" s="3965"/>
      <c r="N46" s="27"/>
      <c r="O46" s="2401"/>
      <c r="P46" s="2401"/>
      <c r="Q46" s="2401"/>
      <c r="R46" s="2401"/>
      <c r="S46" s="2401"/>
    </row>
  </sheetData>
  <sheetProtection algorithmName="SHA-512" hashValue="RDO0SofRkCwjVZNMoA/0iTAB62FqNHmwcXyYsdhGQ4AVqgwc3FU93KEKlknpdvp9Y7p2kGGFMYhUL0SgA3tV6w==" saltValue="PSOIRd00E2BmXXrA3k7WY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2020-10-01T22:24:30Z</dcterms:modified>
</cp:coreProperties>
</file>